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98A9265-FDA0-4729-A0AD-C59B92F7A5E6}" xr6:coauthVersionLast="36" xr6:coauthVersionMax="36" xr10:uidLastSave="{00000000-0000-0000-0000-000000000000}"/>
  <bookViews>
    <workbookView xWindow="0" yWindow="0" windowWidth="24000" windowHeight="9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2)" sheetId="183" r:id="rId28"/>
    <sheet name=" SEFA" sheetId="179" r:id="rId29"/>
    <sheet name="SEFA NOTES" sheetId="173" r:id="rId30"/>
    <sheet name="SF&amp;QC Sec-1" sheetId="174" r:id="rId31"/>
    <sheet name="SF&amp;QC Sec-2" sheetId="175" r:id="rId32"/>
    <sheet name="SF&amp;QC Sec-2 (2)" sheetId="184" r:id="rId33"/>
    <sheet name="SF&amp;QC Sec-2 (3)" sheetId="185" r:id="rId34"/>
    <sheet name="SF&amp;QC Sec-3" sheetId="176" r:id="rId35"/>
    <sheet name="SSPAF" sheetId="177" r:id="rId36"/>
  </sheets>
  <definedNames>
    <definedName name="_xlnm.Print_Area" localSheetId="28">' SEFA'!$B$1:$M$46</definedName>
    <definedName name="_xlnm.Print_Area" localSheetId="27">' SEFA (2)'!$B$1:$M$49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7">#REF!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7">#REF!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7">#REF!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7">#REF!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1" l="1"/>
  <c r="F20" i="181"/>
  <c r="G20" i="181" s="1"/>
  <c r="E21" i="181"/>
  <c r="F21" i="181"/>
  <c r="G21" i="181" s="1"/>
  <c r="E22" i="181"/>
  <c r="F22" i="181"/>
  <c r="G22" i="181" s="1"/>
  <c r="E23" i="181"/>
  <c r="F23" i="181"/>
  <c r="G23" i="181" s="1"/>
  <c r="E24" i="181"/>
  <c r="F24" i="181"/>
  <c r="G24" i="181" s="1"/>
  <c r="E25" i="181"/>
  <c r="F25" i="181"/>
  <c r="G25" i="181" s="1"/>
  <c r="E26" i="181"/>
  <c r="F26" i="181"/>
  <c r="G26" i="181"/>
  <c r="E27" i="181"/>
  <c r="F27" i="181"/>
  <c r="G27" i="181" s="1"/>
  <c r="E28" i="181"/>
  <c r="F28" i="181"/>
  <c r="G28" i="181" s="1"/>
  <c r="E29" i="181"/>
  <c r="F29" i="181"/>
  <c r="G29" i="181" s="1"/>
  <c r="E30" i="181"/>
  <c r="F30" i="181"/>
  <c r="G30" i="181" s="1"/>
  <c r="E31" i="181"/>
  <c r="F31" i="181"/>
  <c r="G31" i="181" s="1"/>
  <c r="E32" i="181"/>
  <c r="F32" i="181"/>
  <c r="G32" i="181" s="1"/>
  <c r="E33" i="181"/>
  <c r="F33" i="181"/>
  <c r="G33" i="181" s="1"/>
  <c r="E34" i="181"/>
  <c r="F34" i="181"/>
  <c r="G34" i="181" s="1"/>
  <c r="D35" i="181"/>
  <c r="E35" i="181" s="1"/>
  <c r="B4" i="185" l="1"/>
  <c r="B4" i="184"/>
  <c r="K25" i="183" l="1"/>
  <c r="K30" i="183" s="1"/>
  <c r="I25" i="183"/>
  <c r="I30" i="183" s="1"/>
  <c r="G25" i="183"/>
  <c r="G30" i="183" s="1"/>
  <c r="F25" i="183"/>
  <c r="F30" i="183" s="1"/>
  <c r="E25" i="183"/>
  <c r="E30" i="183" s="1"/>
  <c r="L15" i="183"/>
  <c r="L28" i="183"/>
  <c r="L26" i="183"/>
  <c r="L24" i="183"/>
  <c r="L23" i="183"/>
  <c r="L22" i="183"/>
  <c r="L21" i="183"/>
  <c r="L20" i="183"/>
  <c r="L19" i="183"/>
  <c r="L18" i="183"/>
  <c r="L17" i="183"/>
  <c r="L16" i="183"/>
  <c r="L14" i="183"/>
  <c r="L13" i="183"/>
  <c r="L12" i="183"/>
  <c r="L11" i="183"/>
  <c r="B4" i="183"/>
  <c r="L30" i="183" l="1"/>
  <c r="L25" i="183"/>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9" i="181"/>
  <c r="E18" i="181"/>
  <c r="F19" i="181" l="1"/>
  <c r="G19" i="181" s="1"/>
  <c r="F18" i="181"/>
  <c r="G18" i="181" s="1"/>
  <c r="D80" i="36" l="1"/>
  <c r="B7797" i="106"/>
  <c r="E17" i="181"/>
  <c r="F17" i="181" s="1"/>
  <c r="F35" i="181" s="1"/>
  <c r="E16" i="181"/>
  <c r="F16" i="181" l="1"/>
  <c r="G16" i="181" s="1"/>
  <c r="G17" i="181"/>
  <c r="G35" i="181" s="1"/>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E26" i="108"/>
  <c r="G26" i="108"/>
  <c r="E27" i="108"/>
  <c r="G27" i="108"/>
  <c r="F31" i="108"/>
  <c r="F36" i="108"/>
  <c r="G28" i="108"/>
  <c r="D31" i="108"/>
  <c r="D36" i="108"/>
  <c r="E31" i="108"/>
  <c r="G31" i="108"/>
  <c r="E33" i="108"/>
  <c r="E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L5" i="11"/>
  <c r="B2056" i="106" s="1"/>
  <c r="D2056" i="106" s="1"/>
  <c r="B5752" i="106"/>
  <c r="D5752" i="106" s="1"/>
  <c r="F36" i="34" l="1"/>
  <c r="J352" i="29"/>
  <c r="J367" i="29" s="1"/>
  <c r="B7245" i="106" s="1"/>
  <c r="H342" i="29"/>
  <c r="J41" i="3"/>
  <c r="D6103" i="106"/>
  <c r="D7245" i="106"/>
  <c r="L22" i="37"/>
  <c r="H28" i="118"/>
  <c r="F72" i="34"/>
  <c r="F71" i="34"/>
  <c r="F46" i="34"/>
  <c r="F38" i="34"/>
  <c r="G35" i="108"/>
  <c r="D69" i="36"/>
  <c r="D54" i="36"/>
  <c r="H112" i="29"/>
  <c r="B7018" i="106" s="1"/>
  <c r="D7018" i="106" s="1"/>
  <c r="K76" i="4"/>
  <c r="B3586" i="106" s="1"/>
  <c r="D3586" i="106" s="1"/>
  <c r="B2836" i="106"/>
  <c r="D2836" i="106" s="1"/>
  <c r="K184" i="29"/>
  <c r="F13" i="4" s="1"/>
  <c r="B2596" i="106" s="1"/>
  <c r="D2596" i="106" s="1"/>
  <c r="G210" i="29"/>
  <c r="B1126" i="106"/>
  <c r="D1126" i="106" s="1"/>
  <c r="F52" i="34"/>
  <c r="G39" i="108"/>
  <c r="F27" i="108"/>
  <c r="G30" i="108"/>
  <c r="L13" i="11"/>
  <c r="B2060" i="106" s="1"/>
  <c r="D2060" i="106" s="1"/>
  <c r="F19" i="7"/>
  <c r="B1807" i="106" s="1"/>
  <c r="D1807" i="106" s="1"/>
  <c r="B3647" i="106"/>
  <c r="D3647" i="106" s="1"/>
  <c r="E29" i="108"/>
  <c r="G29" i="108"/>
  <c r="B3488" i="106"/>
  <c r="D3488" i="106" s="1"/>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H151" i="29" l="1"/>
  <c r="B1273" i="106" s="1"/>
  <c r="D1273" i="106" s="1"/>
  <c r="K365" i="29"/>
  <c r="K16" i="4" s="1"/>
  <c r="D7256" i="106"/>
  <c r="D7251" i="106"/>
  <c r="B7215" i="106"/>
  <c r="D7215" i="106" s="1"/>
  <c r="B4435" i="106"/>
  <c r="D4435" i="106" s="1"/>
  <c r="B1381" i="106"/>
  <c r="D1381" i="106" s="1"/>
  <c r="D7254" i="106"/>
  <c r="D7250" i="106"/>
  <c r="D41" i="108"/>
  <c r="E43" i="108" s="1"/>
  <c r="F41" i="108"/>
  <c r="G43" i="108" s="1"/>
  <c r="B1365" i="106"/>
  <c r="D1365" i="106" s="1"/>
  <c r="F65" i="34"/>
  <c r="C114" i="29"/>
  <c r="B757" i="106" s="1"/>
  <c r="D757" i="106" s="1"/>
  <c r="D44" i="36"/>
  <c r="L16" i="11"/>
  <c r="B2061" i="106" s="1"/>
  <c r="D2061" i="106" s="1"/>
  <c r="N23" i="3"/>
  <c r="B284" i="106" s="1"/>
  <c r="D284" i="106" s="1"/>
  <c r="B5778" i="106"/>
  <c r="D5778" i="106" s="1"/>
  <c r="G6" i="4"/>
  <c r="B2604" i="106" s="1"/>
  <c r="D2604" i="106" s="1"/>
  <c r="B5527" i="106"/>
  <c r="D5527" i="106"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B6223" i="106"/>
  <c r="D6223" i="106" s="1"/>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<sst xmlns="http://schemas.openxmlformats.org/spreadsheetml/2006/main" count="5352" uniqueCount="2221">
  <si>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</si>
  <si>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</si>
  <si>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</si>
  <si>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</si>
  <si>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</si>
  <si>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</si>
  <si>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</si>
  <si>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</si>
  <si>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</si>
  <si>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</si>
  <si>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</si>
  <si>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</si>
  <si>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</si>
  <si>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</si>
  <si>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</si>
  <si>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</si>
  <si>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</si>
  <si>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</si>
  <si>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</si>
  <si>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</si>
  <si>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</si>
  <si>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</si>
  <si>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</si>
  <si>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</si>
  <si>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</si>
  <si>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</si>
  <si>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</si>
  <si>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</si>
  <si>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</si>
  <si>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</si>
  <si>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</si>
  <si>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</si>
  <si>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</si>
  <si>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</si>
  <si>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</si>
  <si>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</si>
  <si>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</si>
  <si>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</si>
  <si>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</si>
  <si>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</si>
  <si>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</si>
  <si>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</si>
  <si>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</si>
  <si>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</si>
  <si>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</si>
  <si>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</si>
  <si>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</si>
  <si>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</si>
  <si>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</si>
  <si>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</si>
  <si>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</si>
  <si>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</si>
  <si>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</si>
  <si>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</si>
  <si>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</si>
  <si>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</si>
  <si>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</si>
  <si>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</si>
  <si>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</si>
  <si>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</si>
  <si>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</si>
  <si>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</si>
  <si>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</si>
  <si>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</si>
  <si>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</si>
  <si>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</si>
  <si>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</si>
  <si>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</si>
  <si>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</si>
  <si>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</si>
  <si>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</si>
  <si>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</si>
  <si>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</si>
  <si>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</si>
  <si>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</si>
  <si>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</si>
  <si>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</si>
  <si>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</si>
  <si>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</si>
  <si>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</si>
  <si>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</si>
  <si>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</si>
  <si>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</si>
  <si>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</si>
  <si>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</si>
  <si>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</si>
  <si>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</si>
  <si>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</si>
  <si>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</si>
  <si>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</si>
  <si>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</si>
  <si>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</si>
  <si>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</si>
  <si>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</si>
  <si>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</si>
  <si>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</si>
  <si>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</si>
  <si>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</si>
  <si>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</si>
  <si>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</si>
  <si>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</si>
  <si>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</si>
  <si>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</si>
  <si>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</si>
  <si>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</si>
  <si>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</si>
  <si>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</si>
  <si>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</si>
  <si>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</si>
  <si>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</si>
  <si>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</si>
  <si>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</si>
  <si>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</si>
  <si>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</si>
  <si>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</si>
  <si>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</si>
  <si>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</si>
  <si>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</si>
  <si>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</si>
  <si>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</si>
  <si>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</si>
  <si>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</si>
  <si>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</si>
  <si>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</si>
  <si>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</si>
  <si>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</si>
  <si>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</si>
  <si>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</si>
  <si>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</si>
  <si>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</si>
  <si>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</si>
  <si>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</si>
  <si>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</si>
  <si>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</si>
  <si>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</si>
  <si>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</si>
  <si>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</si>
  <si>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</si>
  <si>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</si>
  <si>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</si>
  <si>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</si>
  <si>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</si>
  <si>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</si>
  <si>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</si>
  <si>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</si>
  <si>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</si>
  <si>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</si>
  <si>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</si>
  <si>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</si>
  <si>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</si>
  <si>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</si>
  <si>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</si>
  <si>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</si>
  <si>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</si>
  <si>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</si>
  <si>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</si>
  <si>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</si>
  <si>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</si>
  <si>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</si>
  <si>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</si>
  <si>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</si>
  <si>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</si>
  <si>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</si>
  <si>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</si>
  <si>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</si>
  <si>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</si>
  <si>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</si>
  <si>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</si>
  <si>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</si>
  <si>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</si>
  <si>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</si>
  <si>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</si>
  <si>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</si>
  <si>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</si>
  <si>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</si>
  <si>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</si>
  <si>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</si>
  <si>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</si>
  <si>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</si>
  <si>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</si>
  <si>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</si>
  <si>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</si>
  <si>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</si>
  <si>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</si>
  <si>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</si>
  <si>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</si>
  <si>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</si>
  <si>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</si>
  <si>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</si>
  <si>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</si>
  <si>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</si>
  <si>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</si>
  <si>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</si>
  <si>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</si>
  <si>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</si>
  <si>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</si>
  <si>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</si>
  <si>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</si>
  <si>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</si>
  <si>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</si>
  <si>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</si>
  <si>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</si>
  <si>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</si>
  <si>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</si>
  <si>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</si>
  <si>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</si>
  <si>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</si>
  <si>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</si>
  <si>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</si>
  <si>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</si>
  <si>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</si>
  <si>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</si>
  <si>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</si>
  <si>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</si>
  <si>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</si>
  <si>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</si>
  <si>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</si>
  <si>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</si>
  <si>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</si>
  <si>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</si>
  <si>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</si>
  <si>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</si>
  <si>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</si>
  <si>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</si>
  <si>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</si>
  <si>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</si>
  <si>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</si>
  <si>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</si>
  <si>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</si>
  <si>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</si>
  <si>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</si>
  <si>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</si>
  <si>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</si>
  <si>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</si>
  <si>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</si>
  <si>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</si>
  <si>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</si>
  <si>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</si>
  <si>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</si>
  <si>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</si>
  <si>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</si>
  <si>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</si>
  <si>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</si>
  <si>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</si>
  <si>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</si>
  <si>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</si>
  <si>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</si>
  <si>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</si>
  <si>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</si>
  <si>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</si>
  <si>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</si>
  <si>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</si>
  <si>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</si>
  <si>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</si>
  <si>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</si>
  <si>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</si>
  <si>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</si>
  <si>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</si>
  <si>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</si>
  <si>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</si>
  <si>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</si>
  <si>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</si>
  <si>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</si>
  <si>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</si>
  <si>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</si>
  <si>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</si>
  <si>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</si>
  <si>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</si>
  <si>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</si>
  <si>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</si>
  <si>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</si>
  <si>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</si>
  <si>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</si>
  <si>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</si>
  <si>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</si>
  <si>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</si>
  <si>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</si>
  <si>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</si>
  <si>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</si>
  <si>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</si>
  <si>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</si>
  <si>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</si>
  <si>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</si>
  <si>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</si>
  <si>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</si>
  <si>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</si>
  <si>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</si>
  <si>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</si>
  <si>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</si>
  <si>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</si>
  <si>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</si>
  <si>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</si>
  <si>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</si>
  <si>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</si>
  <si>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</si>
  <si>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</si>
  <si>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</si>
  <si>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</si>
  <si>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</si>
  <si>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</si>
  <si>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</si>
  <si>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</si>
  <si>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</si>
  <si>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</si>
  <si>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</si>
  <si>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</si>
  <si>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</si>
  <si>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</si>
  <si>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</si>
  <si>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</si>
  <si>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</si>
  <si>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</si>
  <si>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</si>
  <si>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</si>
  <si>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</si>
  <si>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</si>
  <si>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</si>
  <si>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</si>
  <si>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</si>
  <si>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</si>
  <si>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</si>
  <si>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</si>
  <si>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</si>
  <si>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</si>
  <si>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</si>
  <si>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</si>
  <si>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</si>
  <si>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</si>
  <si>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</si>
  <si>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</si>
  <si>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</si>
  <si>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</si>
  <si>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</si>
  <si>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</si>
  <si>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</si>
  <si>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</si>
  <si>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</si>
  <si>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</si>
  <si>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</si>
  <si>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</si>
  <si>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</si>
  <si>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</si>
  <si>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</si>
  <si>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</si>
  <si>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</si>
  <si>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</si>
  <si>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</si>
  <si>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</si>
  <si>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</si>
  <si>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</si>
  <si>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</si>
  <si>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</si>
  <si>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</si>
  <si>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</si>
  <si>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</si>
  <si>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</si>
  <si>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</si>
  <si>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</si>
  <si>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</si>
  <si>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</si>
  <si>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</si>
  <si>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</si>
  <si>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</si>
  <si>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</si>
  <si>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</si>
  <si>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</si>
  <si>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</si>
  <si>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</si>
  <si>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</si>
  <si>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</si>
  <si>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</si>
  <si>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</si>
  <si>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</si>
  <si>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</si>
  <si>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</si>
  <si>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</si>
  <si>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</si>
  <si>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</si>
  <si>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</si>
  <si>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</si>
  <si>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</si>
  <si>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</si>
  <si>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</si>
  <si>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</si>
  <si>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</si>
  <si>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</si>
  <si>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</si>
  <si>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</si>
  <si>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</si>
  <si>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</si>
  <si>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</si>
  <si>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</si>
  <si>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</si>
  <si>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</si>
  <si>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</si>
  <si>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</si>
  <si>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</si>
  <si>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</si>
  <si>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</si>
  <si>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</si>
  <si>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</si>
  <si>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</si>
  <si>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</si>
  <si>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</si>
  <si>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</si>
  <si>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</si>
  <si>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</si>
  <si>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</si>
  <si>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</si>
  <si>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</si>
  <si>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</si>
  <si>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</si>
  <si>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</si>
  <si>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</si>
  <si>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</si>
  <si>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</si>
  <si>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</si>
  <si>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</si>
  <si>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</si>
  <si>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</si>
  <si>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</si>
  <si>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</si>
  <si>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</si>
  <si>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</si>
  <si>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</si>
  <si>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</si>
  <si>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</si>
  <si>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</si>
  <si>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</si>
  <si>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</si>
  <si>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</si>
  <si>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</si>
  <si>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</si>
  <si>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</si>
  <si>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</si>
  <si>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</si>
  <si>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</si>
  <si>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</si>
  <si>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</si>
  <si>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</si>
  <si>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</si>
  <si>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</si>
  <si>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</si>
  <si>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</si>
  <si>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</si>
  <si>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</si>
  <si>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</si>
  <si>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</si>
  <si>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</si>
  <si>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</si>
  <si>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</si>
  <si>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</si>
  <si>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</si>
  <si>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</si>
  <si>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</si>
  <si>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</si>
  <si>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</si>
  <si>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</si>
  <si>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</si>
  <si>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</si>
  <si>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</si>
  <si>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</si>
  <si>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</si>
  <si>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</si>
  <si>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</si>
  <si>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</si>
  <si>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</si>
  <si>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</si>
  <si>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</si>
  <si>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</si>
  <si>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</si>
  <si>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</si>
  <si>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</si>
  <si>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</si>
  <si>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</si>
  <si>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</si>
  <si>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</si>
  <si>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</si>
  <si>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</si>
  <si>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</si>
  <si>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</si>
  <si>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</si>
  <si>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</si>
  <si>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</si>
  <si>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</si>
  <si>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</si>
  <si>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</si>
  <si>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</si>
  <si>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</si>
  <si>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</si>
  <si>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</si>
  <si>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</si>
  <si>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</si>
  <si>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</si>
  <si>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</si>
  <si>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</si>
  <si>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</si>
  <si>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</si>
  <si>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</si>
  <si>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</si>
  <si>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</si>
  <si>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</si>
  <si>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</si>
  <si>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</si>
  <si>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</si>
  <si>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</si>
  <si>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</si>
  <si>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</si>
  <si>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</si>
  <si>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</si>
  <si>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</si>
  <si>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</si>
  <si>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</si>
  <si>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</si>
  <si>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</si>
  <si>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</si>
  <si>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</si>
  <si>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</si>
  <si>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</si>
  <si>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</si>
  <si>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</si>
  <si>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</si>
  <si>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</si>
  <si>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</si>
  <si>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</si>
  <si>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</si>
  <si>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</si>
  <si>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</si>
  <si>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</si>
  <si>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</si>
  <si>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</si>
  <si>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</si>
  <si>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</si>
  <si>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</si>
  <si>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</si>
  <si>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</si>
  <si>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</si>
  <si>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</si>
  <si>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</si>
  <si>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</si>
  <si>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</si>
  <si>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</si>
  <si>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</si>
  <si>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</si>
  <si>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</si>
  <si>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</si>
  <si>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</si>
  <si>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</si>
  <si>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</si>
  <si>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</si>
  <si>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</si>
  <si>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</si>
  <si>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</si>
  <si>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</si>
  <si>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</si>
  <si>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</si>
  <si>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</si>
  <si>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</si>
  <si>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</si>
  <si>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</si>
  <si>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</si>
  <si>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</si>
  <si>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</si>
  <si>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</si>
  <si>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</si>
  <si>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</si>
  <si>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</si>
  <si>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</si>
  <si>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</si>
  <si>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</si>
  <si>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</si>
  <si>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</si>
  <si>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</si>
  <si>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</si>
  <si>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</si>
  <si>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</si>
  <si>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</si>
  <si>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</si>
  <si>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</si>
  <si>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</si>
  <si>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</si>
  <si>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</si>
  <si>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</si>
  <si>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</si>
  <si>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</si>
  <si>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</si>
  <si>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</si>
  <si>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</si>
  <si>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</si>
  <si>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</si>
  <si>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</si>
  <si>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</si>
  <si>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</si>
  <si>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</si>
  <si>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</si>
  <si>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</si>
  <si>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</si>
  <si>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</si>
  <si>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</si>
  <si>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</si>
  <si>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</si>
  <si>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</si>
  <si>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</si>
  <si>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</si>
  <si>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</si>
  <si>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</si>
  <si>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</si>
  <si>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</si>
  <si>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</si>
  <si>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</si>
  <si>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</si>
  <si>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</si>
  <si>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</si>
  <si>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</si>
  <si>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</si>
  <si>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</si>
  <si>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</si>
  <si>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</si>
  <si>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</si>
  <si>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</si>
  <si>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</si>
  <si>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</si>
  <si>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</si>
  <si>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</si>
  <si>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</si>
  <si>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</si>
  <si>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</si>
  <si>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</si>
  <si>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</si>
  <si>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</si>
  <si>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</si>
  <si>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</si>
  <si>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</si>
  <si>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</si>
  <si>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</si>
  <si>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</si>
  <si>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</si>
  <si>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</si>
  <si>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</si>
  <si>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</si>
  <si>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</si>
  <si>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</si>
  <si>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</si>
  <si>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</si>
  <si>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</si>
  <si>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</si>
  <si>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</si>
  <si>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</si>
  <si>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</si>
  <si>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</si>
  <si>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</si>
  <si>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</si>
  <si>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</si>
  <si>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</si>
  <si>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</si>
  <si>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</si>
  <si>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</si>
  <si>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</si>
  <si>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</si>
  <si>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</si>
  <si>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</si>
  <si>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</si>
  <si>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</si>
  <si>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</si>
  <si>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</si>
  <si>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</si>
  <si>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</si>
  <si>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</si>
  <si>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</si>
  <si>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</si>
  <si>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</si>
  <si>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</si>
  <si>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</si>
  <si>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</si>
  <si>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</si>
  <si>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</si>
  <si>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</si>
  <si>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</si>
  <si>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</si>
  <si>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</si>
  <si>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</si>
  <si>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</si>
  <si>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</si>
  <si>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</si>
  <si>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</si>
  <si>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</si>
  <si>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</si>
  <si>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</si>
  <si>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</si>
  <si>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</si>
  <si>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</si>
  <si>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</si>
  <si>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</si>
  <si>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</si>
  <si>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</si>
  <si>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</si>
  <si>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</si>
  <si>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</si>
  <si>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</si>
  <si>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</si>
  <si>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</si>
  <si>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</si>
  <si>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</si>
  <si>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</si>
  <si>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</si>
  <si>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</si>
  <si>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</si>
  <si>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</si>
  <si>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</si>
  <si>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</si>
  <si>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</si>
  <si>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</si>
  <si>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</si>
  <si>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</si>
  <si>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</si>
  <si>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</si>
  <si>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</si>
  <si>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</si>
  <si>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</si>
  <si>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</si>
  <si>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</si>
  <si>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</si>
  <si>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</si>
  <si>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</si>
  <si>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</si>
  <si>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</si>
  <si>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</si>
  <si>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</si>
  <si>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</si>
  <si>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</si>
  <si>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</si>
  <si>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</si>
  <si>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</si>
  <si>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</si>
  <si>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</si>
  <si>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</si>
  <si>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</si>
  <si>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</si>
  <si>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</si>
  <si>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</si>
  <si>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</si>
  <si>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</si>
  <si>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</si>
  <si>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</si>
  <si>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</si>
  <si>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</si>
  <si>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</si>
  <si>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</si>
  <si>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</si>
  <si>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</si>
  <si>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</si>
  <si>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</si>
  <si>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</si>
  <si>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</si>
  <si>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</si>
  <si>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</si>
  <si>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</si>
  <si>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</si>
  <si>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</si>
  <si>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</si>
  <si>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</si>
  <si>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</si>
  <si>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</si>
  <si>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</si>
  <si>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</si>
  <si>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</si>
  <si>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</si>
  <si>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</si>
  <si>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</si>
  <si>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</si>
  <si>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</si>
  <si>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</si>
  <si>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</si>
  <si>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</si>
  <si>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</si>
  <si>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</si>
  <si>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</si>
  <si>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</si>
  <si>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</si>
  <si>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</si>
  <si>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</si>
  <si>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</si>
  <si>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</si>
  <si>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</si>
  <si>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</si>
  <si>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</si>
  <si>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</si>
  <si>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</si>
  <si>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</si>
  <si>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</si>
  <si>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</si>
  <si>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</si>
  <si>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</si>
  <si>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</si>
  <si>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</si>
  <si>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</si>
  <si>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</si>
  <si>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</si>
  <si>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</si>
  <si>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</si>
  <si>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</si>
  <si>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</si>
  <si>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</si>
  <si>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</si>
  <si>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</si>
  <si>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</si>
  <si>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</si>
  <si>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</si>
  <si>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</si>
  <si>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</si>
  <si>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</si>
  <si>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</si>
  <si>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</si>
  <si>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</si>
  <si>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</si>
  <si>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</si>
  <si>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</si>
  <si>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</si>
  <si>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</si>
  <si>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</si>
  <si>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</si>
  <si>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</si>
  <si>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</si>
  <si>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</si>
  <si>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</si>
  <si>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</si>
  <si>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</si>
  <si>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</si>
  <si>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</si>
  <si>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</si>
  <si>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</si>
  <si>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</si>
  <si>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</si>
  <si>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</si>
  <si>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</si>
  <si>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</si>
  <si>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</si>
  <si>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</si>
  <si>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</si>
  <si>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</si>
  <si>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</si>
  <si>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</si>
  <si>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</si>
  <si>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</si>
  <si>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</si>
  <si>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</si>
  <si>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</si>
  <si>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</si>
  <si>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</si>
  <si>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</si>
  <si>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</si>
  <si>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</si>
  <si>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</si>
  <si>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</si>
  <si>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</si>
  <si>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</si>
  <si>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</si>
  <si>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</si>
  <si>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</si>
  <si>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</si>
  <si>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</si>
  <si>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</si>
  <si>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</si>
  <si>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</si>
  <si>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</si>
  <si>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</si>
  <si>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</si>
  <si>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</si>
  <si>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</si>
  <si>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</si>
  <si>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</si>
  <si>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</si>
  <si>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</si>
  <si>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</si>
  <si>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</si>
  <si>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</si>
  <si>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</si>
  <si>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</si>
  <si>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</si>
  <si>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</si>
  <si>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</si>
  <si>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</si>
  <si>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</si>
  <si>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</si>
  <si>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</si>
  <si>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</si>
  <si>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</si>
  <si>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</si>
  <si>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</si>
  <si>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</si>
  <si>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</si>
  <si>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</si>
  <si>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</si>
  <si>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</si>
  <si>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</si>
  <si>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</si>
  <si>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</si>
  <si>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</si>
  <si>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</si>
  <si>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</si>
  <si>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</si>
  <si>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</si>
  <si>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</si>
  <si>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</si>
  <si>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</si>
  <si>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</si>
  <si>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</si>
  <si>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</si>
  <si>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</si>
  <si>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</si>
  <si>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</si>
  <si>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</si>
  <si>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</si>
  <si>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</si>
  <si>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</si>
  <si>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</si>
  <si>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</si>
  <si>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</si>
  <si>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</si>
  <si>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</si>
  <si>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</si>
  <si>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</si>
  <si>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</si>
  <si>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</si>
  <si>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</si>
  <si>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</si>
  <si>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</si>
  <si>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</si>
  <si>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</si>
  <si>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</si>
  <si>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</si>
  <si>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</si>
  <si>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</si>
  <si>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</si>
  <si>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</si>
  <si>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</si>
  <si>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</si>
  <si>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</si>
  <si>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</si>
  <si>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</si>
  <si>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</si>
  <si>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</si>
  <si>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</si>
  <si>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</si>
  <si>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</si>
  <si>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</si>
  <si>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</si>
  <si>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</si>
  <si>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</si>
  <si>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</si>
  <si>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</si>
  <si>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</si>
  <si>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</si>
  <si>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</si>
  <si>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</si>
  <si>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</si>
  <si>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</si>
  <si>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</si>
  <si>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</si>
  <si>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</si>
  <si>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</si>
  <si>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</si>
  <si>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</si>
  <si>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</si>
  <si>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</si>
  <si>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</si>
  <si>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</si>
  <si>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</si>
  <si>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</si>
  <si>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</si>
  <si>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</si>
  <si>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</si>
  <si>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</si>
  <si>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</si>
  <si>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</si>
  <si>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</si>
  <si>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</si>
  <si>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</si>
  <si>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</si>
  <si>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</si>
  <si>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</si>
  <si>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</si>
  <si>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</si>
  <si>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</si>
  <si>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</si>
  <si>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</si>
  <si>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</si>
  <si>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</si>
  <si>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</si>
  <si>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</si>
  <si>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</si>
  <si>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</si>
  <si>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</si>
  <si>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</si>
  <si>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</si>
  <si>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</si>
  <si>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</si>
  <si>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</si>
  <si>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</si>
  <si>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</si>
  <si>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</si>
  <si>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</si>
  <si>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</si>
  <si>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</si>
  <si>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</si>
  <si>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</si>
  <si>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</si>
  <si>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</si>
  <si>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</si>
  <si>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</si>
  <si>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</si>
  <si>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</si>
  <si>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</si>
  <si>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</si>
  <si>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</si>
  <si>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</si>
  <si>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</si>
  <si>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</si>
  <si>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</si>
  <si>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</si>
  <si>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</si>
  <si>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</si>
  <si>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</si>
  <si>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</si>
  <si>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</si>
  <si>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</si>
  <si>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</si>
  <si>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</si>
  <si>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</si>
  <si>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</si>
  <si>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</si>
  <si>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</si>
  <si>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</si>
  <si>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</si>
  <si>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</si>
  <si>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</si>
  <si>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</si>
  <si>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</si>
  <si>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</si>
  <si>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</si>
  <si>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</si>
  <si>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</si>
  <si>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</si>
  <si>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</si>
  <si>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</si>
  <si>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</si>
  <si>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</si>
  <si>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</si>
  <si>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</si>
  <si>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</si>
  <si>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</si>
  <si>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</si>
  <si>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</si>
  <si>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</si>
  <si>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</si>
  <si>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</si>
  <si>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</si>
  <si>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</si>
  <si>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</si>
  <si>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</si>
  <si>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</si>
  <si>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</si>
  <si>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</si>
  <si>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</si>
  <si>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</si>
  <si>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</si>
  <si>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</si>
  <si>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</si>
  <si>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</si>
  <si>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</si>
  <si>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</si>
  <si>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</si>
  <si>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</si>
  <si>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</si>
  <si>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</si>
  <si>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</si>
  <si>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</si>
  <si>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</si>
  <si>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</si>
  <si>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</si>
  <si>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</si>
  <si>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</si>
  <si>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</si>
  <si>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</si>
  <si>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</si>
  <si>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</si>
  <si>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</si>
  <si>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</si>
  <si>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</si>
  <si>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</si>
  <si>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</si>
  <si>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</si>
  <si>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</si>
  <si>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</si>
  <si>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</si>
  <si>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</si>
  <si>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</si>
  <si>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</si>
  <si>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</si>
  <si>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</si>
  <si>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</si>
  <si>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</si>
  <si>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</si>
  <si>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</si>
  <si>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</si>
  <si>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</si>
  <si>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</si>
  <si>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</si>
  <si>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</si>
  <si>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</si>
  <si>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</si>
  <si>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</si>
  <si>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</si>
  <si>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</si>
  <si>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</si>
  <si>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</si>
  <si>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</si>
  <si>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</si>
  <si>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</si>
  <si>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</si>
  <si>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</si>
  <si>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</si>
  <si>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</si>
  <si>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</si>
  <si>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</si>
  <si>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</si>
  <si>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</si>
  <si>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</si>
  <si>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</si>
  <si>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</si>
  <si>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</si>
  <si>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</si>
  <si>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</si>
  <si>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</si>
  <si>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</si>
  <si>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</si>
  <si>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</si>
  <si>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</si>
  <si>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</si>
  <si>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</si>
  <si>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</si>
  <si>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</si>
  <si>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</si>
  <si>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</si>
  <si>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</si>
  <si>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</si>
  <si>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</si>
  <si>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</si>
  <si>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</si>
  <si>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</si>
  <si>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</si>
  <si>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</si>
  <si>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</si>
  <si>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</si>
  <si>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</si>
  <si>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</si>
  <si>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</si>
  <si>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</si>
  <si>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</si>
  <si>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</si>
  <si>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</si>
  <si>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</si>
  <si>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</si>
  <si>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</si>
  <si>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</si>
  <si>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</si>
  <si>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</si>
  <si>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</si>
  <si>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</si>
  <si>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</si>
  <si>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</si>
  <si>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</si>
  <si>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</si>
  <si>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</si>
  <si>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</si>
  <si>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</si>
  <si>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</si>
  <si>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</si>
  <si>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</si>
  <si>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</si>
  <si>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</si>
  <si>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</si>
  <si>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</si>
  <si>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</si>
  <si>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</si>
  <si>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</si>
  <si>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</si>
  <si>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</si>
  <si>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</si>
  <si>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</si>
  <si>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</si>
  <si>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</si>
  <si>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</si>
  <si>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</si>
  <si>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</si>
  <si>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</si>
  <si>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</si>
  <si>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</si>
  <si>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</si>
  <si>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</si>
  <si>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</si>
  <si>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</si>
  <si>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</si>
  <si>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</si>
  <si>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</si>
  <si>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</si>
  <si>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</si>
  <si>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</si>
  <si>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</si>
  <si>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</si>
  <si>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</si>
  <si>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</si>
  <si>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</si>
  <si>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</si>
  <si>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</si>
  <si>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</si>
  <si>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</si>
  <si>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</si>
  <si>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</si>
  <si>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</si>
  <si>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</si>
  <si>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</si>
  <si>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</si>
  <si>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</si>
  <si>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</si>
  <si>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</si>
  <si>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</si>
  <si>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</si>
  <si>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</si>
  <si>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</si>
  <si>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</si>
  <si>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</si>
  <si>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</si>
  <si>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</si>
  <si>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</si>
  <si>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</si>
  <si>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</si>
  <si>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</si>
  <si>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</si>
  <si>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</si>
  <si>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</si>
  <si>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</si>
  <si>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</si>
  <si>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</si>
  <si>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</si>
  <si>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</si>
  <si>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</si>
  <si>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</si>
  <si>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</si>
  <si>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</si>
  <si>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</si>
  <si>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</si>
  <si>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</si>
  <si>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</si>
  <si>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</si>
  <si>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</si>
  <si>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</si>
  <si>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</si>
  <si>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</si>
  <si>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</si>
  <si>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</si>
  <si>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</si>
  <si>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</si>
  <si>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</si>
  <si>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</si>
  <si>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</si>
  <si>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</si>
  <si>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</si>
  <si>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</si>
  <si>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</si>
  <si>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</si>
  <si>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</si>
  <si>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</si>
  <si>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</si>
  <si>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</si>
  <si>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</si>
  <si>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</si>
  <si>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</si>
  <si>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</si>
  <si>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</si>
  <si>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</si>
  <si>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</si>
  <si>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</si>
  <si>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</si>
  <si>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</si>
  <si>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</si>
  <si>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</si>
  <si>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</si>
  <si>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</si>
  <si>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</si>
  <si>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</si>
  <si>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</si>
  <si>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</si>
  <si>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</si>
  <si>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</si>
  <si>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</si>
  <si>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</si>
  <si>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</si>
  <si>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</si>
  <si>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</si>
  <si>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</si>
  <si>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</si>
  <si>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</si>
  <si>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</si>
  <si>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</si>
  <si>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</si>
  <si>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</si>
  <si>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</si>
  <si>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</si>
  <si>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</si>
  <si>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</si>
  <si>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</si>
  <si>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</si>
  <si>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</si>
  <si>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</si>
  <si>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</si>
  <si>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</si>
  <si>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</si>
  <si>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</si>
  <si>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</si>
  <si>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</si>
  <si>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</si>
  <si>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</si>
  <si>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</si>
  <si>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</si>
  <si>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</si>
  <si>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</si>
  <si>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</si>
  <si>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</si>
  <si>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</si>
  <si>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</si>
  <si>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</si>
  <si>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</si>
  <si>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</si>
  <si>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</si>
  <si>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</si>
  <si>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</si>
  <si>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</si>
  <si>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</si>
  <si>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</si>
  <si>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</si>
  <si>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</si>
  <si>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</si>
  <si>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</si>
  <si>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</si>
  <si>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</si>
  <si>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</si>
  <si>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</si>
  <si>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</si>
  <si>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</si>
  <si>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</si>
  <si>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</si>
  <si>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</si>
  <si>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</si>
  <si>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</si>
  <si>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</si>
  <si>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</si>
  <si>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</si>
  <si>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</si>
  <si>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</si>
  <si>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</si>
  <si>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</si>
  <si>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</si>
  <si>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</si>
  <si>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</si>
  <si>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</si>
  <si>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</si>
  <si>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</si>
  <si>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</si>
  <si>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</si>
  <si>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</si>
  <si>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</si>
  <si>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</si>
  <si>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</si>
  <si>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</si>
  <si>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</si>
  <si>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</si>
  <si>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</si>
  <si>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</si>
  <si>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</si>
  <si>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</si>
  <si>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</si>
  <si>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</si>
  <si>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</si>
  <si>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</si>
  <si>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</si>
  <si>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</si>
  <si>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</si>
  <si>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</si>
  <si>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</si>
  <si>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</si>
  <si>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</si>
  <si>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</si>
  <si>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</si>
  <si>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</si>
  <si>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</si>
  <si>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</si>
  <si>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</si>
  <si>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</si>
  <si>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</si>
  <si>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</si>
  <si>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</si>
  <si>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</si>
  <si>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</si>
  <si>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</si>
  <si>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</si>
  <si>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</si>
  <si>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</si>
  <si>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</si>
  <si>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</si>
  <si>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</si>
  <si>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</si>
  <si>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</si>
  <si>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</si>
  <si>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</si>
  <si>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</si>
  <si>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</si>
  <si>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</si>
  <si>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</si>
  <si>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</si>
  <si>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</si>
  <si>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</si>
  <si>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</si>
  <si>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</si>
  <si>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</si>
  <si>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</si>
  <si>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</si>
  <si>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</si>
  <si>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</si>
  <si>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</si>
  <si>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</si>
  <si>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</si>
  <si>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</si>
  <si>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</si>
  <si>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</si>
  <si>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</si>
  <si>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</si>
  <si>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</si>
  <si>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</si>
  <si>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</si>
  <si>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</si>
  <si>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</si>
  <si>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</si>
  <si>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</si>
  <si>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</si>
  <si>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</si>
  <si>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</si>
  <si>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</si>
  <si>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</si>
  <si>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</si>
  <si>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</si>
  <si>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</si>
  <si>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</si>
  <si>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</si>
  <si>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</si>
  <si>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</si>
  <si>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</si>
  <si>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</si>
  <si>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</si>
  <si>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</si>
  <si>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</si>
  <si>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</si>
  <si>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</si>
  <si>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</si>
  <si>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</si>
  <si>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</si>
  <si>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</si>
  <si>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</si>
  <si>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</si>
  <si>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</si>
  <si>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</si>
  <si>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</si>
  <si>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</si>
  <si>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</si>
  <si>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</si>
  <si>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</si>
  <si>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</si>
  <si>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</si>
  <si>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</si>
  <si>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</si>
  <si>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</si>
  <si>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</si>
  <si>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</si>
  <si>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</si>
  <si>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</si>
  <si>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</si>
  <si>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</si>
  <si>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</si>
  <si>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</si>
  <si>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</si>
  <si>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</si>
  <si>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</si>
  <si>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</si>
  <si>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</si>
  <si>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</si>
  <si>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</si>
  <si>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</si>
  <si>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</si>
  <si>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</si>
  <si>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</si>
  <si>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</si>
  <si>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</si>
  <si>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</si>
  <si>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</si>
  <si>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</si>
  <si>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</si>
  <si>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</si>
  <si>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</si>
  <si>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</si>
  <si>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</si>
  <si>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</si>
  <si>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</si>
  <si>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</si>
  <si>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</si>
  <si>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</si>
  <si>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</si>
  <si>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</si>
  <si>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</si>
  <si>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</si>
  <si>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</si>
  <si>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</si>
  <si>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</si>
  <si>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</si>
  <si>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</si>
  <si>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</si>
  <si>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</si>
  <si>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</si>
  <si>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</si>
  <si>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</si>
  <si>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</si>
  <si>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</si>
  <si>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</si>
  <si>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</si>
  <si>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</si>
  <si>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</si>
  <si>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</si>
  <si>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</si>
  <si>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</si>
  <si>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</si>
  <si>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</si>
  <si>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</si>
  <si>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</si>
  <si>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</si>
  <si>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</si>
  <si>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</si>
  <si>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</si>
  <si>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</si>
  <si>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</si>
  <si>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</si>
  <si>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</si>
  <si>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</si>
  <si>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</si>
  <si>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</si>
  <si>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</si>
  <si>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</si>
  <si>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</si>
  <si>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</si>
  <si>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</si>
  <si>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</si>
  <si>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</si>
  <si>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</si>
  <si>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</si>
  <si>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</si>
  <si>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</si>
  <si>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</si>
  <si>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</si>
  <si>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</si>
  <si>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</si>
  <si>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</si>
  <si>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</si>
  <si>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</si>
  <si>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</si>
  <si>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</si>
  <si>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</si>
  <si>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</si>
  <si>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</si>
  <si>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</si>
  <si>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</si>
  <si>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</si>
  <si>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</si>
  <si>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</si>
  <si>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</si>
  <si>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</si>
  <si>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</si>
  <si>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</si>
  <si>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</si>
  <si>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</si>
  <si>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</si>
  <si>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</si>
  <si>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</si>
  <si>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</si>
  <si>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</si>
  <si>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</si>
  <si>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</si>
  <si>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</si>
  <si>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</si>
  <si>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</si>
  <si>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</si>
  <si>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</si>
  <si>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</si>
  <si>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</si>
  <si>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</si>
  <si>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</si>
  <si>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</si>
  <si>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</si>
  <si>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</si>
  <si>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</si>
  <si>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</si>
  <si>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</si>
  <si>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</si>
  <si>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</si>
  <si>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</si>
  <si>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</si>
  <si>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</si>
  <si>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</si>
  <si>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</si>
  <si>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</si>
  <si>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</si>
  <si>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</si>
  <si>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</si>
  <si>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</si>
  <si>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</si>
  <si>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</si>
  <si>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</si>
  <si>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</si>
  <si>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</si>
  <si>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</si>
  <si>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</si>
  <si>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</si>
  <si>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</si>
  <si>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</si>
  <si>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</si>
  <si>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</si>
  <si>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</si>
  <si>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</si>
  <si>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</si>
  <si>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</si>
  <si>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</si>
  <si>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</si>
  <si>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</si>
  <si>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</si>
  <si>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</si>
  <si>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</si>
  <si>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</si>
  <si>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</si>
  <si>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</si>
  <si>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</si>
  <si>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</si>
  <si>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</si>
  <si>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</si>
  <si>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</si>
  <si>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</si>
  <si>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</si>
  <si>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</si>
  <si>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</si>
  <si>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</si>
  <si>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</si>
  <si>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</si>
  <si>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</si>
  <si>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</si>
  <si>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</si>
  <si>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</si>
  <si>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</si>
  <si>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</si>
  <si>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</si>
  <si>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</si>
  <si>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</si>
  <si>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</si>
  <si>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</si>
  <si>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</si>
  <si>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</si>
  <si>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</si>
  <si>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</si>
  <si>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</si>
  <si>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</si>
  <si>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</si>
  <si>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</si>
  <si>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</si>
  <si>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</si>
  <si>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</si>
  <si>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</si>
  <si>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</si>
  <si>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</si>
  <si>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</si>
  <si>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</si>
  <si>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</si>
  <si>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</si>
  <si>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</si>
  <si>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</si>
  <si>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</si>
  <si>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</si>
  <si>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</si>
  <si>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</si>
  <si>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</si>
  <si>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</si>
  <si>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</si>
  <si>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</si>
  <si>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</si>
  <si>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</si>
  <si>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</si>
  <si>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</si>
  <si>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</si>
  <si>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</si>
  <si>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</si>
  <si>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</si>
  <si>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</si>
  <si>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</si>
  <si>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</si>
  <si>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</si>
  <si>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</si>
  <si>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</si>
  <si>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</si>
  <si>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</si>
  <si>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</si>
  <si>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</si>
  <si>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</si>
  <si>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</si>
  <si>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</si>
  <si>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</si>
  <si>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</si>
  <si>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</si>
  <si>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</si>
  <si>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</si>
  <si>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</si>
  <si>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</si>
  <si>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</si>
  <si>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</si>
  <si>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</si>
  <si>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</si>
  <si>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</si>
  <si>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</si>
  <si>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</si>
  <si>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</si>
  <si>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</si>
  <si>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</si>
  <si>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</si>
  <si>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</si>
  <si>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</si>
  <si>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</si>
  <si>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</si>
  <si>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</si>
  <si>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</si>
  <si>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</si>
  <si>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</si>
  <si>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</si>
  <si>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</si>
  <si>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</si>
  <si>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</si>
  <si>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</si>
  <si>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</si>
  <si>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</si>
  <si>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</si>
  <si>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</si>
  <si>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</si>
  <si>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</si>
  <si>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</si>
  <si>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</si>
  <si>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</si>
  <si>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</si>
  <si>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</si>
  <si>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</si>
  <si>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</si>
  <si>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</si>
  <si>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</si>
  <si>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</si>
  <si>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</si>
  <si>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</si>
  <si>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</si>
  <si>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</si>
  <si>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</si>
  <si>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</si>
  <si>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</si>
  <si>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</si>
  <si>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</si>
  <si>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</si>
  <si>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</si>
  <si>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</si>
  <si>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</si>
  <si>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</si>
  <si>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</si>
  <si>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</si>
  <si>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</si>
  <si>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</si>
  <si>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</si>
  <si>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</si>
  <si>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</si>
  <si>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</si>
  <si>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</si>
  <si>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</si>
  <si>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</si>
  <si>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</si>
  <si>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</si>
  <si>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</si>
  <si>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</si>
  <si>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</si>
  <si>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</si>
  <si>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</si>
  <si>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</si>
  <si>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</si>
  <si>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</si>
  <si>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</si>
  <si>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</si>
  <si>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</si>
  <si>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</si>
  <si>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</si>
  <si>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</si>
  <si>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</si>
  <si>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</si>
  <si>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</si>
  <si>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</si>
  <si>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</si>
  <si>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</si>
  <si>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</si>
  <si>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</si>
  <si>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</si>
  <si>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</si>
  <si>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</si>
  <si>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</si>
  <si>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</si>
  <si>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</si>
  <si>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</si>
  <si>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</si>
  <si>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</si>
  <si>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</si>
  <si>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</si>
  <si>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</si>
  <si>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</si>
  <si>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</si>
  <si>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</si>
  <si>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</si>
  <si>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</si>
  <si>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</si>
  <si>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</si>
  <si>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</si>
  <si>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</si>
  <si>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</si>
  <si>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</si>
  <si>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</si>
  <si>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</si>
  <si>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</si>
  <si>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</si>
  <si>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</si>
  <si>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</si>
  <si>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</si>
  <si>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</si>
  <si>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</si>
  <si>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</si>
  <si>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</si>
  <si>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</si>
  <si>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</si>
  <si>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</si>
  <si>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</si>
  <si>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</si>
  <si>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</si>
  <si>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</si>
  <si>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</si>
  <si>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</si>
  <si>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</si>
  <si>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</si>
  <si>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</si>
  <si>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</si>
  <si>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</si>
  <si>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</si>
  <si>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</si>
  <si>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</si>
  <si>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</si>
  <si>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</si>
  <si>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</si>
  <si>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</si>
  <si>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</si>
  <si>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</si>
  <si>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</si>
  <si>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</si>
  <si>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</si>
  <si>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</si>
  <si>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</si>
  <si>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</si>
  <si>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</si>
  <si>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</si>
  <si>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</si>
  <si>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</si>
  <si>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</si>
  <si>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</si>
  <si>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</si>
  <si>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</si>
  <si>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</si>
  <si>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</si>
  <si>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</si>
  <si>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</si>
  <si>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</si>
  <si>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</si>
  <si>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</si>
  <si>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</si>
  <si>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</si>
  <si>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</si>
  <si>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</si>
  <si>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</si>
  <si>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</si>
  <si>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</si>
  <si>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</si>
  <si>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</si>
  <si>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</si>
  <si>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</si>
  <si>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</si>
  <si>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</si>
  <si>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</si>
  <si>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</si>
  <si>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</si>
  <si>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</si>
  <si>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</si>
  <si>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</si>
  <si>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</si>
  <si>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</si>
  <si>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</si>
  <si>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</si>
  <si>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</si>
  <si>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</si>
  <si>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</si>
  <si>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</si>
  <si>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</si>
  <si>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</si>
  <si>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</si>
  <si>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</si>
  <si>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</si>
  <si>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</si>
  <si>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</si>
  <si>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</si>
  <si>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</si>
  <si>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</si>
  <si>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</si>
  <si>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</si>
  <si>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</si>
  <si>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</si>
  <si>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</si>
  <si>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</si>
  <si>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</si>
  <si>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</si>
  <si>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</si>
  <si>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</si>
  <si>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</si>
  <si>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</si>
  <si>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</si>
  <si>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</si>
  <si>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</si>
  <si>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</si>
  <si>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</si>
  <si>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</si>
  <si>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</si>
  <si>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</si>
  <si>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</si>
  <si>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</si>
  <si>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</si>
  <si>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</si>
  <si>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</si>
  <si>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</si>
  <si>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</si>
  <si>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</si>
  <si>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</si>
  <si>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</si>
  <si>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</si>
  <si>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</si>
  <si>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</si>
  <si>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</si>
  <si>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</si>
  <si>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</si>
  <si>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</si>
  <si>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</si>
  <si>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</si>
  <si>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</si>
  <si>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</si>
  <si>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</si>
  <si>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</si>
  <si>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</si>
  <si>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</si>
  <si>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</si>
  <si>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</si>
  <si>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</si>
  <si>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</si>
  <si>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</si>
  <si>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</si>
  <si>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</si>
  <si>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</si>
  <si>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</si>
  <si>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</si>
  <si>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</si>
  <si>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</si>
  <si>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</si>
  <si>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</si>
  <si>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</si>
  <si>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</si>
  <si>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</si>
  <si>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</si>
  <si>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</si>
  <si>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</si>
  <si>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</si>
  <si>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</si>
  <si>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</si>
  <si>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</si>
  <si>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</si>
  <si>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</si>
  <si>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</si>
  <si>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</si>
  <si>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</si>
  <si>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</si>
  <si>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</si>
  <si>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</si>
  <si>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</si>
  <si>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</si>
  <si>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</si>
  <si>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</si>
  <si>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</si>
  <si>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</si>
  <si>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</si>
  <si>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</si>
  <si>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</si>
  <si>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</si>
  <si>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</si>
  <si>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</si>
  <si>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</si>
  <si>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</si>
  <si>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</si>
  <si>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</si>
  <si>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</si>
  <si>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</si>
  <si>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</si>
  <si>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</si>
  <si>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</si>
  <si>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</si>
  <si>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</si>
  <si>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</si>
  <si>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</si>
  <si>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</si>
  <si>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</si>
  <si>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</si>
  <si>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</si>
  <si>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</si>
  <si>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</si>
  <si>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</si>
  <si>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</si>
  <si>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</si>
  <si>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</si>
  <si>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</si>
  <si>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</si>
  <si>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</si>
  <si>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</si>
  <si>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</si>
  <si>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</si>
  <si>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</si>
  <si>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</si>
  <si>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</si>
  <si>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</si>
  <si>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</si>
  <si>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</si>
  <si>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</si>
  <si>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</si>
  <si>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</si>
  <si>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</si>
  <si>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</si>
  <si>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</si>
  <si>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</si>
  <si>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</si>
  <si>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</si>
  <si>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 xml:space="preserve">Statement on Auditing Standards 115 has prescribed definitions for significant deficiences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 </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</si>
  <si>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</si>
  <si>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</si>
  <si>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</si>
  <si>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</si>
  <si>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</si>
  <si>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Monmouth</t>
  </si>
  <si>
    <t>efletcher@mr238.org</t>
  </si>
  <si>
    <t>Warren</t>
  </si>
  <si>
    <t>105 North E. St</t>
  </si>
  <si>
    <t>Mr. Edward Fletcher</t>
  </si>
  <si>
    <t>efletcher@238.org</t>
  </si>
  <si>
    <t>309-734-4712</t>
  </si>
  <si>
    <t>309-734-4755</t>
  </si>
  <si>
    <t>Cavanaugh, Davies, Blackman &amp; Cramblet</t>
  </si>
  <si>
    <t>Rod Davies</t>
  </si>
  <si>
    <t>1021 N. Main St., PO Box 318</t>
  </si>
  <si>
    <t>IL</t>
  </si>
  <si>
    <t>309-734-2349</t>
  </si>
  <si>
    <t>309-734-2330</t>
  </si>
  <si>
    <t>cdbccpas@monmouthcpa.com</t>
  </si>
  <si>
    <t>Jodi Scott</t>
  </si>
  <si>
    <t>US Department of Education - Pass through from Illinois State Board of Education</t>
  </si>
  <si>
    <t>Title VI - Rural Education</t>
  </si>
  <si>
    <t>2019-4107</t>
  </si>
  <si>
    <t>2018-4300</t>
  </si>
  <si>
    <t>2019-4300</t>
  </si>
  <si>
    <t>Title III - Immigrant Educ Prog</t>
  </si>
  <si>
    <t>2018-4905</t>
  </si>
  <si>
    <t>2019-4905</t>
  </si>
  <si>
    <t>2018-4909</t>
  </si>
  <si>
    <t>Title III - Lang Inst Prog - Limited English</t>
  </si>
  <si>
    <t>2019-4909</t>
  </si>
  <si>
    <t>2018-4932</t>
  </si>
  <si>
    <t>2019-4932</t>
  </si>
  <si>
    <t>Fed Special Ed - IDEA Room &amp; Board</t>
  </si>
  <si>
    <t>2018-4625</t>
  </si>
  <si>
    <t>n/a</t>
  </si>
  <si>
    <t>Title IV A - Student Support</t>
  </si>
  <si>
    <t>2019-4400</t>
  </si>
  <si>
    <t>2018-4400</t>
  </si>
  <si>
    <t>Title I - School Improvement &amp; Accountability</t>
  </si>
  <si>
    <t>2019-4331</t>
  </si>
  <si>
    <t>Total US Department of Education - Pass through from Illinois State Board of Education</t>
  </si>
  <si>
    <t>Carl Perkins</t>
  </si>
  <si>
    <t>2019-4745</t>
  </si>
  <si>
    <t>Total US Department of Education</t>
  </si>
  <si>
    <t>US Department of Agriculture - Pass through from Illinois State Board of Education</t>
  </si>
  <si>
    <t>Commodities (Non Cash) (M)</t>
  </si>
  <si>
    <t>33094-238026</t>
  </si>
  <si>
    <t>National School Lunch (M)</t>
  </si>
  <si>
    <t>2018-4210</t>
  </si>
  <si>
    <t>2019-4210</t>
  </si>
  <si>
    <t>School Breakfast (M)</t>
  </si>
  <si>
    <t>2018-4220</t>
  </si>
  <si>
    <t>2019-4220</t>
  </si>
  <si>
    <t>Special Milk Program (M)</t>
  </si>
  <si>
    <t>2018-4215</t>
  </si>
  <si>
    <t>2019-4215</t>
  </si>
  <si>
    <t>Total US Department of Agriculture - Pass through from Illinois State Board of Education</t>
  </si>
  <si>
    <t>US Department of Health &amp; Human Services - Pass through from Illinois Department of Healthcare &amp; Family Services (Payee - Knox Warren Special Ed Dist)</t>
  </si>
  <si>
    <t>Medicaid Admin Outreach (FY18)</t>
  </si>
  <si>
    <t>37-6004859</t>
  </si>
  <si>
    <t>Medicaid Admin Outreach (FY19)</t>
  </si>
  <si>
    <t>Total All Pages</t>
  </si>
  <si>
    <t>jscott@roe33.net</t>
  </si>
  <si>
    <t>309-734-2452</t>
  </si>
  <si>
    <t>309-734-6822</t>
  </si>
  <si>
    <t>2009 Fire Prevention &amp; Life Safety Bonds</t>
  </si>
  <si>
    <t>2013 Debt Certificates</t>
  </si>
  <si>
    <t>2015 Working Cash Bonds</t>
  </si>
  <si>
    <t>2015 Fire Prevention &amp; Life Safety Bonds</t>
  </si>
  <si>
    <t>2018 Working Cash Bonds</t>
  </si>
  <si>
    <t>Technology Lease</t>
  </si>
  <si>
    <t>Transportation-Pupil Transportation-Purchase Services</t>
  </si>
  <si>
    <t>Midwest Bus Sales Inc</t>
  </si>
  <si>
    <t>ED-Instruction-Purchase Services</t>
  </si>
  <si>
    <t>Office Machine Consultants</t>
  </si>
  <si>
    <t>Illinois Energy Consortium</t>
  </si>
  <si>
    <t>Knox-Warren Spec Ed</t>
  </si>
  <si>
    <t>Supply Works/Western Area Purchasing Co-op</t>
  </si>
  <si>
    <t>United CUSD #304/Galesburg CUSD #205 (Special Ed)</t>
  </si>
  <si>
    <t>Delabar CTE System</t>
  </si>
  <si>
    <t>21st Century Grant Fee For Service</t>
  </si>
  <si>
    <t>Medicaid Admin Claim to Galesburg CUSD 205</t>
  </si>
  <si>
    <r>
      <t>The accompanying Schedule of Expenditures of Federal Awards includes the federal grant activity of Monmouth-Roseville Community Unit School District #238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</si>
  <si>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Monmouth-Roseville Community Unit School District #238</t>
    </r>
    <r>
      <rPr>
        <sz val="9"/>
        <rFont val="Calibri"/>
        <family val="2"/>
        <scheme val="minor"/>
      </rPr>
      <t xml:space="preserve"> provided federal awards to subrecipients as follows:</t>
    </r>
  </si>
  <si>
    <t>None</t>
  </si>
  <si>
    <r>
      <t>The following amounts were expended in the form of non-cash assistance by Monmouth-Roseville Community Unit School District #238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</si>
  <si>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</si>
  <si>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10.553, 10.555, 10.556</t>
  </si>
  <si>
    <t>Child Nutrition Cluster</t>
  </si>
  <si>
    <t>Interfund loans from Working Cash Fund must be authorized by the school board.</t>
  </si>
  <si>
    <t>The superintendent will review all interfund loan approvals to ensure that all loans made are within the amounts approved by the board.  If additional loans are needed, the board will approve the additional amounts.</t>
  </si>
  <si>
    <t>For each fund, total expenditures disbursed may not legally exceed the District's budgeted amounts.</t>
  </si>
  <si>
    <t>A review of the expenditures, as compared to the budget, should be done in the future on an ongoing basis.  If the District's needs change, the board should amend the budget by the same procedures used for its original adoption.</t>
  </si>
  <si>
    <t>The budget was amended before year end.  A review will be done to ensure that all funds are reviewed when amending and the necessary adjustments made to each fund.</t>
  </si>
  <si>
    <t>2018-001</t>
  </si>
  <si>
    <t>Limited Segregation of Duties</t>
  </si>
  <si>
    <t xml:space="preserve">Repeat Finding-Corrective Action is not Practical in </t>
  </si>
  <si>
    <t>the Circumstances</t>
  </si>
  <si>
    <t>2018-002</t>
  </si>
  <si>
    <t xml:space="preserve">Actual Expenditures Over Budget </t>
  </si>
  <si>
    <t>in Three Funds</t>
  </si>
  <si>
    <t>2018-003</t>
  </si>
  <si>
    <t>Not all Employees or Board Members Filed</t>
  </si>
  <si>
    <t>Economic Interest Statements by May 1st</t>
  </si>
  <si>
    <t>All Timely Filed in the Current Year</t>
  </si>
  <si>
    <t>2018-004</t>
  </si>
  <si>
    <t>Working Cash Loan to Debt Service Fund was</t>
  </si>
  <si>
    <t>More than Amount Approved in the Minutes</t>
  </si>
  <si>
    <t xml:space="preserve">Repeat Finding </t>
  </si>
  <si>
    <t>Other Food Service - #1690, Line 74, Page 10</t>
  </si>
  <si>
    <t>$21,761  Food Reimbursement from Regional Adult Education Services Program</t>
  </si>
  <si>
    <t>Other District/School Activity Revenue - #1790, Line 81, Page 10</t>
  </si>
  <si>
    <t>Textbook Income - #1890, Line 92, Page 10</t>
  </si>
  <si>
    <t>$2,116 Miscellaneous Fees</t>
  </si>
  <si>
    <t>Other Local Revenues - #1999, Line 107, Page 11</t>
  </si>
  <si>
    <t>$8,576  Expense Reimbursements</t>
  </si>
  <si>
    <t>$50  Extracurricular Fees</t>
  </si>
  <si>
    <t>Other Restricted Revenue from State Sources - #3999, Line 168, Page 12</t>
  </si>
  <si>
    <t>$1,176 Per Capita Library Grant</t>
  </si>
  <si>
    <t>$44,805  Healthy Community Investments</t>
  </si>
  <si>
    <t>Title I - Other - #4399, Line 203, Page 13</t>
  </si>
  <si>
    <t>Other Support Services - #2900, Line 73, Page 16</t>
  </si>
  <si>
    <t>$97,083  Technology Direction &amp; Support</t>
  </si>
  <si>
    <t>Other Payments to In-State Govt. Units - #4190, Line 83, Page 16</t>
  </si>
  <si>
    <t>Operations and Maintenance Fund</t>
  </si>
  <si>
    <t>$913  Restitution &amp; Reimbursements</t>
  </si>
  <si>
    <t>Debt Services Fund</t>
  </si>
  <si>
    <t>Other - #5400, Line 171, Page 18</t>
  </si>
  <si>
    <t>$25,085  Bond Issuance Fees</t>
  </si>
  <si>
    <t>$400  Expense Reimbursements</t>
  </si>
  <si>
    <t>Other Support Services - #2900, Line 183, Page 18</t>
  </si>
  <si>
    <t>$272  Medicaid Services</t>
  </si>
  <si>
    <t>CTE - Perkins - #4799, Line 220, Page 13</t>
  </si>
  <si>
    <t>$315  Carl Perkins</t>
  </si>
  <si>
    <t>IMRF/Social Security Fund</t>
  </si>
  <si>
    <t>Other Support Services - #2900, Line 278, Page 20</t>
  </si>
  <si>
    <t>$14,343  Technology Support Staff</t>
  </si>
  <si>
    <t>Schedule of Restricted Local Tax Levies and Selected Revenue Sources</t>
  </si>
  <si>
    <t>Other Receipts - Line 10, Page 25</t>
  </si>
  <si>
    <t>$2,515  Interest - Capital Projects Fund</t>
  </si>
  <si>
    <t>Other Disbursements - Line 22, Page 25</t>
  </si>
  <si>
    <t>$52,740  Special Education Tuition</t>
  </si>
  <si>
    <t>Repeat Finding for Four Funds</t>
  </si>
  <si>
    <t>40-2550-300</t>
  </si>
  <si>
    <t>10-1000-300</t>
  </si>
  <si>
    <t>$8,347   #4331 School Improvement &amp; Accountability</t>
  </si>
  <si>
    <t>$5,355  Repay ISBE Early Childhood Block Grant FY18</t>
  </si>
  <si>
    <t>$1,226  Bond Administrative Fees</t>
  </si>
  <si>
    <t>$149  #4331 School Improvement &amp; Accountability</t>
  </si>
  <si>
    <t>$634,000 Working Cash Abatement to Capital Projects Fund</t>
  </si>
  <si>
    <t>US Department of Education - Pass through from Delabar CTE</t>
  </si>
  <si>
    <t>Department of Defense - Fresh Fruits and Vegetables (Non Cash)(M)</t>
  </si>
  <si>
    <t>For the year ended June 30, 2019, the Working Cash Fund loaned $25,000 more to the Debt Service Fund than what was approved in the resolution adopted by the board.</t>
  </si>
  <si>
    <t>For the year ended June 30, 2019, actual expenditures exceeded the budget in the Debt Service Fund, Transportation Fund, Capital Projects Fund, and Tort Fund.</t>
  </si>
  <si>
    <t>PDF in Opinion Page with Signature</t>
  </si>
  <si>
    <t>Monmouth-Roseville CUSD 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</si>
</sst>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64" fontId="64" fillId="0" borderId="0" xfId="0" applyNumberFormat="1" applyFont="1"/>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3</xdr:row>
          <xdr:rowOff>38100</xdr:rowOff>
        </xdr:from>
        <xdr:to>
          <xdr:col>1</xdr:col>
          <xdr:colOff>2324100</xdr:colOff>
          <xdr:row>7</xdr:row>
          <xdr:rowOff>76200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4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2714625</xdr:colOff>
          <xdr:row>3</xdr:row>
          <xdr:rowOff>9525</xdr:rowOff>
        </xdr:from>
        <xdr:to>
          <xdr:col>1</xdr:col>
          <xdr:colOff>3629025</xdr:colOff>
          <xdr:row>7</xdr:row>
          <xdr:rowOff>47625</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14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5" t="s">
        <v>405</v>
      </c>
      <c r="J1" s="2016"/>
      <c r="K1" s="2016"/>
      <c r="L1" s="2016"/>
      <c r="M1" s="2016"/>
      <c r="N1" s="2016"/>
      <c r="O1" s="2016"/>
      <c r="P1" s="2016"/>
      <c r="Q1" s="2016"/>
      <c r="R1" s="2016"/>
      <c r="S1" s="2016"/>
    </row>
    <row r="2" spans="1:28" ht="12" customHeight="1" x14ac:dyDescent="0.2">
      <c r="A2" s="47" t="s">
        <v>1988</v>
      </c>
      <c r="D2" s="48"/>
      <c r="I2" s="2017" t="s">
        <v>979</v>
      </c>
      <c r="J2" s="2016"/>
      <c r="K2" s="2016"/>
      <c r="L2" s="2016"/>
      <c r="M2" s="2016"/>
      <c r="N2" s="2016"/>
      <c r="O2" s="2016"/>
      <c r="P2" s="2016"/>
      <c r="Q2" s="2016"/>
      <c r="R2" s="2016"/>
      <c r="S2" s="2016"/>
    </row>
    <row r="3" spans="1:28" ht="12" customHeight="1" x14ac:dyDescent="0.2">
      <c r="A3" s="155" t="s">
        <v>1940</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2061</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2061</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33094238026</v>
      </c>
      <c r="B13" s="1986"/>
      <c r="C13" s="1986"/>
      <c r="D13" s="1986"/>
      <c r="E13" s="1986"/>
      <c r="F13" s="1986"/>
      <c r="G13" s="1986"/>
      <c r="H13" s="1987"/>
      <c r="I13" s="31"/>
      <c r="J13" s="30"/>
      <c r="K13" s="28"/>
      <c r="L13" s="30"/>
      <c r="M13" s="30"/>
      <c r="N13" s="30"/>
      <c r="O13" s="30"/>
      <c r="P13" s="30"/>
      <c r="Q13" s="30"/>
      <c r="R13" s="30"/>
      <c r="S13" s="30"/>
      <c r="T13" s="1990" t="s">
        <v>2076</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2070</v>
      </c>
      <c r="B15" s="1988"/>
      <c r="C15" s="1988"/>
      <c r="D15" s="1988"/>
      <c r="E15" s="1988"/>
      <c r="F15" s="1988"/>
      <c r="G15" s="1988"/>
      <c r="H15" s="1989"/>
      <c r="T15" s="1951" t="s">
        <v>2077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2220</v>
      </c>
      <c r="B17" s="2013"/>
      <c r="C17" s="2013"/>
      <c r="D17" s="2013"/>
      <c r="E17" s="2013"/>
      <c r="F17" s="2013"/>
      <c r="G17" s="2013"/>
      <c r="H17" s="2014"/>
      <c r="T17" s="2000" t="s">
        <v>2078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2071</v>
      </c>
      <c r="B19" s="1984"/>
      <c r="C19" s="1984"/>
      <c r="D19" s="1984"/>
      <c r="E19" s="1984"/>
      <c r="F19" s="1984"/>
      <c r="G19" s="1984"/>
      <c r="H19" s="1982"/>
      <c r="I19" s="30"/>
      <c r="J19" s="99"/>
      <c r="K19" s="40"/>
      <c r="L19" s="38"/>
      <c r="M19" s="112" t="s">
        <v>315</v>
      </c>
      <c r="P19" s="27"/>
      <c r="Q19" s="27"/>
      <c r="R19" s="27"/>
      <c r="S19" s="31"/>
      <c r="T19" s="1983" t="s">
        <v>2068</v>
      </c>
      <c r="U19" s="1981"/>
      <c r="V19" s="1981"/>
      <c r="W19" s="1982"/>
      <c r="X19" s="1998" t="s">
        <v>2079</v>
      </c>
      <c r="Y19" s="1999"/>
      <c r="Z19" s="1996">
        <v>61462</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2068</v>
      </c>
      <c r="B21" s="1981"/>
      <c r="C21" s="1981"/>
      <c r="D21" s="1981"/>
      <c r="E21" s="1981"/>
      <c r="F21" s="1981"/>
      <c r="G21" s="1981"/>
      <c r="H21" s="1982"/>
      <c r="I21" s="2006" t="s">
        <v>678</v>
      </c>
      <c r="J21" s="1969"/>
      <c r="K21" s="1969"/>
      <c r="L21" s="1969"/>
      <c r="M21" s="1969"/>
      <c r="N21" s="1969"/>
      <c r="O21" s="1969"/>
      <c r="P21" s="1969"/>
      <c r="Q21" s="1969"/>
      <c r="R21" s="1969"/>
      <c r="S21" s="1970"/>
      <c r="T21" s="1948" t="s">
        <v>2081</v>
      </c>
      <c r="U21" s="1949"/>
      <c r="V21" s="1949"/>
      <c r="W21" s="1949"/>
      <c r="X21" s="1962" t="s">
        <v>2080</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2069</v>
      </c>
      <c r="B23" s="2004"/>
      <c r="C23" s="2004"/>
      <c r="D23" s="2004"/>
      <c r="E23" s="2004"/>
      <c r="F23" s="2004"/>
      <c r="G23" s="2004"/>
      <c r="H23" s="2005"/>
      <c r="T23" s="1943">
        <v>60.008476000000002</v>
      </c>
      <c r="U23" s="1944"/>
      <c r="V23" s="1944"/>
      <c r="W23" s="1944"/>
      <c r="X23" s="1959">
        <v>44562</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61462</v>
      </c>
      <c r="B25" s="1981"/>
      <c r="C25" s="1981"/>
      <c r="D25" s="1981"/>
      <c r="E25" s="1981"/>
      <c r="F25" s="1981"/>
      <c r="G25" s="1981"/>
      <c r="H25" s="1982"/>
      <c r="I25" s="113"/>
      <c r="J25" s="2047"/>
      <c r="K25" s="2047"/>
      <c r="L25" s="2047"/>
      <c r="M25" s="2047"/>
      <c r="N25" s="2047"/>
      <c r="O25" s="2047"/>
      <c r="P25" s="2047"/>
      <c r="Q25" s="2047"/>
      <c r="R25" s="2047"/>
      <c r="S25" s="2048"/>
      <c r="T25" s="1940" t="s">
        <v>2082</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48" t="s">
        <v>2061</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2072</v>
      </c>
      <c r="B38" s="2013"/>
      <c r="C38" s="2013"/>
      <c r="D38" s="2013"/>
      <c r="E38" s="2013"/>
      <c r="F38" s="1981"/>
      <c r="G38" s="1981"/>
      <c r="H38" s="1982"/>
      <c r="I38" s="2032"/>
      <c r="J38" s="1952"/>
      <c r="K38" s="1952"/>
      <c r="L38" s="1952"/>
      <c r="M38" s="1952"/>
      <c r="N38" s="1952"/>
      <c r="O38" s="1952"/>
      <c r="P38" s="1953"/>
      <c r="Q38" s="1953"/>
      <c r="R38" s="1953"/>
      <c r="S38" s="1954"/>
      <c r="T38" s="1951" t="s">
        <v>2083</v>
      </c>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2073</v>
      </c>
      <c r="B40" s="2040"/>
      <c r="C40" s="2041"/>
      <c r="D40" s="2041"/>
      <c r="E40" s="2041"/>
      <c r="F40" s="2042"/>
      <c r="G40" s="2042"/>
      <c r="H40" s="2043"/>
      <c r="I40" s="1955"/>
      <c r="J40" s="1957"/>
      <c r="K40" s="1957"/>
      <c r="L40" s="1957"/>
      <c r="M40" s="1957"/>
      <c r="N40" s="1957"/>
      <c r="O40" s="1957"/>
      <c r="P40" s="1957"/>
      <c r="Q40" s="1957"/>
      <c r="R40" s="1957"/>
      <c r="S40" s="1958"/>
      <c r="T40" s="1955" t="s">
        <v>2127</v>
      </c>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2074</v>
      </c>
      <c r="B42" s="2030"/>
      <c r="C42" s="2031"/>
      <c r="D42" s="2044" t="s">
        <v>2075</v>
      </c>
      <c r="E42" s="2030"/>
      <c r="F42" s="2030"/>
      <c r="G42" s="2030"/>
      <c r="H42" s="2031"/>
      <c r="I42" s="1950"/>
      <c r="J42" s="1946"/>
      <c r="K42" s="1946"/>
      <c r="L42" s="1946"/>
      <c r="M42" s="1946"/>
      <c r="N42" s="1946"/>
      <c r="O42" s="1947"/>
      <c r="P42" s="1945"/>
      <c r="Q42" s="1946"/>
      <c r="R42" s="1946"/>
      <c r="S42" s="1947"/>
      <c r="T42" s="1950" t="s">
        <v>2129</v>
      </c>
      <c r="U42" s="1946"/>
      <c r="V42" s="1946"/>
      <c r="W42" s="1947"/>
      <c r="X42" s="1945" t="s">
        <v>2128</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W46" sqref="W4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2" t="s">
        <v>1799</v>
      </c>
      <c r="B2" s="1528" t="s">
        <v>1946</v>
      </c>
      <c r="C2" s="714" t="s">
        <v>1947</v>
      </c>
      <c r="D2" s="714" t="s">
        <v>1948</v>
      </c>
      <c r="E2" s="714" t="s">
        <v>1949</v>
      </c>
      <c r="F2" s="714" t="s">
        <v>1950</v>
      </c>
    </row>
    <row r="3" spans="1:6" ht="12" customHeight="1" x14ac:dyDescent="0.2">
      <c r="A3" s="2183"/>
      <c r="B3" s="1525"/>
      <c r="C3" s="1526"/>
      <c r="D3" s="1527" t="s">
        <v>256</v>
      </c>
      <c r="E3" s="1526"/>
      <c r="F3" s="1527" t="s">
        <v>257</v>
      </c>
    </row>
    <row r="4" spans="1:6" ht="13.7" customHeight="1" x14ac:dyDescent="0.2">
      <c r="A4" s="715" t="s">
        <v>1155</v>
      </c>
      <c r="B4" s="1748">
        <f>'Revenues 9-14'!C5</f>
        <v>2966642</v>
      </c>
      <c r="C4" s="1524"/>
      <c r="D4" s="1751">
        <f>B4-C4</f>
        <v>2966642</v>
      </c>
      <c r="E4" s="1524">
        <v>3044419</v>
      </c>
      <c r="F4" s="1751">
        <f>E4-C4</f>
        <v>3044419</v>
      </c>
    </row>
    <row r="5" spans="1:6" ht="13.7" customHeight="1" x14ac:dyDescent="0.2">
      <c r="A5" s="715" t="s">
        <v>870</v>
      </c>
      <c r="B5" s="1749">
        <f>'Revenues 9-14'!D5</f>
        <v>922955</v>
      </c>
      <c r="C5" s="585"/>
      <c r="D5" s="1752">
        <f t="shared" ref="D5:D18" si="0">B5-C5</f>
        <v>922955</v>
      </c>
      <c r="E5" s="585">
        <v>947153</v>
      </c>
      <c r="F5" s="1752">
        <f>E5-C5</f>
        <v>947153</v>
      </c>
    </row>
    <row r="6" spans="1:6" ht="13.7" customHeight="1" x14ac:dyDescent="0.2">
      <c r="A6" s="715" t="s">
        <v>411</v>
      </c>
      <c r="B6" s="1749">
        <f>'Revenues 9-14'!E5</f>
        <v>900527</v>
      </c>
      <c r="C6" s="585"/>
      <c r="D6" s="1752">
        <f t="shared" si="0"/>
        <v>900527</v>
      </c>
      <c r="E6" s="585">
        <v>895127</v>
      </c>
      <c r="F6" s="1752">
        <f t="shared" ref="F6:F18" si="1">E6-C6</f>
        <v>895127</v>
      </c>
    </row>
    <row r="7" spans="1:6" ht="13.7" customHeight="1" x14ac:dyDescent="0.2">
      <c r="A7" s="715" t="s">
        <v>155</v>
      </c>
      <c r="B7" s="1749">
        <f>'Revenues 9-14'!F5</f>
        <v>263701</v>
      </c>
      <c r="C7" s="585"/>
      <c r="D7" s="1752">
        <f t="shared" si="0"/>
        <v>263701</v>
      </c>
      <c r="E7" s="585">
        <v>270615</v>
      </c>
      <c r="F7" s="1752">
        <f t="shared" si="1"/>
        <v>270615</v>
      </c>
    </row>
    <row r="8" spans="1:6" ht="13.7" customHeight="1" x14ac:dyDescent="0.2">
      <c r="A8" s="715" t="s">
        <v>1179</v>
      </c>
      <c r="B8" s="1749">
        <f>'Revenues 9-14'!G5</f>
        <v>74720</v>
      </c>
      <c r="C8" s="585"/>
      <c r="D8" s="1752">
        <f t="shared" si="0"/>
        <v>74720</v>
      </c>
      <c r="E8" s="585">
        <v>124997</v>
      </c>
      <c r="F8" s="1752">
        <f t="shared" si="1"/>
        <v>124997</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65925</v>
      </c>
      <c r="C10" s="585"/>
      <c r="D10" s="1752">
        <f t="shared" si="0"/>
        <v>65925</v>
      </c>
      <c r="E10" s="585">
        <v>67654</v>
      </c>
      <c r="F10" s="1752">
        <f t="shared" si="1"/>
        <v>67654</v>
      </c>
    </row>
    <row r="11" spans="1:6" x14ac:dyDescent="0.2">
      <c r="A11" s="715" t="s">
        <v>409</v>
      </c>
      <c r="B11" s="1749">
        <f>'Revenues 9-14'!J5</f>
        <v>722344</v>
      </c>
      <c r="C11" s="585"/>
      <c r="D11" s="1752">
        <f t="shared" si="0"/>
        <v>722344</v>
      </c>
      <c r="E11" s="585">
        <v>599994</v>
      </c>
      <c r="F11" s="1752">
        <f t="shared" si="1"/>
        <v>599994</v>
      </c>
    </row>
    <row r="12" spans="1:6" ht="13.7" customHeight="1" x14ac:dyDescent="0.2">
      <c r="A12" s="715" t="s">
        <v>157</v>
      </c>
      <c r="B12" s="1749">
        <f>'Revenues 9-14'!K5</f>
        <v>65925</v>
      </c>
      <c r="C12" s="585"/>
      <c r="D12" s="1752">
        <f t="shared" si="0"/>
        <v>65925</v>
      </c>
      <c r="E12" s="585">
        <v>67654</v>
      </c>
      <c r="F12" s="1752">
        <f t="shared" si="1"/>
        <v>67654</v>
      </c>
    </row>
    <row r="13" spans="1:6" ht="13.7" customHeight="1" x14ac:dyDescent="0.2">
      <c r="A13" s="715" t="s">
        <v>936</v>
      </c>
      <c r="B13" s="1749">
        <f>SUM('Revenues 9-14'!C6:D6)</f>
        <v>65925</v>
      </c>
      <c r="C13" s="585"/>
      <c r="D13" s="1752">
        <f t="shared" si="0"/>
        <v>65925</v>
      </c>
      <c r="E13" s="585">
        <v>67654</v>
      </c>
      <c r="F13" s="1752">
        <f t="shared" si="1"/>
        <v>67654</v>
      </c>
    </row>
    <row r="14" spans="1:6" ht="13.7" customHeight="1" x14ac:dyDescent="0.2">
      <c r="A14" s="715" t="s">
        <v>410</v>
      </c>
      <c r="B14" s="1749">
        <f>SUM('Revenues 9-14'!C7:D7,'Revenues 9-14'!F7:H7)</f>
        <v>52740</v>
      </c>
      <c r="C14" s="585"/>
      <c r="D14" s="1752">
        <f t="shared" si="0"/>
        <v>52740</v>
      </c>
      <c r="E14" s="585">
        <v>54123</v>
      </c>
      <c r="F14" s="1752">
        <f t="shared" si="1"/>
        <v>54123</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149453</v>
      </c>
      <c r="C16" s="585"/>
      <c r="D16" s="1752">
        <f t="shared" si="0"/>
        <v>149453</v>
      </c>
      <c r="E16" s="585">
        <v>300004</v>
      </c>
      <c r="F16" s="1752">
        <f t="shared" si="1"/>
        <v>300004</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6250857</v>
      </c>
      <c r="C19" s="1750">
        <f>SUM(C4:C18)</f>
        <v>0</v>
      </c>
      <c r="D19" s="1750">
        <f>SUM(D4:D18)</f>
        <v>6250857</v>
      </c>
      <c r="E19" s="1750">
        <f>SUM(E4:E18)</f>
        <v>6439394</v>
      </c>
      <c r="F19" s="1750">
        <f>SUM(F4:F18)</f>
        <v>6439394</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0" colorId="8" zoomScale="110" zoomScaleNormal="110" workbookViewId="0">
      <selection activeCell="W46" sqref="W4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1799</v>
      </c>
      <c r="B2" s="2198"/>
      <c r="C2" s="1883" t="s">
        <v>1951</v>
      </c>
      <c r="D2" s="723" t="s">
        <v>1952</v>
      </c>
      <c r="E2" s="723" t="s">
        <v>1953</v>
      </c>
      <c r="F2" s="1883" t="s">
        <v>1954</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4">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6" t="s">
        <v>631</v>
      </c>
      <c r="B15" s="2187"/>
      <c r="C15" s="1754">
        <f>SUM(C6:C14)</f>
        <v>0</v>
      </c>
      <c r="D15" s="1754">
        <f>SUM(D6:D14)</f>
        <v>0</v>
      </c>
      <c r="E15" s="1754">
        <f>SUM(E6:E14)</f>
        <v>0</v>
      </c>
      <c r="F15" s="1754">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4">
        <f>SUM(C17+D17)-E17</f>
        <v>0</v>
      </c>
    </row>
    <row r="18" spans="1:11" ht="12.75" customHeight="1" thickTop="1" thickBot="1" x14ac:dyDescent="0.25">
      <c r="A18" s="2209" t="s">
        <v>6</v>
      </c>
      <c r="B18" s="2210"/>
      <c r="C18" s="726"/>
      <c r="D18" s="585"/>
      <c r="E18" s="726"/>
      <c r="F18" s="1754">
        <f>SUM(C18+D18)-E18</f>
        <v>0</v>
      </c>
    </row>
    <row r="19" spans="1:11" ht="12.75" customHeight="1" thickTop="1" thickBot="1" x14ac:dyDescent="0.25">
      <c r="A19" s="2209" t="s">
        <v>388</v>
      </c>
      <c r="B19" s="2210"/>
      <c r="C19" s="726"/>
      <c r="D19" s="585"/>
      <c r="E19" s="726"/>
      <c r="F19" s="1754">
        <f>SUM(C19+D19)-E19</f>
        <v>0</v>
      </c>
    </row>
    <row r="20" spans="1:11" ht="12.75" customHeight="1" thickTop="1" thickBot="1" x14ac:dyDescent="0.25">
      <c r="A20" s="2209" t="s">
        <v>448</v>
      </c>
      <c r="B20" s="2210"/>
      <c r="C20" s="726"/>
      <c r="D20" s="585"/>
      <c r="E20" s="726"/>
      <c r="F20" s="1754">
        <f>SUM(C20+D20)-E20</f>
        <v>0</v>
      </c>
    </row>
    <row r="21" spans="1:11" ht="14.25" thickTop="1" thickBot="1" x14ac:dyDescent="0.25">
      <c r="A21" s="2186" t="s">
        <v>632</v>
      </c>
      <c r="B21" s="2187"/>
      <c r="C21" s="1754">
        <f>SUM(C17:C20)</f>
        <v>0</v>
      </c>
      <c r="D21" s="1754">
        <f>SUM(D17:D20)</f>
        <v>0</v>
      </c>
      <c r="E21" s="1754">
        <f>SUM(E17:E20)</f>
        <v>0</v>
      </c>
      <c r="F21" s="1754">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4">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4">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4">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4" t="s">
        <v>583</v>
      </c>
      <c r="D30" s="1884" t="s">
        <v>1673</v>
      </c>
      <c r="E30" s="1884" t="s">
        <v>1955</v>
      </c>
      <c r="F30" s="1884" t="s">
        <v>1956</v>
      </c>
      <c r="G30" s="1884" t="s">
        <v>1907</v>
      </c>
      <c r="H30" s="1884" t="s">
        <v>1957</v>
      </c>
      <c r="I30" s="1884" t="s">
        <v>1958</v>
      </c>
      <c r="J30" s="1885" t="s">
        <v>2</v>
      </c>
      <c r="K30" s="731"/>
    </row>
    <row r="31" spans="1:11" ht="12" customHeight="1" x14ac:dyDescent="0.2">
      <c r="A31" s="732" t="s">
        <v>2130</v>
      </c>
      <c r="B31" s="733">
        <v>39845</v>
      </c>
      <c r="C31" s="734">
        <v>2330000</v>
      </c>
      <c r="D31" s="735">
        <v>4</v>
      </c>
      <c r="E31" s="734">
        <v>275000</v>
      </c>
      <c r="F31" s="734"/>
      <c r="G31" s="734"/>
      <c r="H31" s="734">
        <v>275000</v>
      </c>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2131</v>
      </c>
      <c r="B33" s="733">
        <v>41487</v>
      </c>
      <c r="C33" s="734">
        <v>516000</v>
      </c>
      <c r="D33" s="735">
        <v>7</v>
      </c>
      <c r="E33" s="734">
        <v>356000</v>
      </c>
      <c r="F33" s="734"/>
      <c r="G33" s="734"/>
      <c r="H33" s="734">
        <v>46000</v>
      </c>
      <c r="I33" s="1755">
        <f t="shared" ref="I33:I48" si="1">((E33+F33)-H33)+G33</f>
        <v>310000</v>
      </c>
      <c r="J33" s="734">
        <v>310000</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2132</v>
      </c>
      <c r="B35" s="733">
        <v>42367</v>
      </c>
      <c r="C35" s="738">
        <v>750000</v>
      </c>
      <c r="D35" s="735">
        <v>1</v>
      </c>
      <c r="E35" s="738">
        <v>260000</v>
      </c>
      <c r="F35" s="738"/>
      <c r="G35" s="738"/>
      <c r="H35" s="738">
        <v>260000</v>
      </c>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t="s">
        <v>2133</v>
      </c>
      <c r="B37" s="733">
        <v>42195</v>
      </c>
      <c r="C37" s="467">
        <v>4485000</v>
      </c>
      <c r="D37" s="740">
        <v>4</v>
      </c>
      <c r="E37" s="467">
        <v>4115000</v>
      </c>
      <c r="F37" s="467"/>
      <c r="G37" s="467"/>
      <c r="H37" s="467">
        <v>200000</v>
      </c>
      <c r="I37" s="1755">
        <f t="shared" si="1"/>
        <v>3915000</v>
      </c>
      <c r="J37" s="467">
        <v>3915000</v>
      </c>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t="s">
        <v>2134</v>
      </c>
      <c r="B39" s="733">
        <v>43465</v>
      </c>
      <c r="C39" s="734">
        <v>1978000</v>
      </c>
      <c r="D39" s="741">
        <v>1</v>
      </c>
      <c r="E39" s="742"/>
      <c r="F39" s="742">
        <v>1978000</v>
      </c>
      <c r="G39" s="742"/>
      <c r="H39" s="742"/>
      <c r="I39" s="1755">
        <f t="shared" si="1"/>
        <v>1978000</v>
      </c>
      <c r="J39" s="743">
        <v>1978000</v>
      </c>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10059000</v>
      </c>
      <c r="D49" s="745"/>
      <c r="E49" s="1755">
        <f t="shared" ref="E49:J49" si="2">SUM(E31:E48)</f>
        <v>5006000</v>
      </c>
      <c r="F49" s="1755">
        <f t="shared" si="2"/>
        <v>1978000</v>
      </c>
      <c r="G49" s="1755">
        <f t="shared" si="2"/>
        <v>0</v>
      </c>
      <c r="H49" s="1755">
        <f t="shared" si="2"/>
        <v>781000</v>
      </c>
      <c r="I49" s="1755">
        <f t="shared" si="2"/>
        <v>6203000</v>
      </c>
      <c r="J49" s="1755">
        <f t="shared" si="2"/>
        <v>6203000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2135</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7" colorId="8" zoomScale="110" zoomScaleNormal="110" workbookViewId="0">
      <selection activeCell="W46" sqref="W4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1809</v>
      </c>
      <c r="K2" s="762" t="s">
        <v>138</v>
      </c>
    </row>
    <row r="3" spans="1:11" x14ac:dyDescent="0.2">
      <c r="A3" s="2219" t="s">
        <v>1959</v>
      </c>
      <c r="B3" s="2220"/>
      <c r="C3" s="2220"/>
      <c r="D3" s="2220"/>
      <c r="E3" s="2221"/>
      <c r="F3" s="763"/>
      <c r="G3" s="764"/>
      <c r="H3" s="764"/>
      <c r="I3" s="764"/>
      <c r="J3" s="765">
        <v>147217</v>
      </c>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52740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2800</v>
      </c>
    </row>
    <row r="8" spans="1:11" x14ac:dyDescent="0.2">
      <c r="A8" s="778" t="s">
        <v>345</v>
      </c>
      <c r="B8" s="779"/>
      <c r="C8" s="779"/>
      <c r="D8" s="779"/>
      <c r="E8" s="780"/>
      <c r="F8" s="770" t="s">
        <v>851</v>
      </c>
      <c r="G8" s="782"/>
      <c r="H8" s="782"/>
      <c r="I8" s="782"/>
      <c r="J8" s="765">
        <v>628201</v>
      </c>
      <c r="K8" s="769"/>
    </row>
    <row r="9" spans="1:11" x14ac:dyDescent="0.2">
      <c r="A9" s="778" t="s">
        <v>138</v>
      </c>
      <c r="B9" s="779"/>
      <c r="C9" s="779"/>
      <c r="D9" s="779"/>
      <c r="E9" s="780"/>
      <c r="F9" s="777" t="s">
        <v>853</v>
      </c>
      <c r="G9" s="782"/>
      <c r="H9" s="771"/>
      <c r="I9" s="771"/>
      <c r="J9" s="781"/>
      <c r="K9" s="765">
        <v>32123</v>
      </c>
    </row>
    <row r="10" spans="1:11" x14ac:dyDescent="0.2">
      <c r="A10" s="2240" t="s">
        <v>1810</v>
      </c>
      <c r="B10" s="2213"/>
      <c r="C10" s="2213"/>
      <c r="D10" s="2213"/>
      <c r="E10" s="2242"/>
      <c r="F10" s="783" t="s">
        <v>862</v>
      </c>
      <c r="G10" s="782"/>
      <c r="H10" s="784"/>
      <c r="I10" s="764"/>
      <c r="J10" s="765">
        <v>636515</v>
      </c>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6"/>
      <c r="G12" s="1757">
        <f>SUM(G5:G11)</f>
        <v>0</v>
      </c>
      <c r="H12" s="1757">
        <f>SUM(H5:H11)</f>
        <v>52740</v>
      </c>
      <c r="I12" s="1757">
        <f>SUM(I5:I11)</f>
        <v>0</v>
      </c>
      <c r="J12" s="1757">
        <f>SUM(J5:J11)</f>
        <v>1264716</v>
      </c>
      <c r="K12" s="1757">
        <f>SUM(K5:K11)</f>
        <v>34923</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c r="I14" s="771"/>
      <c r="J14" s="773"/>
      <c r="K14" s="765">
        <v>34923</v>
      </c>
    </row>
    <row r="15" spans="1:11" x14ac:dyDescent="0.2">
      <c r="A15" s="2213" t="s">
        <v>4</v>
      </c>
      <c r="B15" s="2213"/>
      <c r="C15" s="2213"/>
      <c r="D15" s="2213"/>
      <c r="E15" s="2241"/>
      <c r="F15" s="789" t="s">
        <v>855</v>
      </c>
      <c r="G15" s="771"/>
      <c r="H15" s="764"/>
      <c r="I15" s="764"/>
      <c r="J15" s="765">
        <v>692156</v>
      </c>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1806</v>
      </c>
      <c r="B19" s="2248"/>
      <c r="C19" s="2248"/>
      <c r="D19" s="2248"/>
      <c r="E19" s="2249"/>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8"/>
      <c r="G21" s="792"/>
      <c r="H21" s="796"/>
      <c r="I21" s="796"/>
      <c r="J21" s="1759">
        <f>SUM(J18:J20)</f>
        <v>0</v>
      </c>
      <c r="K21" s="793"/>
    </row>
    <row r="22" spans="1:11" ht="13.5" thickTop="1" x14ac:dyDescent="0.2">
      <c r="A22" s="2213" t="s">
        <v>1812</v>
      </c>
      <c r="B22" s="2213"/>
      <c r="C22" s="2213"/>
      <c r="D22" s="2213"/>
      <c r="E22" s="2241"/>
      <c r="F22" s="789" t="s">
        <v>862</v>
      </c>
      <c r="G22" s="782"/>
      <c r="H22" s="764">
        <v>52740</v>
      </c>
      <c r="I22" s="764"/>
      <c r="J22" s="797"/>
      <c r="K22" s="765"/>
    </row>
    <row r="23" spans="1:11" ht="13.5" thickBot="1" x14ac:dyDescent="0.25">
      <c r="A23" s="2234" t="s">
        <v>906</v>
      </c>
      <c r="B23" s="2233"/>
      <c r="C23" s="2233"/>
      <c r="D23" s="2233"/>
      <c r="E23" s="2233"/>
      <c r="F23" s="1760"/>
      <c r="G23" s="1757">
        <f>SUM(G14:G16,G21,G22)</f>
        <v>0</v>
      </c>
      <c r="H23" s="1757">
        <f>SUM(H14:H16,H21,H22)</f>
        <v>52740</v>
      </c>
      <c r="I23" s="1757">
        <f>SUM(I14:I16,I21,I22)</f>
        <v>0</v>
      </c>
      <c r="J23" s="1757">
        <f>SUM(J14:J16,J21,J22)</f>
        <v>692156</v>
      </c>
      <c r="K23" s="1757">
        <f>SUM(K14:K16,K21,K22)</f>
        <v>34923</v>
      </c>
    </row>
    <row r="24" spans="1:11" ht="14.25" thickTop="1" thickBot="1" x14ac:dyDescent="0.25">
      <c r="A24" s="2234" t="s">
        <v>1960</v>
      </c>
      <c r="B24" s="2233"/>
      <c r="C24" s="2233"/>
      <c r="D24" s="2233"/>
      <c r="E24" s="2233"/>
      <c r="F24" s="1761"/>
      <c r="G24" s="1762">
        <f>SUM(G3,G12)-G23</f>
        <v>0</v>
      </c>
      <c r="H24" s="1762">
        <f>SUM(H3,H12)-H23</f>
        <v>0</v>
      </c>
      <c r="I24" s="1762">
        <f>SUM(I3,I12)-I23</f>
        <v>0</v>
      </c>
      <c r="J24" s="1762">
        <f>SUM(J3,J12)-J23</f>
        <v>719777</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719777</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W46" sqref="W4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1905</v>
      </c>
      <c r="B1" s="2253"/>
      <c r="C1" s="2254"/>
      <c r="D1" s="826"/>
      <c r="E1" s="827"/>
      <c r="F1" s="827"/>
      <c r="G1" s="828"/>
      <c r="H1" s="829"/>
      <c r="I1" s="830"/>
      <c r="J1" s="2250"/>
      <c r="K1" s="2251"/>
      <c r="L1" s="2251"/>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468103</v>
      </c>
      <c r="D5" s="841"/>
      <c r="E5" s="841"/>
      <c r="F5" s="1759">
        <f>(C5+D5)-E5</f>
        <v>468103</v>
      </c>
      <c r="G5" s="837"/>
      <c r="H5" s="842"/>
      <c r="I5" s="842"/>
      <c r="J5" s="842"/>
      <c r="K5" s="793"/>
      <c r="L5" s="1768">
        <f>F5-K5</f>
        <v>468103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7567245</v>
      </c>
      <c r="D8" s="844"/>
      <c r="E8" s="844"/>
      <c r="F8" s="1759">
        <f>(C8+D8)-E8</f>
        <v>7567245</v>
      </c>
      <c r="G8" s="843">
        <v>50</v>
      </c>
      <c r="H8" s="765">
        <v>6151224</v>
      </c>
      <c r="I8" s="765">
        <v>54508</v>
      </c>
      <c r="J8" s="765"/>
      <c r="K8" s="1768">
        <f>(H8+I8)-J8</f>
        <v>6205732</v>
      </c>
      <c r="L8" s="1768">
        <f>F8-K8</f>
        <v>1361513</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11996630</v>
      </c>
      <c r="D10" s="846">
        <v>1554889</v>
      </c>
      <c r="E10" s="846"/>
      <c r="F10" s="1763">
        <f>(C10+D10)-E10</f>
        <v>13551519</v>
      </c>
      <c r="G10" s="843">
        <v>20</v>
      </c>
      <c r="H10" s="847">
        <v>3409958</v>
      </c>
      <c r="I10" s="847">
        <v>672763</v>
      </c>
      <c r="J10" s="847"/>
      <c r="K10" s="1768">
        <f>(H10+I10)-J10</f>
        <v>4082721</v>
      </c>
      <c r="L10" s="1768">
        <f>F10-K10</f>
        <v>9468798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2183212</v>
      </c>
      <c r="D12" s="844">
        <v>235453</v>
      </c>
      <c r="E12" s="844">
        <v>21157</v>
      </c>
      <c r="F12" s="1759">
        <f>(C12+D12)-E12</f>
        <v>2397508</v>
      </c>
      <c r="G12" s="843">
        <v>10</v>
      </c>
      <c r="H12" s="765">
        <v>1313678</v>
      </c>
      <c r="I12" s="765">
        <v>219586</v>
      </c>
      <c r="J12" s="765">
        <v>21157</v>
      </c>
      <c r="K12" s="1768">
        <f>(H12+I12)-J12</f>
        <v>1512107</v>
      </c>
      <c r="L12" s="1768">
        <f>F12-K12</f>
        <v>885401</v>
      </c>
    </row>
    <row r="13" spans="1:14" ht="14.25" thickTop="1" thickBot="1" x14ac:dyDescent="0.25">
      <c r="A13" s="848" t="s">
        <v>1122</v>
      </c>
      <c r="B13" s="840">
        <v>252</v>
      </c>
      <c r="C13" s="844">
        <v>162430</v>
      </c>
      <c r="D13" s="844"/>
      <c r="E13" s="844"/>
      <c r="F13" s="1759">
        <f>(C13+D13)-E13</f>
        <v>162430</v>
      </c>
      <c r="G13" s="843">
        <v>5</v>
      </c>
      <c r="H13" s="765">
        <v>154753</v>
      </c>
      <c r="I13" s="765">
        <v>5923</v>
      </c>
      <c r="J13" s="765"/>
      <c r="K13" s="1768">
        <f>(H13+I13)-J13</f>
        <v>160676</v>
      </c>
      <c r="L13" s="1768">
        <f>F13-K13</f>
        <v>1754</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22377620</v>
      </c>
      <c r="D16" s="1759">
        <f>SUM(D3,D5:D6,D8:D10,D12:D15)</f>
        <v>1790342</v>
      </c>
      <c r="E16" s="1759">
        <f>SUM(E3,E5:E6,E8:E10,E12:E15)</f>
        <v>21157</v>
      </c>
      <c r="F16" s="1759">
        <f>SUM(F3,F5:F6,F8:F10,F12:F15)</f>
        <v>24146805</v>
      </c>
      <c r="G16" s="843"/>
      <c r="H16" s="1759">
        <f>SUM(H3,H6,H8:H10,H12:H14,)</f>
        <v>11029613</v>
      </c>
      <c r="I16" s="1759">
        <f>SUM(I3,I6,I8:I10,I12:I14,)</f>
        <v>952780</v>
      </c>
      <c r="J16" s="1759">
        <f>SUM(J3,J6,J8:J10,J12:J14,)</f>
        <v>21157</v>
      </c>
      <c r="K16" s="1759">
        <f>(H16+I16)-J16</f>
        <v>11961236</v>
      </c>
      <c r="L16" s="1759">
        <f>F16-K16</f>
        <v>12185569</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952780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8" activePane="bottomLeft" state="frozen"/>
      <selection activeCell="B4" sqref="B4"/>
      <selection pane="bottomLeft" activeCell="B4" sqref="B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1970</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12264935</v>
      </c>
      <c r="G8" s="865"/>
    </row>
    <row r="9" spans="1:7" x14ac:dyDescent="0.2">
      <c r="A9" s="869" t="s">
        <v>460</v>
      </c>
      <c r="B9" s="870" t="s">
        <v>1873</v>
      </c>
      <c r="C9" s="871"/>
      <c r="D9" s="869" t="s">
        <v>501</v>
      </c>
      <c r="E9" s="868"/>
      <c r="F9" s="1908">
        <f>'Expenditures 15-22'!K151</f>
        <v>902655</v>
      </c>
      <c r="G9" s="872"/>
    </row>
    <row r="10" spans="1:7" x14ac:dyDescent="0.2">
      <c r="A10" s="869" t="s">
        <v>499</v>
      </c>
      <c r="B10" s="870" t="s">
        <v>1874</v>
      </c>
      <c r="C10" s="871"/>
      <c r="D10" s="869" t="s">
        <v>501</v>
      </c>
      <c r="E10" s="868"/>
      <c r="F10" s="1908">
        <f>'Expenditures 15-22'!K174</f>
        <v>985293</v>
      </c>
      <c r="G10" s="872"/>
    </row>
    <row r="11" spans="1:7" x14ac:dyDescent="0.2">
      <c r="A11" s="869" t="s">
        <v>461</v>
      </c>
      <c r="B11" s="870" t="s">
        <v>1875</v>
      </c>
      <c r="C11" s="871"/>
      <c r="D11" s="869" t="s">
        <v>501</v>
      </c>
      <c r="E11" s="868"/>
      <c r="F11" s="1908">
        <f>'Expenditures 15-22'!K210</f>
        <v>1069166</v>
      </c>
      <c r="G11" s="872"/>
    </row>
    <row r="12" spans="1:7" x14ac:dyDescent="0.2">
      <c r="A12" s="869" t="s">
        <v>462</v>
      </c>
      <c r="B12" s="870" t="s">
        <v>1876</v>
      </c>
      <c r="C12" s="871"/>
      <c r="D12" s="869" t="s">
        <v>501</v>
      </c>
      <c r="E12" s="868"/>
      <c r="F12" s="1908">
        <f>'Expenditures 15-22'!K295</f>
        <v>498451</v>
      </c>
      <c r="G12" s="872"/>
    </row>
    <row r="13" spans="1:7" x14ac:dyDescent="0.2">
      <c r="A13" s="869" t="s">
        <v>106</v>
      </c>
      <c r="B13" s="870" t="s">
        <v>1877</v>
      </c>
      <c r="C13" s="871"/>
      <c r="D13" s="869" t="s">
        <v>501</v>
      </c>
      <c r="E13" s="868"/>
      <c r="F13" s="1908">
        <f>'Expenditures 15-22'!K342</f>
        <v>859461</v>
      </c>
      <c r="G13" s="873"/>
    </row>
    <row r="14" spans="1:7" ht="12" customHeight="1" thickBot="1" x14ac:dyDescent="0.25">
      <c r="A14" s="1769"/>
      <c r="B14" s="1770"/>
      <c r="C14" s="1771"/>
      <c r="D14" s="1772" t="s">
        <v>501</v>
      </c>
      <c r="E14" s="1773" t="s">
        <v>958</v>
      </c>
      <c r="F14" s="1774">
        <f>SUM(F8:F13)</f>
        <v>16579961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3">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1997</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350290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198377</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28692</v>
      </c>
      <c r="G52" s="865"/>
    </row>
    <row r="53" spans="1:7" x14ac:dyDescent="0.2">
      <c r="A53" s="869" t="s">
        <v>459</v>
      </c>
      <c r="B53" s="869" t="s">
        <v>1475</v>
      </c>
      <c r="C53" s="889">
        <f>'Expenditures 15-22'!B102</f>
        <v>4000</v>
      </c>
      <c r="D53" s="888" t="str">
        <f>'Expenditures 15-22'!A102</f>
        <v>Total Payments to Other Govt Units</v>
      </c>
      <c r="E53" s="868"/>
      <c r="F53" s="1912">
        <f>'Expenditures 15-22'!K102</f>
        <v>813507</v>
      </c>
      <c r="G53" s="865"/>
    </row>
    <row r="54" spans="1:7" x14ac:dyDescent="0.2">
      <c r="A54" s="869" t="s">
        <v>459</v>
      </c>
      <c r="B54" s="869" t="s">
        <v>1476</v>
      </c>
      <c r="C54" s="889" t="s">
        <v>982</v>
      </c>
      <c r="D54" s="885" t="s">
        <v>1095</v>
      </c>
      <c r="E54" s="868"/>
      <c r="F54" s="1912">
        <f>'Expenditures 15-22'!G114</f>
        <v>163618</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2">
        <f>'Expenditures 15-22'!K139</f>
        <v>0</v>
      </c>
      <c r="G57" s="865"/>
    </row>
    <row r="58" spans="1:7" x14ac:dyDescent="0.2">
      <c r="A58" s="869" t="s">
        <v>460</v>
      </c>
      <c r="B58" s="869" t="s">
        <v>1879</v>
      </c>
      <c r="C58" s="886" t="s">
        <v>982</v>
      </c>
      <c r="D58" s="885" t="s">
        <v>1095</v>
      </c>
      <c r="E58" s="868"/>
      <c r="F58" s="1914">
        <f>'Expenditures 15-22'!G151</f>
        <v>115443</v>
      </c>
      <c r="G58" s="865"/>
    </row>
    <row r="59" spans="1:7" x14ac:dyDescent="0.2">
      <c r="A59" s="893" t="s">
        <v>460</v>
      </c>
      <c r="B59" s="856" t="s">
        <v>1880</v>
      </c>
      <c r="C59" s="894" t="s">
        <v>982</v>
      </c>
      <c r="D59" s="856" t="s">
        <v>291</v>
      </c>
      <c r="F59" s="1915">
        <f>'Expenditures 15-22'!I151</f>
        <v>0</v>
      </c>
      <c r="G59" s="865"/>
    </row>
    <row r="60" spans="1:7" x14ac:dyDescent="0.2">
      <c r="A60" s="893" t="s">
        <v>499</v>
      </c>
      <c r="B60" s="856" t="s">
        <v>1881</v>
      </c>
      <c r="C60" s="894">
        <v>4000</v>
      </c>
      <c r="D60" s="856" t="s">
        <v>312</v>
      </c>
      <c r="F60" s="1913">
        <f>'Expenditures 15-22'!K160</f>
        <v>0</v>
      </c>
      <c r="G60" s="865"/>
    </row>
    <row r="61" spans="1:7" x14ac:dyDescent="0.2">
      <c r="A61" s="895" t="s">
        <v>499</v>
      </c>
      <c r="B61" s="895" t="s">
        <v>1882</v>
      </c>
      <c r="C61" s="896" t="str">
        <f>'Expenditures 15-22'!B170</f>
        <v>5300</v>
      </c>
      <c r="D61" s="897" t="s">
        <v>311</v>
      </c>
      <c r="E61" s="879"/>
      <c r="F61" s="1912">
        <f>'Expenditures 15-22'!K170</f>
        <v>781000</v>
      </c>
      <c r="G61" s="865"/>
    </row>
    <row r="62" spans="1:7" x14ac:dyDescent="0.2">
      <c r="A62" s="869" t="s">
        <v>461</v>
      </c>
      <c r="B62" s="869" t="s">
        <v>1883</v>
      </c>
      <c r="C62" s="886">
        <f>'Expenditures 15-22'!B185</f>
        <v>3000</v>
      </c>
      <c r="D62" s="876" t="s">
        <v>449</v>
      </c>
      <c r="E62" s="868"/>
      <c r="F62" s="1912">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2">
        <f>'Expenditures 15-22'!K196</f>
        <v>85850</v>
      </c>
      <c r="G63" s="865"/>
    </row>
    <row r="64" spans="1:7" x14ac:dyDescent="0.2">
      <c r="A64" s="895" t="s">
        <v>461</v>
      </c>
      <c r="B64" s="895" t="s">
        <v>1885</v>
      </c>
      <c r="C64" s="896" t="str">
        <f>'Expenditures 15-22'!B206</f>
        <v>5300</v>
      </c>
      <c r="D64" s="892" t="s">
        <v>311</v>
      </c>
      <c r="E64" s="868"/>
      <c r="F64" s="1912">
        <f>'Expenditures 15-22'!K206</f>
        <v>0</v>
      </c>
      <c r="G64" s="865"/>
    </row>
    <row r="65" spans="1:8" x14ac:dyDescent="0.2">
      <c r="A65" s="869" t="s">
        <v>461</v>
      </c>
      <c r="B65" s="869" t="s">
        <v>1886</v>
      </c>
      <c r="C65" s="886" t="s">
        <v>982</v>
      </c>
      <c r="D65" s="885" t="s">
        <v>1095</v>
      </c>
      <c r="E65" s="868"/>
      <c r="F65" s="1912">
        <f>'Expenditures 15-22'!G210</f>
        <v>0</v>
      </c>
      <c r="G65" s="865"/>
    </row>
    <row r="66" spans="1:8" x14ac:dyDescent="0.2">
      <c r="A66" s="869" t="s">
        <v>461</v>
      </c>
      <c r="B66" s="869" t="s">
        <v>1887</v>
      </c>
      <c r="C66" s="886" t="s">
        <v>982</v>
      </c>
      <c r="D66" s="885" t="s">
        <v>291</v>
      </c>
      <c r="E66" s="868"/>
      <c r="F66" s="1912">
        <f>'Expenditures 15-22'!I210</f>
        <v>0</v>
      </c>
      <c r="G66" s="865"/>
    </row>
    <row r="67" spans="1:8" x14ac:dyDescent="0.2">
      <c r="A67" s="869" t="s">
        <v>462</v>
      </c>
      <c r="B67" s="869" t="s">
        <v>1888</v>
      </c>
      <c r="C67" s="886" t="str">
        <f>'Expenditures 15-22'!B216</f>
        <v>1125</v>
      </c>
      <c r="D67" s="892" t="str">
        <f>'Expenditures 15-22'!A216</f>
        <v>Pre-K Programs</v>
      </c>
      <c r="E67" s="868"/>
      <c r="F67" s="1912">
        <f>'Expenditures 15-22'!K216</f>
        <v>15371</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1890</v>
      </c>
      <c r="C70" s="886">
        <f>'Expenditures 15-22'!B221</f>
        <v>1300</v>
      </c>
      <c r="D70" s="887" t="str">
        <f>'Expenditures 15-22'!A221</f>
        <v>Adult/Continuing Education Programs</v>
      </c>
      <c r="E70" s="868"/>
      <c r="F70" s="1912">
        <f>'Expenditures 15-22'!K221</f>
        <v>0</v>
      </c>
      <c r="G70" s="865"/>
    </row>
    <row r="71" spans="1:8" x14ac:dyDescent="0.2">
      <c r="A71" s="869" t="s">
        <v>462</v>
      </c>
      <c r="B71" s="869" t="s">
        <v>1891</v>
      </c>
      <c r="C71" s="886">
        <f>'Expenditures 15-22'!B224</f>
        <v>1600</v>
      </c>
      <c r="D71" s="887" t="str">
        <f>'Expenditures 15-22'!A224</f>
        <v>Summer School Programs</v>
      </c>
      <c r="E71" s="868"/>
      <c r="F71" s="1912">
        <f>'Expenditures 15-22'!K224</f>
        <v>0</v>
      </c>
      <c r="G71" s="865"/>
    </row>
    <row r="72" spans="1:8" x14ac:dyDescent="0.2">
      <c r="A72" s="869" t="s">
        <v>462</v>
      </c>
      <c r="B72" s="869" t="s">
        <v>1892</v>
      </c>
      <c r="C72" s="886">
        <f>'Expenditures 15-22'!B280</f>
        <v>3000</v>
      </c>
      <c r="D72" s="876" t="s">
        <v>449</v>
      </c>
      <c r="E72" s="868"/>
      <c r="F72" s="1912">
        <f>'Expenditures 15-22'!K280</f>
        <v>1073</v>
      </c>
      <c r="G72" s="865"/>
    </row>
    <row r="73" spans="1:8" x14ac:dyDescent="0.2">
      <c r="A73" s="869" t="s">
        <v>462</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1894</v>
      </c>
      <c r="C74" s="886" t="s">
        <v>860</v>
      </c>
      <c r="D74" s="887" t="s">
        <v>1487</v>
      </c>
      <c r="E74" s="868"/>
      <c r="F74" s="1916">
        <f>'Expenditures 15-22'!K334</f>
        <v>150000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958</v>
      </c>
      <c r="F76" s="1777">
        <f>SUM(F18:F74)</f>
        <v>2703221</v>
      </c>
      <c r="G76" s="865"/>
    </row>
    <row r="77" spans="1:8" s="893" customFormat="1" ht="12" customHeight="1" thickTop="1" thickBot="1" x14ac:dyDescent="0.25">
      <c r="A77" s="1778"/>
      <c r="B77" s="1775"/>
      <c r="C77" s="1771"/>
      <c r="D77" s="1776" t="s">
        <v>1896</v>
      </c>
      <c r="E77" s="1773"/>
      <c r="F77" s="1779">
        <f>(F14-F76)</f>
        <v>13876740</v>
      </c>
      <c r="G77" s="869"/>
    </row>
    <row r="78" spans="1:8" s="893" customFormat="1" ht="12" customHeight="1" thickTop="1" x14ac:dyDescent="0.2">
      <c r="A78" s="1780"/>
      <c r="B78" s="1775"/>
      <c r="C78" s="1771"/>
      <c r="D78" s="1776" t="s">
        <v>2057</v>
      </c>
      <c r="E78" s="1773"/>
      <c r="F78" s="898">
        <v>1478.9</v>
      </c>
      <c r="G78" s="899"/>
      <c r="H78" s="869"/>
    </row>
    <row r="79" spans="1:8" s="893" customFormat="1" ht="12" customHeight="1" thickBot="1" x14ac:dyDescent="0.25">
      <c r="A79" s="1781"/>
      <c r="B79" s="1775"/>
      <c r="C79" s="1771"/>
      <c r="D79" s="1776" t="s">
        <v>1897</v>
      </c>
      <c r="E79" s="1773" t="s">
        <v>958</v>
      </c>
      <c r="F79" s="1782">
        <f>IF(F78&gt;0,F77/F78," Complete Line 78")</f>
        <v>9383.1496382446403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3716</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27105</v>
      </c>
      <c r="G94" s="912"/>
    </row>
    <row r="95" spans="1:7" x14ac:dyDescent="0.2">
      <c r="A95" s="908" t="s">
        <v>140</v>
      </c>
      <c r="B95" s="908" t="s">
        <v>175</v>
      </c>
      <c r="C95" s="910">
        <v>1700</v>
      </c>
      <c r="D95" s="918" t="str">
        <f>'Revenues 9-14'!A82</f>
        <v>Total District/School Activity Income</v>
      </c>
      <c r="E95" s="906"/>
      <c r="F95" s="1788">
        <f>SUM('Revenues 9-14'!C82,'Revenues 9-14'!D82)</f>
        <v>22471</v>
      </c>
      <c r="G95" s="912"/>
    </row>
    <row r="96" spans="1:7" x14ac:dyDescent="0.2">
      <c r="A96" s="908" t="s">
        <v>459</v>
      </c>
      <c r="B96" s="908" t="s">
        <v>176</v>
      </c>
      <c r="C96" s="910">
        <f>'Revenues 9-14'!B84</f>
        <v>1811</v>
      </c>
      <c r="D96" s="911" t="str">
        <f>'Revenues 9-14'!A84</f>
        <v>Rentals - Regular Textbooks</v>
      </c>
      <c r="E96" s="906"/>
      <c r="F96" s="1788">
        <f>'Revenues 9-14'!C84</f>
        <v>21085</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2116</v>
      </c>
      <c r="G100" s="912"/>
    </row>
    <row r="101" spans="1:7" x14ac:dyDescent="0.2">
      <c r="A101" s="908" t="s">
        <v>140</v>
      </c>
      <c r="B101" s="908" t="s">
        <v>181</v>
      </c>
      <c r="C101" s="910">
        <f>'Revenues 9-14'!B95</f>
        <v>1910</v>
      </c>
      <c r="D101" s="911" t="str">
        <f>'Revenues 9-14'!A95</f>
        <v>Rentals</v>
      </c>
      <c r="E101" s="906"/>
      <c r="F101" s="1788">
        <f>SUM('Revenues 9-14'!C95:D95)</f>
        <v>52805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31640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1998</v>
      </c>
      <c r="C105" s="913">
        <v>3100</v>
      </c>
      <c r="D105" s="919" t="str">
        <f>'Revenues 9-14'!A132</f>
        <v>Total Special Education</v>
      </c>
      <c r="E105" s="906"/>
      <c r="F105" s="1788">
        <f>SUM('Revenues 9-14'!C132:D132,'Revenues 9-14'!F132)</f>
        <v>77375</v>
      </c>
      <c r="G105" s="912"/>
    </row>
    <row r="106" spans="1:7" x14ac:dyDescent="0.2">
      <c r="A106" s="908" t="s">
        <v>673</v>
      </c>
      <c r="B106" s="908" t="s">
        <v>1999</v>
      </c>
      <c r="C106" s="920">
        <v>3200</v>
      </c>
      <c r="D106" s="911" t="str">
        <f>'Revenues 9-14'!A141</f>
        <v>Total Career and Technical Education</v>
      </c>
      <c r="E106" s="906"/>
      <c r="F106" s="1788">
        <f>SUM('Revenues 9-14'!C141,'Revenues 9-14'!D141,'Revenues 9-14'!G141)</f>
        <v>41191</v>
      </c>
      <c r="G106" s="912"/>
    </row>
    <row r="107" spans="1:7" x14ac:dyDescent="0.2">
      <c r="A107" s="921" t="s">
        <v>664</v>
      </c>
      <c r="B107" s="908" t="s">
        <v>2000</v>
      </c>
      <c r="C107" s="920">
        <v>3300</v>
      </c>
      <c r="D107" s="911" t="str">
        <f>'Revenues 9-14'!A145</f>
        <v>Total Bilingual Ed</v>
      </c>
      <c r="E107" s="906"/>
      <c r="F107" s="1788">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8">
        <f>'Revenues 9-14'!C146</f>
        <v>13721</v>
      </c>
      <c r="G108" s="912"/>
    </row>
    <row r="109" spans="1:7" x14ac:dyDescent="0.2">
      <c r="A109" s="908" t="s">
        <v>673</v>
      </c>
      <c r="B109" s="908" t="s">
        <v>2002</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8">
        <f>SUM('Revenues 9-14'!C148,'Revenues 9-14'!D148)</f>
        <v>32123</v>
      </c>
      <c r="G110" s="912"/>
    </row>
    <row r="111" spans="1:7" x14ac:dyDescent="0.2">
      <c r="A111" s="908" t="s">
        <v>668</v>
      </c>
      <c r="B111" s="908" t="s">
        <v>2004</v>
      </c>
      <c r="C111" s="922">
        <v>3500</v>
      </c>
      <c r="D111" s="911" t="str">
        <f>'Revenues 9-14'!A155</f>
        <v>Total Transportation</v>
      </c>
      <c r="E111" s="906"/>
      <c r="F111" s="1788">
        <f>SUM('Revenues 9-14'!C155,'Revenues 9-14'!D155,'Revenues 9-14'!F155,'Revenues 9-14'!G155)</f>
        <v>469842</v>
      </c>
      <c r="G111" s="912"/>
    </row>
    <row r="112" spans="1:7" x14ac:dyDescent="0.2">
      <c r="A112" s="908" t="s">
        <v>459</v>
      </c>
      <c r="B112" s="908" t="s">
        <v>2005</v>
      </c>
      <c r="C112" s="920">
        <f>'Revenues 9-14'!B156</f>
        <v>3610</v>
      </c>
      <c r="D112" s="911" t="str">
        <f>'Revenues 9-14'!A156</f>
        <v>Learning Improvement - Change Grants</v>
      </c>
      <c r="E112" s="906"/>
      <c r="F112" s="1788">
        <f>'Revenues 9-14'!C156</f>
        <v>0</v>
      </c>
      <c r="G112" s="912"/>
    </row>
    <row r="113" spans="1:7" x14ac:dyDescent="0.2">
      <c r="A113" s="908" t="s">
        <v>668</v>
      </c>
      <c r="B113" s="908" t="s">
        <v>2006</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6">
        <f>SUM('Revenues 9-14'!C163:G163)</f>
        <v>0</v>
      </c>
      <c r="G118" s="912"/>
    </row>
    <row r="119" spans="1:7" x14ac:dyDescent="0.2">
      <c r="A119" s="923" t="s">
        <v>504</v>
      </c>
      <c r="B119" s="923" t="s">
        <v>2012</v>
      </c>
      <c r="C119" s="924">
        <f>'Revenues 9-14'!B164</f>
        <v>3815</v>
      </c>
      <c r="D119" s="925" t="str">
        <f>'Revenues 9-14'!A164</f>
        <v>State Charter Schools</v>
      </c>
      <c r="E119" s="906"/>
      <c r="F119" s="1906">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8">
        <f>'Revenues 9-14'!D167</f>
        <v>0</v>
      </c>
      <c r="G120" s="930"/>
    </row>
    <row r="121" spans="1:7" x14ac:dyDescent="0.2">
      <c r="A121" s="927" t="s">
        <v>500</v>
      </c>
      <c r="B121" s="927" t="s">
        <v>2014</v>
      </c>
      <c r="C121" s="928">
        <f>'Revenues 9-14'!B168</f>
        <v>3999</v>
      </c>
      <c r="D121" s="929" t="s">
        <v>543</v>
      </c>
      <c r="E121" s="931"/>
      <c r="F121" s="1788">
        <f>SUM('Revenues 9-14'!C168:G168,'Revenues 9-14'!J168)</f>
        <v>45981</v>
      </c>
      <c r="G121" s="930"/>
    </row>
    <row r="122" spans="1:7" x14ac:dyDescent="0.2">
      <c r="A122" s="927" t="s">
        <v>459</v>
      </c>
      <c r="B122" s="927" t="s">
        <v>2015</v>
      </c>
      <c r="C122" s="932">
        <f>'Revenues 9-14'!B177</f>
        <v>4045</v>
      </c>
      <c r="D122" s="929" t="str">
        <f>'Revenues 9-14'!A177 &amp; " (Subtract)"</f>
        <v>Head Start (Subtract)</v>
      </c>
      <c r="E122" s="906"/>
      <c r="F122" s="1788">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2017</v>
      </c>
      <c r="C124" s="932">
        <v>4100</v>
      </c>
      <c r="D124" s="933" t="str">
        <f>'Revenues 9-14'!A188</f>
        <v>Total Title V</v>
      </c>
      <c r="E124" s="906"/>
      <c r="F124" s="1788">
        <f>SUM('Revenues 9-14'!C188,'Revenues 9-14'!D188,'Revenues 9-14'!F188,'Revenues 9-14'!G188)</f>
        <v>17301</v>
      </c>
      <c r="G124" s="930"/>
    </row>
    <row r="125" spans="1:7" x14ac:dyDescent="0.2">
      <c r="A125" s="927" t="s">
        <v>664</v>
      </c>
      <c r="B125" s="927" t="s">
        <v>2018</v>
      </c>
      <c r="C125" s="932">
        <v>4200</v>
      </c>
      <c r="D125" s="929" t="str">
        <f>'Revenues 9-14'!A198</f>
        <v>Total Food Service</v>
      </c>
      <c r="E125" s="906"/>
      <c r="F125" s="1788">
        <f>SUM('Revenues 9-14'!C198,'Revenues 9-14'!G198)</f>
        <v>690122</v>
      </c>
      <c r="G125" s="930"/>
    </row>
    <row r="126" spans="1:7" x14ac:dyDescent="0.2">
      <c r="A126" s="927" t="s">
        <v>668</v>
      </c>
      <c r="B126" s="927" t="s">
        <v>2019</v>
      </c>
      <c r="C126" s="932">
        <v>4300</v>
      </c>
      <c r="D126" s="933" t="str">
        <f>'Revenues 9-14'!A204</f>
        <v>Total Title I</v>
      </c>
      <c r="E126" s="906"/>
      <c r="F126" s="1788">
        <f>SUM('Revenues 9-14'!C204,'Revenues 9-14'!D204,'Revenues 9-14'!F204,'Revenues 9-14'!G204)</f>
        <v>570188</v>
      </c>
      <c r="G126" s="930"/>
    </row>
    <row r="127" spans="1:7" x14ac:dyDescent="0.2">
      <c r="A127" s="927" t="s">
        <v>668</v>
      </c>
      <c r="B127" s="927" t="s">
        <v>2020</v>
      </c>
      <c r="C127" s="932">
        <v>4400</v>
      </c>
      <c r="D127" s="933" t="str">
        <f>'Revenues 9-14'!A209</f>
        <v>Total Title IV</v>
      </c>
      <c r="E127" s="906"/>
      <c r="F127" s="1788">
        <f>SUM('Revenues 9-14'!C209,'Revenues 9-14'!D209,'Revenues 9-14'!F209,'Revenues 9-14'!G209)</f>
        <v>43022</v>
      </c>
      <c r="G127" s="930"/>
    </row>
    <row r="128" spans="1:7" x14ac:dyDescent="0.2">
      <c r="A128" s="927" t="s">
        <v>668</v>
      </c>
      <c r="B128" s="927" t="s">
        <v>2021</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8">
        <f>SUM('Revenues 9-14'!C214,'Revenues 9-14'!D214,'Revenues 9-14'!F214,'Revenues 9-14'!G214)</f>
        <v>12795</v>
      </c>
      <c r="G129" s="930"/>
    </row>
    <row r="130" spans="1:7" x14ac:dyDescent="0.2">
      <c r="A130" s="927" t="s">
        <v>668</v>
      </c>
      <c r="B130" s="927" t="s">
        <v>2023</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2024</v>
      </c>
      <c r="C132" s="932">
        <v>4700</v>
      </c>
      <c r="D132" s="929" t="str">
        <f>'Revenues 9-14'!A221</f>
        <v>Total CTE - Perkins</v>
      </c>
      <c r="E132" s="906"/>
      <c r="F132" s="1788">
        <f>SUM('Revenues 9-14'!C221,'Revenues 9-14'!D221,'Revenues 9-14'!G221)</f>
        <v>315</v>
      </c>
      <c r="G132" s="930">
        <v>6303</v>
      </c>
    </row>
    <row r="133" spans="1:7" s="867" customFormat="1" hidden="1" x14ac:dyDescent="0.2">
      <c r="A133" s="934" t="s">
        <v>206</v>
      </c>
      <c r="B133" s="934" t="s">
        <v>2025</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8">
        <v>0</v>
      </c>
      <c r="G138" s="905"/>
    </row>
    <row r="139" spans="1:7" s="867" customFormat="1" hidden="1" x14ac:dyDescent="0.2">
      <c r="A139" s="934" t="s">
        <v>206</v>
      </c>
      <c r="B139" s="934" t="s">
        <v>2031</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2039</v>
      </c>
      <c r="C157" s="940" t="s">
        <v>841</v>
      </c>
      <c r="D157" s="941" t="s">
        <v>777</v>
      </c>
      <c r="E157" s="942"/>
      <c r="F157" s="1788">
        <f>SUM(F133:F156)</f>
        <v>0</v>
      </c>
      <c r="G157" s="905"/>
    </row>
    <row r="158" spans="1:7" s="867" customFormat="1" x14ac:dyDescent="0.2">
      <c r="A158" s="938" t="s">
        <v>459</v>
      </c>
      <c r="B158" s="939" t="s">
        <v>2040</v>
      </c>
      <c r="C158" s="940" t="s">
        <v>1427</v>
      </c>
      <c r="D158" s="941" t="s">
        <v>1428</v>
      </c>
      <c r="E158" s="942"/>
      <c r="F158" s="1788">
        <f>SUM('Revenues 9-14'!C253)</f>
        <v>0</v>
      </c>
      <c r="G158" s="905"/>
    </row>
    <row r="159" spans="1:7" s="867" customFormat="1" x14ac:dyDescent="0.2">
      <c r="A159" s="938" t="s">
        <v>500</v>
      </c>
      <c r="B159" s="939" t="s">
        <v>2041</v>
      </c>
      <c r="C159" s="940" t="s">
        <v>1466</v>
      </c>
      <c r="D159" s="941" t="s">
        <v>1467</v>
      </c>
      <c r="E159" s="942"/>
      <c r="F159" s="1788">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8">
        <f>SUM('Revenues 9-14'!C255,'Revenues 9-14'!F255,'Revenues 9-14'!G255)</f>
        <v>131</v>
      </c>
      <c r="G160" s="943">
        <v>6306</v>
      </c>
    </row>
    <row r="161" spans="1:7" x14ac:dyDescent="0.2">
      <c r="A161" s="927" t="s">
        <v>5</v>
      </c>
      <c r="B161" s="927" t="s">
        <v>2043</v>
      </c>
      <c r="C161" s="932">
        <f>'Revenues 9-14'!B256</f>
        <v>4909</v>
      </c>
      <c r="D161" s="929" t="str">
        <f>'Revenues 9-14'!A256</f>
        <v>Title III - Language Inst Program - Limited Eng (LIPLEP)</v>
      </c>
      <c r="E161" s="906"/>
      <c r="F161" s="1788">
        <f>SUM('Revenues 9-14'!C256,'Revenues 9-14'!F256,'Revenues 9-14'!G256)</f>
        <v>25033</v>
      </c>
      <c r="G161" s="943"/>
    </row>
    <row r="162" spans="1:7" x14ac:dyDescent="0.2">
      <c r="A162" s="927" t="s">
        <v>668</v>
      </c>
      <c r="B162" s="927" t="s">
        <v>2044</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6">
        <f>SUM('Revenues 9-14'!C259,'Revenues 9-14'!D259,'Revenues 9-14'!F259,'Revenues 9-14'!G259)</f>
        <v>70827</v>
      </c>
      <c r="G164" s="930"/>
    </row>
    <row r="165" spans="1:7" x14ac:dyDescent="0.2">
      <c r="A165" s="927" t="s">
        <v>668</v>
      </c>
      <c r="B165" s="927" t="s">
        <v>2047</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8">
        <f>SUM('Revenues 9-14'!C263:D263,'Revenues 9-14'!F263:G263)</f>
        <v>3866</v>
      </c>
      <c r="G168" s="947">
        <v>6320</v>
      </c>
    </row>
    <row r="169" spans="1:7" x14ac:dyDescent="0.2">
      <c r="A169" s="927" t="s">
        <v>668</v>
      </c>
      <c r="B169" s="927" t="s">
        <v>2049</v>
      </c>
      <c r="C169" s="932">
        <f>'Revenues 9-14'!B264</f>
        <v>4992</v>
      </c>
      <c r="D169" s="933" t="str">
        <f>'Revenues 9-14'!A264</f>
        <v>Medicaid Matching Funds - Fee-for-Service Program</v>
      </c>
      <c r="E169" s="906"/>
      <c r="F169" s="1788">
        <f>SUM('Revenues 9-14'!C264:D264,'Revenues 9-14'!F264:G264)</f>
        <v>1440</v>
      </c>
      <c r="G169" s="947"/>
    </row>
    <row r="170" spans="1:7" x14ac:dyDescent="0.2">
      <c r="A170" s="948" t="s">
        <v>668</v>
      </c>
      <c r="B170" s="944" t="s">
        <v>2050</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c r="G171" s="927"/>
    </row>
    <row r="172" spans="1:7" x14ac:dyDescent="0.2">
      <c r="A172" s="1917" t="s">
        <v>664</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2051</v>
      </c>
      <c r="E174" s="1786" t="s">
        <v>958</v>
      </c>
      <c r="F174" s="1787">
        <f>SUM(F84:F132,F157:F172)</f>
        <v>2276211</v>
      </c>
    </row>
    <row r="175" spans="1:7" ht="12" customHeight="1" x14ac:dyDescent="0.2">
      <c r="A175" s="1769"/>
      <c r="B175" s="1783"/>
      <c r="C175" s="1784"/>
      <c r="D175" s="1785" t="s">
        <v>2052</v>
      </c>
      <c r="E175" s="1786"/>
      <c r="F175" s="1788">
        <f>'PCTC-OEPP 27-28'!F77-F174</f>
        <v>11600529</v>
      </c>
    </row>
    <row r="176" spans="1:7" ht="12" customHeight="1" x14ac:dyDescent="0.2">
      <c r="A176" s="1769"/>
      <c r="B176" s="1783"/>
      <c r="C176" s="1784"/>
      <c r="D176" s="1785" t="s">
        <v>1814</v>
      </c>
      <c r="E176" s="1786"/>
      <c r="F176" s="1788">
        <f>'Cap Outlay Deprec 26'!I18</f>
        <v>952780</v>
      </c>
    </row>
    <row r="177" spans="1:7" ht="12" customHeight="1" x14ac:dyDescent="0.2">
      <c r="A177" s="1769"/>
      <c r="B177" s="1783"/>
      <c r="C177" s="1784"/>
      <c r="D177" s="1785" t="s">
        <v>2053</v>
      </c>
      <c r="E177" s="1786"/>
      <c r="F177" s="1788">
        <f>F175+F176</f>
        <v>12553309</v>
      </c>
    </row>
    <row r="178" spans="1:7" ht="12" customHeight="1" x14ac:dyDescent="0.2">
      <c r="A178" s="1769"/>
      <c r="B178" s="1789"/>
      <c r="C178" s="1784"/>
      <c r="D178" s="1785" t="str">
        <f>D78</f>
        <v>9 Month ADA from District Average Daily Attendance/Prior General State Aid Inquiry 2018-2019</v>
      </c>
      <c r="E178" s="1786"/>
      <c r="F178" s="1790">
        <f>'PCTC-OEPP 27-28'!F78</f>
        <v>1478.9</v>
      </c>
      <c r="G178" s="930"/>
    </row>
    <row r="179" spans="1:7" ht="12" customHeight="1" thickBot="1" x14ac:dyDescent="0.25">
      <c r="A179" s="1769"/>
      <c r="B179" s="1789"/>
      <c r="C179" s="1784"/>
      <c r="D179" s="1785" t="s">
        <v>2054</v>
      </c>
      <c r="E179" s="1786" t="s">
        <v>1545</v>
      </c>
      <c r="F179" s="1791">
        <f>F177/F178</f>
        <v>8488.2743931300283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1989</v>
      </c>
      <c r="B182" s="1922"/>
      <c r="C182" s="1923"/>
      <c r="D182" s="1922"/>
      <c r="E182" s="1923"/>
      <c r="F182" s="1922"/>
      <c r="G182" s="1922"/>
    </row>
    <row r="183" spans="1:7" s="1921" customFormat="1" ht="12.2" customHeight="1" x14ac:dyDescent="0.2">
      <c r="A183" s="1924" t="s">
        <v>1991</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5"/>
  <sheetViews>
    <sheetView showGridLines="0" topLeftCell="A14" zoomScaleNormal="100" workbookViewId="0">
      <selection activeCell="A4" sqref="A4:G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1928</v>
      </c>
      <c r="B7" s="2276"/>
      <c r="C7" s="2276"/>
      <c r="D7" s="2276"/>
      <c r="E7" s="2276"/>
      <c r="F7" s="2276"/>
      <c r="G7" s="2277"/>
    </row>
    <row r="8" spans="1:7" ht="15.75" customHeight="1" x14ac:dyDescent="0.25">
      <c r="A8" s="2278" t="s">
        <v>1903</v>
      </c>
      <c r="B8" s="2279"/>
      <c r="C8" s="2279"/>
      <c r="D8" s="2279"/>
      <c r="E8" s="2279"/>
      <c r="F8" s="2279"/>
      <c r="G8" s="2280"/>
    </row>
    <row r="9" spans="1:7" ht="35.25" customHeight="1" x14ac:dyDescent="0.25">
      <c r="A9" s="2275" t="s">
        <v>2060</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1930</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1971</v>
      </c>
      <c r="B13" s="2267"/>
      <c r="C13" s="2267"/>
      <c r="D13" s="2267"/>
      <c r="E13" s="2267"/>
      <c r="F13" s="2267"/>
      <c r="G13" s="2268"/>
    </row>
    <row r="14" spans="1:7" x14ac:dyDescent="0.25">
      <c r="A14" s="1660" t="s">
        <v>1830</v>
      </c>
      <c r="B14" s="1661"/>
      <c r="C14" s="1661"/>
      <c r="D14" s="1661"/>
      <c r="E14" s="1661"/>
      <c r="F14" s="1661"/>
      <c r="G14" s="1662"/>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2136</v>
      </c>
      <c r="B17" s="1939" t="s">
        <v>2208</v>
      </c>
      <c r="C17" s="1937" t="s">
        <v>2137</v>
      </c>
      <c r="D17" s="1843">
        <v>304829</v>
      </c>
      <c r="E17" s="1540">
        <f t="shared" ref="E17:E35" si="0">IF(D17&lt;=25000,D17,IF(D17&gt;25000,25000,0))</f>
        <v>25000</v>
      </c>
      <c r="F17" s="1931">
        <f t="shared" ref="F17:F1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279829</v>
      </c>
      <c r="H17" s="1647"/>
    </row>
    <row r="18" spans="1:8" x14ac:dyDescent="0.25">
      <c r="A18" s="1936" t="s">
        <v>2138</v>
      </c>
      <c r="B18" s="1939" t="s">
        <v>2209</v>
      </c>
      <c r="C18" s="1937" t="s">
        <v>2139</v>
      </c>
      <c r="D18" s="1843">
        <v>58646</v>
      </c>
      <c r="E18" s="1540">
        <f t="shared" ref="E18:E34" si="2">IF(D18&lt;=25000,D18,IF(D18&gt;25000,25000,0))</f>
        <v>25000</v>
      </c>
      <c r="F18" s="1931">
        <f t="shared" si="1"/>
        <v>25000</v>
      </c>
      <c r="G18" s="1792">
        <f t="shared" ref="G18:G34" si="3">IF(F18=0,0,D18-F18)</f>
        <v>33646</v>
      </c>
    </row>
    <row r="19" spans="1:8" x14ac:dyDescent="0.25">
      <c r="A19" s="1653"/>
      <c r="B19" s="1933"/>
      <c r="C19" s="1655"/>
      <c r="D19" s="1843"/>
      <c r="E19" s="1540">
        <f t="shared" si="2"/>
        <v>0</v>
      </c>
      <c r="F19" s="1931">
        <f t="shared" si="1"/>
        <v>0</v>
      </c>
      <c r="G19" s="1792">
        <f t="shared" si="3"/>
        <v>0</v>
      </c>
    </row>
    <row r="20" spans="1:8" x14ac:dyDescent="0.25">
      <c r="A20" s="1653"/>
      <c r="B20" s="1666"/>
      <c r="C20" s="1654"/>
      <c r="D20" s="1843"/>
      <c r="E20" s="1540">
        <f t="shared" ref="E20:E28" si="4">IF(D20&lt;=25000,D20,IF(D20&gt;25000,25000,0))</f>
        <v>0</v>
      </c>
      <c r="F20" s="1931">
        <f t="shared" ref="F20:F34" si="5">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0</v>
      </c>
      <c r="G20" s="1792">
        <f t="shared" ref="G20:G28" si="6">IF(F20=0,0,D20-F20)</f>
        <v>0</v>
      </c>
    </row>
    <row r="21" spans="1:8" x14ac:dyDescent="0.25">
      <c r="A21" s="1653"/>
      <c r="B21" s="1666"/>
      <c r="C21" s="1654"/>
      <c r="D21" s="1843"/>
      <c r="E21" s="1540">
        <f t="shared" si="4"/>
        <v>0</v>
      </c>
      <c r="F21" s="1931">
        <f t="shared" si="5"/>
        <v>0</v>
      </c>
      <c r="G21" s="1792">
        <f t="shared" si="6"/>
        <v>0</v>
      </c>
    </row>
    <row r="22" spans="1:8" x14ac:dyDescent="0.25">
      <c r="A22" s="1653"/>
      <c r="B22" s="1666"/>
      <c r="C22" s="1654"/>
      <c r="D22" s="1843"/>
      <c r="E22" s="1540">
        <f t="shared" si="4"/>
        <v>0</v>
      </c>
      <c r="F22" s="1931">
        <f t="shared" si="5"/>
        <v>0</v>
      </c>
      <c r="G22" s="1792">
        <f t="shared" si="6"/>
        <v>0</v>
      </c>
    </row>
    <row r="23" spans="1:8" x14ac:dyDescent="0.25">
      <c r="A23" s="1653"/>
      <c r="B23" s="1666"/>
      <c r="C23" s="1654"/>
      <c r="D23" s="1843"/>
      <c r="E23" s="1540">
        <f t="shared" si="4"/>
        <v>0</v>
      </c>
      <c r="F23" s="1931">
        <f t="shared" si="5"/>
        <v>0</v>
      </c>
      <c r="G23" s="1792">
        <f t="shared" si="6"/>
        <v>0</v>
      </c>
    </row>
    <row r="24" spans="1:8" x14ac:dyDescent="0.25">
      <c r="A24" s="1653"/>
      <c r="B24" s="1666"/>
      <c r="C24" s="1654"/>
      <c r="D24" s="1843"/>
      <c r="E24" s="1540">
        <f t="shared" si="4"/>
        <v>0</v>
      </c>
      <c r="F24" s="1931">
        <f t="shared" si="5"/>
        <v>0</v>
      </c>
      <c r="G24" s="1792">
        <f t="shared" si="6"/>
        <v>0</v>
      </c>
    </row>
    <row r="25" spans="1:8" x14ac:dyDescent="0.25">
      <c r="A25" s="1653"/>
      <c r="B25" s="1836"/>
      <c r="C25" s="1654"/>
      <c r="D25" s="1843"/>
      <c r="E25" s="1540">
        <f t="shared" si="4"/>
        <v>0</v>
      </c>
      <c r="F25" s="1931">
        <f t="shared" si="5"/>
        <v>0</v>
      </c>
      <c r="G25" s="1792">
        <f t="shared" si="6"/>
        <v>0</v>
      </c>
    </row>
    <row r="26" spans="1:8" x14ac:dyDescent="0.25">
      <c r="A26" s="1653"/>
      <c r="B26" s="1836"/>
      <c r="C26" s="1654"/>
      <c r="D26" s="1843"/>
      <c r="E26" s="1540">
        <f t="shared" si="4"/>
        <v>0</v>
      </c>
      <c r="F26" s="1931">
        <f t="shared" si="5"/>
        <v>0</v>
      </c>
      <c r="G26" s="1792">
        <f t="shared" si="6"/>
        <v>0</v>
      </c>
    </row>
    <row r="27" spans="1:8" x14ac:dyDescent="0.25">
      <c r="A27" s="1653"/>
      <c r="B27" s="1666"/>
      <c r="C27" s="1654"/>
      <c r="D27" s="1843"/>
      <c r="E27" s="1540">
        <f t="shared" si="4"/>
        <v>0</v>
      </c>
      <c r="F27" s="1931">
        <f t="shared" si="5"/>
        <v>0</v>
      </c>
      <c r="G27" s="1792">
        <f t="shared" si="6"/>
        <v>0</v>
      </c>
    </row>
    <row r="28" spans="1:8" x14ac:dyDescent="0.25">
      <c r="A28" s="1653"/>
      <c r="B28" s="1666"/>
      <c r="C28" s="1654"/>
      <c r="D28" s="1843"/>
      <c r="E28" s="1540">
        <f t="shared" si="4"/>
        <v>0</v>
      </c>
      <c r="F28" s="1931">
        <f t="shared" si="5"/>
        <v>0</v>
      </c>
      <c r="G28" s="1792">
        <f t="shared" si="6"/>
        <v>0</v>
      </c>
    </row>
    <row r="29" spans="1:8" x14ac:dyDescent="0.25">
      <c r="A29" s="1653"/>
      <c r="B29" s="1666"/>
      <c r="C29" s="1654"/>
      <c r="D29" s="1843"/>
      <c r="E29" s="1540">
        <f t="shared" ref="E29:E33" si="7">IF(D29&lt;=25000,D29,IF(D29&gt;25000,25000,0))</f>
        <v>0</v>
      </c>
      <c r="F29" s="1931">
        <f t="shared" si="5"/>
        <v>0</v>
      </c>
      <c r="G29" s="1792">
        <f t="shared" ref="G29:G33" si="8">IF(F29=0,0,D29-F29)</f>
        <v>0</v>
      </c>
    </row>
    <row r="30" spans="1:8" x14ac:dyDescent="0.25">
      <c r="A30" s="1653"/>
      <c r="B30" s="1666"/>
      <c r="C30" s="1654"/>
      <c r="D30" s="1843"/>
      <c r="E30" s="1540">
        <f t="shared" si="7"/>
        <v>0</v>
      </c>
      <c r="F30" s="1931">
        <f t="shared" si="5"/>
        <v>0</v>
      </c>
      <c r="G30" s="1792">
        <f t="shared" si="8"/>
        <v>0</v>
      </c>
    </row>
    <row r="31" spans="1:8" x14ac:dyDescent="0.25">
      <c r="A31" s="1653"/>
      <c r="B31" s="1666"/>
      <c r="C31" s="1654"/>
      <c r="D31" s="1843"/>
      <c r="E31" s="1540">
        <f t="shared" si="7"/>
        <v>0</v>
      </c>
      <c r="F31" s="1931">
        <f t="shared" si="5"/>
        <v>0</v>
      </c>
      <c r="G31" s="1792">
        <f t="shared" si="8"/>
        <v>0</v>
      </c>
    </row>
    <row r="32" spans="1:8" x14ac:dyDescent="0.25">
      <c r="A32" s="1653"/>
      <c r="B32" s="1666"/>
      <c r="C32" s="1654"/>
      <c r="D32" s="1843"/>
      <c r="E32" s="1540">
        <f t="shared" si="7"/>
        <v>0</v>
      </c>
      <c r="F32" s="1931">
        <f t="shared" si="5"/>
        <v>0</v>
      </c>
      <c r="G32" s="1792">
        <f t="shared" si="8"/>
        <v>0</v>
      </c>
    </row>
    <row r="33" spans="1:7" x14ac:dyDescent="0.25">
      <c r="A33" s="1653"/>
      <c r="B33" s="1666"/>
      <c r="C33" s="1654"/>
      <c r="D33" s="1843"/>
      <c r="E33" s="1540">
        <f t="shared" si="7"/>
        <v>0</v>
      </c>
      <c r="F33" s="1931">
        <f t="shared" si="5"/>
        <v>0</v>
      </c>
      <c r="G33" s="1792">
        <f t="shared" si="8"/>
        <v>0</v>
      </c>
    </row>
    <row r="34" spans="1:7" x14ac:dyDescent="0.25">
      <c r="A34" s="1653"/>
      <c r="B34" s="1665"/>
      <c r="C34" s="1654"/>
      <c r="D34" s="1843"/>
      <c r="E34" s="1540">
        <f t="shared" si="2"/>
        <v>0</v>
      </c>
      <c r="F34" s="1931">
        <f t="shared" si="5"/>
        <v>0</v>
      </c>
      <c r="G34" s="1792">
        <f t="shared" si="3"/>
        <v>0</v>
      </c>
    </row>
    <row r="35" spans="1:7" x14ac:dyDescent="0.25">
      <c r="A35" s="1795" t="s">
        <v>156</v>
      </c>
      <c r="B35" s="1796"/>
      <c r="C35" s="1797"/>
      <c r="D35" s="1793">
        <f>SUM(D17:D34)</f>
        <v>363475</v>
      </c>
      <c r="E35" s="1541">
        <f t="shared" si="0"/>
        <v>25000</v>
      </c>
      <c r="F35" s="1932">
        <f>SUM(F17:F34)</f>
        <v>50000</v>
      </c>
      <c r="G35" s="1794">
        <f>SUM(G17:G34)</f>
        <v>313475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4294967295" verticalDpi="4294967295"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8" colorId="8" zoomScale="110" zoomScaleNormal="110" workbookViewId="0">
      <selection activeCell="B4" sqref="B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310232</v>
      </c>
      <c r="F10" s="974"/>
      <c r="G10" s="975"/>
      <c r="H10" s="162"/>
      <c r="I10" s="162"/>
    </row>
    <row r="11" spans="1:9" s="668" customFormat="1" ht="22.5" customHeight="1" x14ac:dyDescent="0.2">
      <c r="A11" s="2286" t="s">
        <v>1972</v>
      </c>
      <c r="B11" s="2287"/>
      <c r="C11" s="2287"/>
      <c r="D11" s="2288"/>
      <c r="E11" s="977">
        <v>64338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8068698</v>
      </c>
      <c r="F19" s="1798"/>
      <c r="G19" s="1800">
        <f>'Expenditures 15-22'!K33-SUM('Expenditures 15-22'!G33,'Expenditures 15-22'!I33)+'Expenditures 15-22'!D229</f>
        <v>8068698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490881</v>
      </c>
      <c r="F21" s="1801"/>
      <c r="G21" s="1804">
        <f>'Expenditures 15-22'!K42-SUM('Expenditures 15-22'!G42,'Expenditures 15-22'!I42)+'Expenditures 15-22'!K120-SUM('Expenditures 15-22'!G120,'Expenditures 15-22'!I120)+'Expenditures 15-22'!K180-SUM('Expenditures 15-22'!G180,'Expenditures 15-22'!I180)+'Expenditures 15-22'!D238</f>
        <v>490881</v>
      </c>
      <c r="H21" s="987"/>
      <c r="I21" s="162"/>
    </row>
    <row r="22" spans="1:9" s="668" customFormat="1" ht="12" customHeight="1" x14ac:dyDescent="0.2">
      <c r="A22" s="994" t="s">
        <v>564</v>
      </c>
      <c r="B22" s="995"/>
      <c r="C22" s="993">
        <v>2200</v>
      </c>
      <c r="D22" s="1801"/>
      <c r="E22" s="1803">
        <f>'Expenditures 15-22'!K47-SUM('Expenditures 15-22'!G47,'Expenditures 15-22'!I47)+'Expenditures 15-22'!D243</f>
        <v>289287</v>
      </c>
      <c r="F22" s="1801"/>
      <c r="G22" s="1804">
        <f>'Expenditures 15-22'!K47-SUM('Expenditures 15-22'!G47,'Expenditures 15-22'!I47)+'Expenditures 15-22'!D243</f>
        <v>289287</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1126040</v>
      </c>
      <c r="F23" s="1801"/>
      <c r="G23" s="1803">
        <f>'Expenditures 15-22'!K53-SUM('Expenditures 15-22'!G53,'Expenditures 15-22'!I53)+'Expenditures 15-22'!D257+'Expenditures 15-22'!K330-SUM('Expenditures 15-22'!G330,'Expenditures 15-22'!I330)</f>
        <v>1126040</v>
      </c>
      <c r="H23" s="987"/>
      <c r="I23" s="162"/>
    </row>
    <row r="24" spans="1:9" s="668" customFormat="1" ht="12" customHeight="1" x14ac:dyDescent="0.2">
      <c r="A24" s="994" t="s">
        <v>566</v>
      </c>
      <c r="B24" s="995"/>
      <c r="C24" s="993">
        <v>2400</v>
      </c>
      <c r="D24" s="1801"/>
      <c r="E24" s="1803">
        <f>'Expenditures 15-22'!K57-SUM('Expenditures 15-22'!G57,'Expenditures 15-22'!I57)+'Expenditures 15-22'!D261</f>
        <v>1088049</v>
      </c>
      <c r="F24" s="1801"/>
      <c r="G24" s="1804">
        <f>'Expenditures 15-22'!K57-SUM('Expenditures 15-22'!G57,'Expenditures 15-22'!I57)+'Expenditures 15-22'!D261</f>
        <v>1088049</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104239</v>
      </c>
      <c r="E27" s="1803">
        <f>E8</f>
        <v>0</v>
      </c>
      <c r="F27" s="1803">
        <f>'Expenditures 15-22'!K60-SUM('Expenditures 15-22'!G60,'Expenditures 15-22'!I60)+'Expenditures 15-22'!D264-E8</f>
        <v>104239</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1169187</v>
      </c>
      <c r="F28" s="1805">
        <f>'Expenditures 15-22'!K61-SUM('Expenditures 15-22'!G61,'Expenditures 15-22'!I61)+'Expenditures 15-22'!K124-SUM('Expenditures 15-22'!G124,'Expenditures 15-22'!I124)+'Expenditures 15-22'!D266-E9</f>
        <v>1169187</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1049153</v>
      </c>
      <c r="F29" s="1801"/>
      <c r="G29" s="1804">
        <f>'Expenditures 15-22'!K62-SUM('Expenditures 15-22'!G62,'Expenditures 15-22'!I62)+'Expenditures 15-22'!K125-SUM('Expenditures 15-22'!G125,'Expenditures 15-22'!I125)+'Expenditures 15-22'!K182-SUM('Expenditures 15-22'!G182,'Expenditures 15-22'!I182)+'Expenditures 15-22'!D267</f>
        <v>1049153</v>
      </c>
      <c r="H29" s="985"/>
    </row>
    <row r="30" spans="1:9" ht="12" customHeight="1" x14ac:dyDescent="0.2">
      <c r="A30" s="994" t="s">
        <v>100</v>
      </c>
      <c r="B30" s="997"/>
      <c r="C30" s="993">
        <v>2560</v>
      </c>
      <c r="D30" s="1801"/>
      <c r="E30" s="1803">
        <f>'Expenditures 15-22'!K63-SUM('Expenditures 15-22'!G63,'Expenditures 15-22'!I63)+'Expenditures 15-22'!D268-E10</f>
        <v>423206</v>
      </c>
      <c r="F30" s="1801"/>
      <c r="G30" s="1803">
        <f>'Expenditures 15-22'!K63-SUM('Expenditures 15-22'!G63,'Expenditures 15-22'!I63)+'Expenditures 15-22'!D268-E10</f>
        <v>423206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1000</v>
      </c>
      <c r="E36" s="1803">
        <f>E13</f>
        <v>0</v>
      </c>
      <c r="F36" s="1803">
        <f>'Expenditures 15-22'!K70-SUM('Expenditures 15-22'!G70,'Expenditures 15-22'!I70)+'Expenditures 15-22'!D275-E13</f>
        <v>1000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111698</v>
      </c>
      <c r="F38" s="1801"/>
      <c r="G38" s="1803">
        <f>'Expenditures 15-22'!K73-SUM('Expenditures 15-22'!G73,'Expenditures 15-22'!I73)+'Expenditures 15-22'!K128-SUM('Expenditures 15-22'!G128,'Expenditures 15-22'!I128)+'Expenditures 15-22'!K183-SUM('Expenditures 15-22'!G183,'Expenditures 15-22'!I183)+'Expenditures 15-22'!D278</f>
        <v>111698</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29765</v>
      </c>
      <c r="F39" s="1801"/>
      <c r="G39" s="1803">
        <f>'Expenditures 15-22'!K75-SUM('Expenditures 15-22'!G75,'Expenditures 15-22'!I75)+'Expenditures 15-22'!K130-SUM('Expenditures 15-22'!G130,'Expenditures 15-22'!I130)+'Expenditures 15-22'!K185-SUM('Expenditures 15-22'!G185,'Expenditures 15-22'!I185)+'Expenditures 15-22'!D280</f>
        <v>29765</v>
      </c>
    </row>
    <row r="40" spans="1:7" ht="12" customHeight="1" x14ac:dyDescent="0.2">
      <c r="A40" s="990" t="s">
        <v>1820</v>
      </c>
      <c r="B40" s="991"/>
      <c r="C40" s="993"/>
      <c r="D40" s="1801"/>
      <c r="E40" s="1805">
        <f>-'Contracts Paid in CY 29'!G35</f>
        <v>-313475</v>
      </c>
      <c r="F40" s="1801"/>
      <c r="G40" s="1805">
        <f>-'Contracts Paid in CY 29'!G35</f>
        <v>-313475</v>
      </c>
    </row>
    <row r="41" spans="1:7" ht="12" customHeight="1" x14ac:dyDescent="0.2">
      <c r="A41" s="998" t="s">
        <v>156</v>
      </c>
      <c r="B41" s="999"/>
      <c r="C41" s="1000"/>
      <c r="D41" s="1805">
        <f>SUM(D19:D39)</f>
        <v>105239</v>
      </c>
      <c r="E41" s="1805">
        <f>SUM(E19:E40)</f>
        <v>13532489</v>
      </c>
      <c r="F41" s="1805">
        <f>SUM(F19:F39)</f>
        <v>1274426</v>
      </c>
      <c r="G41" s="1805">
        <f>SUM(G19:G40)</f>
        <v>12363302</v>
      </c>
    </row>
    <row r="42" spans="1:7" x14ac:dyDescent="0.2">
      <c r="A42" s="987"/>
      <c r="B42" s="162"/>
      <c r="C42" s="1001"/>
      <c r="D42" s="2284" t="s">
        <v>522</v>
      </c>
      <c r="E42" s="2285"/>
      <c r="F42" s="1002" t="s">
        <v>523</v>
      </c>
      <c r="G42" s="1003"/>
    </row>
    <row r="43" spans="1:7" ht="12" customHeight="1" x14ac:dyDescent="0.2">
      <c r="A43" s="987"/>
      <c r="B43" s="162"/>
      <c r="C43" s="1001"/>
      <c r="D43" s="1806" t="s">
        <v>473</v>
      </c>
      <c r="E43" s="1807">
        <f>D41</f>
        <v>105239</v>
      </c>
      <c r="F43" s="1806" t="s">
        <v>473</v>
      </c>
      <c r="G43" s="1807">
        <f>F41</f>
        <v>1274426</v>
      </c>
    </row>
    <row r="44" spans="1:7" ht="12" customHeight="1" x14ac:dyDescent="0.2">
      <c r="A44" s="987"/>
      <c r="B44" s="162"/>
      <c r="C44" s="1001"/>
      <c r="D44" s="1806" t="s">
        <v>474</v>
      </c>
      <c r="E44" s="1807">
        <f>E41</f>
        <v>13532489</v>
      </c>
      <c r="F44" s="1806" t="s">
        <v>474</v>
      </c>
      <c r="G44" s="1807">
        <f>G41</f>
        <v>12363302</v>
      </c>
    </row>
    <row r="45" spans="1:7" ht="12" customHeight="1" x14ac:dyDescent="0.2">
      <c r="A45" s="987"/>
      <c r="B45" s="162"/>
      <c r="C45" s="162"/>
      <c r="D45" s="1808" t="s">
        <v>1006</v>
      </c>
      <c r="E45" s="1809">
        <f>(E43/E44)</f>
        <v>7.7767659740939007E-3</v>
      </c>
      <c r="F45" s="1808" t="s">
        <v>1006</v>
      </c>
      <c r="G45" s="1809">
        <f>(G43/G44)</f>
        <v>0.10308136127387327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6" activePane="bottomLeft" state="frozen"/>
      <selection activeCell="B4" sqref="B4"/>
      <selection pane="bottomLeft" activeCell="B4" sqref="B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2" t="s">
        <v>1379</v>
      </c>
      <c r="B1" s="2292"/>
      <c r="C1" s="2292"/>
      <c r="D1" s="2292"/>
      <c r="E1" s="2292"/>
      <c r="F1" s="2292"/>
    </row>
    <row r="2" spans="1:10" x14ac:dyDescent="0.2">
      <c r="A2" s="1886" t="s">
        <v>1908</v>
      </c>
      <c r="B2" s="1847"/>
      <c r="C2" s="1886"/>
      <c r="D2" s="1847"/>
      <c r="E2" s="1847"/>
      <c r="F2" s="1848"/>
    </row>
    <row r="3" spans="1:10" x14ac:dyDescent="0.2">
      <c r="A3" s="1886" t="s">
        <v>1973</v>
      </c>
      <c r="B3" s="1847"/>
      <c r="C3" s="1886"/>
      <c r="D3" s="1847"/>
      <c r="E3" s="1847"/>
      <c r="F3" s="1848"/>
    </row>
    <row r="4" spans="1:10" ht="3.75" customHeight="1" x14ac:dyDescent="0.2">
      <c r="A4" s="1847"/>
      <c r="B4" s="1847"/>
      <c r="C4" s="1847"/>
      <c r="D4" s="1847"/>
      <c r="E4" s="1847"/>
      <c r="F4" s="1848"/>
    </row>
    <row r="5" spans="1:10" ht="15" x14ac:dyDescent="0.25">
      <c r="A5" s="2293" t="s">
        <v>1546</v>
      </c>
      <c r="B5" s="2294"/>
      <c r="C5" s="2295"/>
      <c r="D5" s="2295"/>
      <c r="E5" s="2295"/>
      <c r="F5" s="2295"/>
    </row>
    <row r="6" spans="1:10" ht="12" customHeight="1" x14ac:dyDescent="0.25">
      <c r="A6" s="1849"/>
      <c r="B6" s="1850"/>
      <c r="C6" s="2296" t="str">
        <f>COVER!A17</f>
        <v>Monmouth-Roseville CUSD 238</v>
      </c>
      <c r="D6" s="2296"/>
      <c r="E6" s="2296"/>
      <c r="F6" s="1851"/>
    </row>
    <row r="7" spans="1:10" ht="11.25" customHeight="1" thickBot="1" x14ac:dyDescent="0.3">
      <c r="A7" s="1849"/>
      <c r="B7" s="1850"/>
      <c r="C7" s="2297">
        <f>COVER!A13</f>
        <v>33094238026</v>
      </c>
      <c r="D7" s="2297"/>
      <c r="E7" s="2297"/>
      <c r="F7" s="1851"/>
    </row>
    <row r="8" spans="1:10" ht="25.5" customHeight="1" thickBot="1" x14ac:dyDescent="0.25">
      <c r="A8" s="1892" t="s">
        <v>1904</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t="s">
        <v>2061</v>
      </c>
      <c r="D15" s="1864" t="s">
        <v>2061</v>
      </c>
      <c r="E15" s="1867"/>
      <c r="F15" s="1866" t="s">
        <v>2140</v>
      </c>
      <c r="H15" s="1877">
        <f t="shared" si="0"/>
        <v>5</v>
      </c>
      <c r="I15" s="1877">
        <f t="shared" si="1"/>
        <v>5</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2061</v>
      </c>
      <c r="D26" s="1864" t="s">
        <v>2061</v>
      </c>
      <c r="E26" s="1867"/>
      <c r="F26" s="1866" t="s">
        <v>2141</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t="s">
        <v>2061</v>
      </c>
      <c r="D28" s="1864" t="s">
        <v>2061</v>
      </c>
      <c r="E28" s="1867"/>
      <c r="F28" s="1866" t="s">
        <v>2142</v>
      </c>
      <c r="H28" s="1877">
        <f t="shared" si="0"/>
        <v>5</v>
      </c>
      <c r="I28" s="1877">
        <f t="shared" si="1"/>
        <v>5</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t="s">
        <v>2061</v>
      </c>
      <c r="D30" s="1864" t="s">
        <v>2061</v>
      </c>
      <c r="E30" s="1867"/>
      <c r="F30" s="1866" t="s">
        <v>2143</v>
      </c>
      <c r="H30" s="1877">
        <f t="shared" si="0"/>
        <v>5</v>
      </c>
      <c r="I30" s="1877">
        <f t="shared" si="1"/>
        <v>5</v>
      </c>
      <c r="J30" s="1877">
        <f t="shared" si="2"/>
        <v>0</v>
      </c>
    </row>
    <row r="31" spans="1:12" ht="12" customHeight="1" x14ac:dyDescent="0.2">
      <c r="A31" s="1862" t="s">
        <v>1539</v>
      </c>
      <c r="B31" s="1863"/>
      <c r="C31" s="1864" t="s">
        <v>2061</v>
      </c>
      <c r="D31" s="1864" t="s">
        <v>2061</v>
      </c>
      <c r="E31" s="1867"/>
      <c r="F31" s="1866" t="s">
        <v>2144</v>
      </c>
      <c r="H31" s="1877">
        <f t="shared" si="0"/>
        <v>5</v>
      </c>
      <c r="I31" s="1877">
        <f t="shared" si="1"/>
        <v>5</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0</v>
      </c>
      <c r="K34" s="1877">
        <f>SUM(H34:J34)</f>
        <v>50</v>
      </c>
    </row>
    <row r="35" spans="1:11" ht="12" customHeight="1" x14ac:dyDescent="0.2">
      <c r="A35" s="1870" t="s">
        <v>1392</v>
      </c>
      <c r="B35" s="1871"/>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2"/>
      <c r="B39" s="1872"/>
      <c r="C39" s="1872"/>
      <c r="D39" s="1872"/>
      <c r="E39" s="1872"/>
      <c r="F39" s="1872"/>
    </row>
    <row r="40" spans="1:11" s="1869" customFormat="1" ht="12" customHeight="1" x14ac:dyDescent="0.25">
      <c r="A40" s="1873" t="s">
        <v>1391</v>
      </c>
      <c r="B40" s="1874"/>
      <c r="C40" s="2306"/>
      <c r="D40" s="2306"/>
      <c r="E40" s="2306"/>
      <c r="F40" s="2307"/>
      <c r="H40" s="1878"/>
      <c r="I40" s="1878"/>
      <c r="J40" s="1878"/>
      <c r="K40" s="1878"/>
    </row>
    <row r="41" spans="1:11" s="1869" customFormat="1" ht="12" customHeight="1" x14ac:dyDescent="0.25">
      <c r="A41" s="2308"/>
      <c r="B41" s="2309"/>
      <c r="C41" s="2309"/>
      <c r="D41" s="2309"/>
      <c r="E41" s="2309"/>
      <c r="F41" s="2310"/>
      <c r="H41" s="1878"/>
      <c r="I41" s="1878"/>
      <c r="J41" s="1878"/>
      <c r="K41" s="1878"/>
    </row>
    <row r="42" spans="1:11" s="1869" customFormat="1" ht="12" customHeight="1" x14ac:dyDescent="0.25">
      <c r="A42" s="2308"/>
      <c r="B42" s="2309"/>
      <c r="C42" s="2309"/>
      <c r="D42" s="2309"/>
      <c r="E42" s="2309"/>
      <c r="F42" s="2310"/>
      <c r="H42" s="1878"/>
      <c r="I42" s="1878"/>
      <c r="J42" s="1878"/>
      <c r="K42" s="1878"/>
    </row>
    <row r="43" spans="1:11" s="1869" customFormat="1" ht="15" x14ac:dyDescent="0.25">
      <c r="A43" s="2300"/>
      <c r="B43" s="2301"/>
      <c r="C43" s="2301"/>
      <c r="D43" s="2301"/>
      <c r="E43" s="2301"/>
      <c r="F43" s="2302"/>
      <c r="H43" s="1878"/>
      <c r="I43" s="1878"/>
      <c r="J43" s="1878"/>
      <c r="K43" s="1878"/>
    </row>
    <row r="44" spans="1:11" s="1869" customFormat="1" ht="12" hidden="1" customHeight="1" x14ac:dyDescent="0.25">
      <c r="A44" s="2300"/>
      <c r="B44" s="2301"/>
      <c r="C44" s="2301"/>
      <c r="D44" s="2301"/>
      <c r="E44" s="2301"/>
      <c r="F44" s="2302"/>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9" colorId="8" zoomScale="110" zoomScaleNormal="110" workbookViewId="0">
      <selection activeCell="B4" sqref="B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6" t="str">
        <f>COVER!A17</f>
        <v>Monmouth-Roseville CUSD 238</v>
      </c>
      <c r="J6" s="2317"/>
      <c r="Q6" s="1663"/>
    </row>
    <row r="7" spans="1:17" x14ac:dyDescent="0.2">
      <c r="A7" s="2318" t="s">
        <v>869</v>
      </c>
      <c r="B7" s="2319"/>
      <c r="C7" s="2319"/>
      <c r="D7" s="2319"/>
      <c r="E7" s="2320"/>
      <c r="F7" s="1017"/>
      <c r="G7" s="1009"/>
      <c r="H7" s="1016" t="s">
        <v>372</v>
      </c>
      <c r="I7" s="2321">
        <f>COVER!A13</f>
        <v>33094238026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1974</v>
      </c>
      <c r="F9" s="1023"/>
      <c r="G9" s="1023"/>
      <c r="H9" s="1895"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268807</v>
      </c>
      <c r="F12" s="1039"/>
      <c r="G12" s="1810">
        <f t="shared" ref="G12:G18" si="0">SUM(E12:F12)</f>
        <v>268807</v>
      </c>
      <c r="H12" s="1040">
        <v>315381</v>
      </c>
      <c r="I12" s="1039"/>
      <c r="J12" s="1810">
        <f t="shared" ref="J12:J18" si="1">SUM(H12:I12)</f>
        <v>315381</v>
      </c>
    </row>
    <row r="13" spans="1:17" ht="15" customHeight="1" x14ac:dyDescent="0.2">
      <c r="A13" s="1035">
        <v>2</v>
      </c>
      <c r="B13" s="1036" t="s">
        <v>42</v>
      </c>
      <c r="C13" s="1037"/>
      <c r="D13" s="1038">
        <v>2330</v>
      </c>
      <c r="E13" s="1810">
        <f>'Expenditures 15-22'!K51</f>
        <v>600</v>
      </c>
      <c r="F13" s="1039"/>
      <c r="G13" s="1810">
        <f t="shared" si="0"/>
        <v>600</v>
      </c>
      <c r="H13" s="1040">
        <v>2000</v>
      </c>
      <c r="I13" s="1039"/>
      <c r="J13" s="1810">
        <f t="shared" si="1"/>
        <v>2000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5" t="s">
        <v>7</v>
      </c>
      <c r="C18" s="2326"/>
      <c r="D18" s="2327"/>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269407</v>
      </c>
      <c r="F19" s="1812">
        <f t="shared" si="2"/>
        <v>0</v>
      </c>
      <c r="G19" s="1812">
        <f t="shared" si="2"/>
        <v>269407</v>
      </c>
      <c r="H19" s="1812">
        <f t="shared" si="2"/>
        <v>317381</v>
      </c>
      <c r="I19" s="1812">
        <f t="shared" si="2"/>
        <v>0</v>
      </c>
      <c r="J19" s="1812">
        <f t="shared" si="2"/>
        <v>317381</v>
      </c>
    </row>
    <row r="20" spans="1:10" ht="13.5" thickTop="1" x14ac:dyDescent="0.2">
      <c r="A20" s="1035">
        <v>9</v>
      </c>
      <c r="B20" s="2328" t="s">
        <v>1976</v>
      </c>
      <c r="C20" s="2328"/>
      <c r="D20" s="2329"/>
      <c r="E20" s="1046"/>
      <c r="F20" s="1046"/>
      <c r="G20" s="1046"/>
      <c r="H20" s="1046"/>
      <c r="I20" s="1046"/>
      <c r="J20" s="1813">
        <f>IF(AND(G19&gt;0,J19&gt;0),(((J19-G19)/G19)),"Enter Budget Data")</f>
        <v>0.17807258163299394</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t="s">
        <v>2061</v>
      </c>
      <c r="C36" s="2315" t="s">
        <v>1978</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topLeftCell="A37" zoomScale="110" zoomScaleNormal="110" workbookViewId="0">
      <selection activeCell="B4" sqref="B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938" t="s">
        <v>64</v>
      </c>
    </row>
    <row r="6" spans="1:1" x14ac:dyDescent="0.2">
      <c r="A6" s="1068" t="s">
        <v>2174</v>
      </c>
    </row>
    <row r="7" spans="1:1" x14ac:dyDescent="0.2">
      <c r="A7" s="1068" t="s">
        <v>2175</v>
      </c>
    </row>
    <row r="8" spans="1:1" x14ac:dyDescent="0.2">
      <c r="A8" s="1068"/>
    </row>
    <row r="9" spans="1:1" s="259" customFormat="1" ht="11.25" x14ac:dyDescent="0.2">
      <c r="A9" s="1068" t="s">
        <v>2176</v>
      </c>
    </row>
    <row r="10" spans="1:1" s="259" customFormat="1" ht="11.25" x14ac:dyDescent="0.2">
      <c r="A10" s="1068" t="s">
        <v>2181</v>
      </c>
    </row>
    <row r="11" spans="1:1" s="259" customFormat="1" ht="11.25" x14ac:dyDescent="0.2">
      <c r="A11" s="1068"/>
    </row>
    <row r="12" spans="1:1" s="259" customFormat="1" ht="11.25" x14ac:dyDescent="0.2">
      <c r="A12" s="1068" t="s">
        <v>2177</v>
      </c>
    </row>
    <row r="13" spans="1:1" s="259" customFormat="1" ht="11.25" x14ac:dyDescent="0.2">
      <c r="A13" s="1068" t="s">
        <v>2178</v>
      </c>
    </row>
    <row r="14" spans="1:1" s="259" customFormat="1" ht="11.25" x14ac:dyDescent="0.2">
      <c r="A14" s="1068"/>
    </row>
    <row r="15" spans="1:1" s="259" customFormat="1" ht="11.25" x14ac:dyDescent="0.2">
      <c r="A15" s="1068" t="s">
        <v>2179</v>
      </c>
    </row>
    <row r="16" spans="1:1" s="259" customFormat="1" ht="11.25" x14ac:dyDescent="0.2">
      <c r="A16" s="1068" t="s">
        <v>2180</v>
      </c>
    </row>
    <row r="17" spans="1:1" s="259" customFormat="1" ht="11.25" x14ac:dyDescent="0.2">
      <c r="A17" s="1068"/>
    </row>
    <row r="18" spans="1:1" s="259" customFormat="1" ht="11.25" x14ac:dyDescent="0.2">
      <c r="A18" s="1068" t="s">
        <v>2182</v>
      </c>
    </row>
    <row r="19" spans="1:1" s="259" customFormat="1" ht="11.25" x14ac:dyDescent="0.2">
      <c r="A19" s="1068" t="s">
        <v>2183</v>
      </c>
    </row>
    <row r="20" spans="1:1" s="259" customFormat="1" ht="11.25" x14ac:dyDescent="0.2">
      <c r="A20" s="1068" t="s">
        <v>2184</v>
      </c>
    </row>
    <row r="21" spans="1:1" s="259" customFormat="1" ht="11.25" x14ac:dyDescent="0.2">
      <c r="A21" s="1068"/>
    </row>
    <row r="22" spans="1:1" s="259" customFormat="1" ht="11.25" x14ac:dyDescent="0.2">
      <c r="A22" s="1068" t="s">
        <v>2185</v>
      </c>
    </row>
    <row r="23" spans="1:1" s="259" customFormat="1" ht="11.25" x14ac:dyDescent="0.2">
      <c r="A23" s="1068" t="s">
        <v>2210</v>
      </c>
    </row>
    <row r="24" spans="1:1" s="259" customFormat="1" ht="11.25" x14ac:dyDescent="0.2">
      <c r="A24" s="1068"/>
    </row>
    <row r="25" spans="1:1" s="259" customFormat="1" ht="11.25" x14ac:dyDescent="0.2">
      <c r="A25" s="1068" t="s">
        <v>2197</v>
      </c>
    </row>
    <row r="26" spans="1:1" s="259" customFormat="1" ht="11.25" x14ac:dyDescent="0.2">
      <c r="A26" s="1068" t="s">
        <v>2198</v>
      </c>
    </row>
    <row r="27" spans="1:1" s="259" customFormat="1" ht="11.25" x14ac:dyDescent="0.2">
      <c r="A27" s="1068"/>
    </row>
    <row r="28" spans="1:1" s="259" customFormat="1" ht="11.25" x14ac:dyDescent="0.2">
      <c r="A28" s="1068" t="s">
        <v>2186</v>
      </c>
    </row>
    <row r="29" spans="1:1" s="259" customFormat="1" ht="11.25" x14ac:dyDescent="0.2">
      <c r="A29" s="1068" t="s">
        <v>2187</v>
      </c>
    </row>
    <row r="30" spans="1:1" s="259" customFormat="1" ht="11.25" x14ac:dyDescent="0.2">
      <c r="A30" s="1068"/>
    </row>
    <row r="31" spans="1:1" s="259" customFormat="1" ht="11.25" x14ac:dyDescent="0.2">
      <c r="A31" s="1068" t="s">
        <v>2188</v>
      </c>
    </row>
    <row r="32" spans="1:1" s="259" customFormat="1" ht="11.25" x14ac:dyDescent="0.2">
      <c r="A32" s="1068" t="s">
        <v>2211</v>
      </c>
    </row>
    <row r="33" spans="1:1" s="259" customFormat="1" ht="11.25" x14ac:dyDescent="0.2">
      <c r="A33" s="1068"/>
    </row>
    <row r="34" spans="1:1" s="259" customFormat="1" ht="11.25" x14ac:dyDescent="0.2">
      <c r="A34" s="1938" t="s">
        <v>2189</v>
      </c>
    </row>
    <row r="35" spans="1:1" s="259" customFormat="1" ht="11.25" x14ac:dyDescent="0.2">
      <c r="A35" s="1068" t="s">
        <v>2179</v>
      </c>
    </row>
    <row r="36" spans="1:1" s="259" customFormat="1" ht="11.25" x14ac:dyDescent="0.2">
      <c r="A36" s="1068" t="s">
        <v>2190</v>
      </c>
    </row>
    <row r="37" spans="1:1" s="259" customFormat="1" ht="11.25" x14ac:dyDescent="0.2">
      <c r="A37" s="1068"/>
    </row>
    <row r="38" spans="1:1" s="259" customFormat="1" ht="11.25" x14ac:dyDescent="0.2">
      <c r="A38" s="1938" t="s">
        <v>2191</v>
      </c>
    </row>
    <row r="39" spans="1:1" s="259" customFormat="1" ht="11.25" x14ac:dyDescent="0.2">
      <c r="A39" s="1068" t="s">
        <v>2192</v>
      </c>
    </row>
    <row r="40" spans="1:1" s="259" customFormat="1" ht="11.25" x14ac:dyDescent="0.2">
      <c r="A40" s="1068" t="s">
        <v>2212</v>
      </c>
    </row>
    <row r="41" spans="1:1" s="259" customFormat="1" ht="11.25" x14ac:dyDescent="0.2">
      <c r="A41" s="1068" t="s">
        <v>2193</v>
      </c>
    </row>
    <row r="42" spans="1:1" s="259" customFormat="1" ht="11.25" x14ac:dyDescent="0.2">
      <c r="A42" s="1068"/>
    </row>
    <row r="43" spans="1:1" s="259" customFormat="1" ht="11.25" x14ac:dyDescent="0.2">
      <c r="A43" s="1938" t="s">
        <v>341</v>
      </c>
    </row>
    <row r="44" spans="1:1" s="259" customFormat="1" ht="11.25" x14ac:dyDescent="0.2">
      <c r="A44" s="1068" t="s">
        <v>2179</v>
      </c>
    </row>
    <row r="45" spans="1:1" s="259" customFormat="1" ht="11.25" x14ac:dyDescent="0.2">
      <c r="A45" s="1068" t="s">
        <v>2194</v>
      </c>
    </row>
    <row r="46" spans="1:1" s="259" customFormat="1" ht="11.25" x14ac:dyDescent="0.2">
      <c r="A46" s="1068"/>
    </row>
    <row r="47" spans="1:1" s="259" customFormat="1" ht="11.25" x14ac:dyDescent="0.2">
      <c r="A47" s="1068" t="s">
        <v>2195</v>
      </c>
    </row>
    <row r="48" spans="1:1" s="259" customFormat="1" ht="11.25" x14ac:dyDescent="0.2">
      <c r="A48" s="1068" t="s">
        <v>2196</v>
      </c>
    </row>
    <row r="49" spans="1:1" s="259" customFormat="1" ht="11.25" x14ac:dyDescent="0.2">
      <c r="A49" s="1068"/>
    </row>
    <row r="50" spans="1:1" s="259" customFormat="1" ht="11.25" x14ac:dyDescent="0.2">
      <c r="A50" s="1938" t="s">
        <v>2199</v>
      </c>
    </row>
    <row r="51" spans="1:1" s="259" customFormat="1" ht="11.25" x14ac:dyDescent="0.2">
      <c r="A51" s="1068" t="s">
        <v>2185</v>
      </c>
    </row>
    <row r="52" spans="1:1" x14ac:dyDescent="0.2">
      <c r="A52" s="1068" t="s">
        <v>2213</v>
      </c>
    </row>
    <row r="53" spans="1:1" s="259" customFormat="1" ht="11.25" x14ac:dyDescent="0.2">
      <c r="A53" s="1068"/>
    </row>
    <row r="54" spans="1:1" s="259" customFormat="1" ht="11.25" x14ac:dyDescent="0.2">
      <c r="A54" s="1068" t="s">
        <v>2200</v>
      </c>
    </row>
    <row r="55" spans="1:1" s="259" customFormat="1" ht="11.25" x14ac:dyDescent="0.2">
      <c r="A55" s="1068" t="s">
        <v>2201</v>
      </c>
    </row>
    <row r="56" spans="1:1" s="259" customFormat="1" ht="11.25" x14ac:dyDescent="0.2">
      <c r="A56" s="1068"/>
    </row>
    <row r="57" spans="1:1" s="259" customFormat="1" ht="11.25" x14ac:dyDescent="0.2">
      <c r="A57" s="1938" t="s">
        <v>2202</v>
      </c>
    </row>
    <row r="58" spans="1:1" s="259" customFormat="1" ht="11.25" x14ac:dyDescent="0.2">
      <c r="A58" s="1068" t="s">
        <v>2203</v>
      </c>
    </row>
    <row r="59" spans="1:1" s="259" customFormat="1" ht="11.25" x14ac:dyDescent="0.2">
      <c r="A59" s="1068" t="s">
        <v>2214</v>
      </c>
    </row>
    <row r="60" spans="1:1" s="259" customFormat="1" ht="11.25" x14ac:dyDescent="0.2">
      <c r="A60" s="1068" t="s">
        <v>2204</v>
      </c>
    </row>
    <row r="61" spans="1:1" s="259" customFormat="1" ht="11.25" x14ac:dyDescent="0.2">
      <c r="A61" s="1068"/>
    </row>
    <row r="62" spans="1:1" s="259" customFormat="1" ht="11.25" x14ac:dyDescent="0.2">
      <c r="A62" s="1068" t="s">
        <v>2205</v>
      </c>
    </row>
    <row r="63" spans="1:1" s="259" customFormat="1" ht="11.25" x14ac:dyDescent="0.2">
      <c r="A63" s="1068" t="s">
        <v>2206</v>
      </c>
    </row>
    <row r="64" spans="1:1" s="259" customFormat="1" ht="11.25" x14ac:dyDescent="0.2">
      <c r="A64" s="1068"/>
    </row>
    <row r="65" spans="1:2" s="259" customFormat="1" ht="11.25" x14ac:dyDescent="0.2">
      <c r="A65" s="1068"/>
    </row>
    <row r="66" spans="1:2" s="259" customFormat="1" ht="11.25" x14ac:dyDescent="0.2">
      <c r="A66" s="1068"/>
    </row>
    <row r="67" spans="1:2" x14ac:dyDescent="0.2">
      <c r="A67" s="1069"/>
      <c r="B67" s="258"/>
    </row>
    <row r="68" spans="1:2" x14ac:dyDescent="0.2">
      <c r="B68" s="1070"/>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W46" sqref="W4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5" t="s">
        <v>1611</v>
      </c>
    </row>
    <row r="23" spans="1:5" x14ac:dyDescent="0.2">
      <c r="A23" s="168"/>
      <c r="B23" s="162" t="s">
        <v>1853</v>
      </c>
      <c r="D23" s="167" t="s">
        <v>637</v>
      </c>
      <c r="E23" s="1835"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4" sqref="B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1</xdr:col>
                <xdr:colOff>1409700</xdr:colOff>
                <xdr:row>3</xdr:row>
                <xdr:rowOff>38100</xdr:rowOff>
              </from>
              <to>
                <xdr:col>1</xdr:col>
                <xdr:colOff>2324100</xdr:colOff>
                <xdr:row>7</xdr:row>
                <xdr:rowOff>76200</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7" r:id="rId8">
          <objectPr defaultSize="0" r:id="rId9">
            <anchor moveWithCells="1">
              <from>
                <xdr:col>1</xdr:col>
                <xdr:colOff>2714625</xdr:colOff>
                <xdr:row>3</xdr:row>
                <xdr:rowOff>9525</xdr:rowOff>
              </from>
              <to>
                <xdr:col>1</xdr:col>
                <xdr:colOff>3629025</xdr:colOff>
                <xdr:row>7</xdr:row>
                <xdr:rowOff>47625</xdr:rowOff>
              </to>
            </anchor>
          </objectPr>
        </oleObject>
      </mc:Choice>
      <mc:Fallback>
        <oleObject progId="Acrobat Document" dvAspect="DVASPECT_ICON" shapeId="5222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1982</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1983</v>
      </c>
      <c r="B4" s="2356"/>
      <c r="C4" s="2356"/>
      <c r="D4" s="2356"/>
      <c r="E4" s="2356"/>
      <c r="F4" s="2357"/>
      <c r="G4" s="1074"/>
      <c r="H4" s="1074"/>
    </row>
    <row r="5" spans="1:8" ht="14.25" customHeight="1" x14ac:dyDescent="0.2">
      <c r="A5" s="2358" t="s">
        <v>1979</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14189746</v>
      </c>
      <c r="C8" s="1814">
        <f>'Acct Summary 7-8'!D8</f>
        <v>988730</v>
      </c>
      <c r="D8" s="1814">
        <f>'Acct Summary 7-8'!F8</f>
        <v>1280031</v>
      </c>
      <c r="E8" s="1814">
        <f>'Acct Summary 7-8'!I8</f>
        <v>90714</v>
      </c>
      <c r="F8" s="1814">
        <f>SUM(B8:E8)</f>
        <v>16549221</v>
      </c>
    </row>
    <row r="9" spans="1:8" s="1079" customFormat="1" ht="14.25" customHeight="1" thickBot="1" x14ac:dyDescent="0.25">
      <c r="A9" s="1078" t="s">
        <v>1369</v>
      </c>
      <c r="B9" s="1815">
        <f>'Acct Summary 7-8'!C17</f>
        <v>12264935</v>
      </c>
      <c r="C9" s="1815">
        <f>'Acct Summary 7-8'!D17</f>
        <v>902655</v>
      </c>
      <c r="D9" s="1815">
        <f>'Acct Summary 7-8'!F17</f>
        <v>1069166</v>
      </c>
      <c r="E9" s="1814"/>
      <c r="F9" s="1814">
        <f>SUM(B9:E9)</f>
        <v>14236756</v>
      </c>
    </row>
    <row r="10" spans="1:8" s="1079" customFormat="1" ht="14.25" thickTop="1" thickBot="1" x14ac:dyDescent="0.25">
      <c r="A10" s="1080" t="s">
        <v>1370</v>
      </c>
      <c r="B10" s="1816">
        <f>(B8-B9)</f>
        <v>1924811</v>
      </c>
      <c r="C10" s="1816">
        <f>(C8-C9)</f>
        <v>86075</v>
      </c>
      <c r="D10" s="1816">
        <f>(D8-D9)</f>
        <v>210865</v>
      </c>
      <c r="E10" s="1815">
        <f>(E8-E9)</f>
        <v>90714</v>
      </c>
      <c r="F10" s="1817">
        <f>SUM(F8-F9)</f>
        <v>2312465</v>
      </c>
    </row>
    <row r="11" spans="1:8" s="1079" customFormat="1" ht="14.25" thickTop="1" thickBot="1" x14ac:dyDescent="0.25">
      <c r="A11" s="1081" t="s">
        <v>1980</v>
      </c>
      <c r="B11" s="1818">
        <f>'Acct Summary 7-8'!C81</f>
        <v>7797759</v>
      </c>
      <c r="C11" s="1818">
        <f>'Acct Summary 7-8'!D81</f>
        <v>1155748</v>
      </c>
      <c r="D11" s="1818">
        <f>'Acct Summary 7-8'!F81</f>
        <v>1413544</v>
      </c>
      <c r="E11" s="1818">
        <f>'Acct Summary 7-8'!I81</f>
        <v>3528984</v>
      </c>
      <c r="F11" s="1819">
        <f>SUM(B11:E11)</f>
        <v>13896035</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B4" sqref="B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29'!D35&gt;0,"OK","PLEASE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33094238026</v>
      </c>
    </row>
    <row r="3" spans="1:2" x14ac:dyDescent="0.2">
      <c r="A3" t="s">
        <v>956</v>
      </c>
      <c r="B3" s="138" t="str">
        <f>COVER!A15</f>
        <v>Warren</v>
      </c>
    </row>
    <row r="4" spans="1:2" x14ac:dyDescent="0.2">
      <c r="A4" t="s">
        <v>1007</v>
      </c>
      <c r="B4" s="138" t="str">
        <f>COVER!A17</f>
        <v>Monmouth-Roseville CUSD 238</v>
      </c>
    </row>
    <row r="5" spans="1:2" x14ac:dyDescent="0.2">
      <c r="A5" t="s">
        <v>704</v>
      </c>
      <c r="B5" s="138" t="str">
        <f>COVER!A38</f>
        <v>Mr. Edward Fletcher</v>
      </c>
    </row>
    <row r="6" spans="1:2" x14ac:dyDescent="0.2">
      <c r="A6" t="s">
        <v>709</v>
      </c>
      <c r="B6" s="138">
        <f>COVER!P35</f>
        <v>0</v>
      </c>
    </row>
    <row r="7" spans="1:2" x14ac:dyDescent="0.2">
      <c r="A7" t="s">
        <v>705</v>
      </c>
      <c r="B7" s="138">
        <f>COVER!I38</f>
        <v>0</v>
      </c>
    </row>
    <row r="8" spans="1:2" x14ac:dyDescent="0.2">
      <c r="A8" t="s">
        <v>706</v>
      </c>
      <c r="B8" s="138" t="str">
        <f>COVER!T38</f>
        <v>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60.008476000000002</v>
      </c>
    </row>
    <row r="16" spans="1:2" x14ac:dyDescent="0.2">
      <c r="A16" t="s">
        <v>422</v>
      </c>
      <c r="B16" s="138" t="str">
        <f>COVER!T13</f>
        <v>Cavanaugh, Davies, Blackman &amp; Cramblet</v>
      </c>
    </row>
    <row r="17" spans="1:2" x14ac:dyDescent="0.2">
      <c r="A17" t="s">
        <v>884</v>
      </c>
      <c r="B17" s="138" t="str">
        <f>COVER!T15</f>
        <v>Rod Davies</v>
      </c>
    </row>
    <row r="18" spans="1:2" x14ac:dyDescent="0.2">
      <c r="A18" t="s">
        <v>1150</v>
      </c>
      <c r="B18" s="138" t="str">
        <f>COVER!T17</f>
        <v>1021 N. Main St., PO Box 318</v>
      </c>
    </row>
    <row r="19" spans="1:2" x14ac:dyDescent="0.2">
      <c r="A19" t="s">
        <v>886</v>
      </c>
      <c r="B19" s="138" t="str">
        <f>COVER!T25</f>
        <v>cdbccpas@monmouthcpa.com</v>
      </c>
    </row>
    <row r="20" spans="1:2" x14ac:dyDescent="0.2">
      <c r="A20" t="s">
        <v>887</v>
      </c>
      <c r="B20" s="138" t="str">
        <f>COVER!T19</f>
        <v>Monmouth</v>
      </c>
    </row>
    <row r="21" spans="1:2" x14ac:dyDescent="0.2">
      <c r="A21" t="s">
        <v>479</v>
      </c>
      <c r="B21" s="138" t="str">
        <f>COVER!X19</f>
        <v>IL</v>
      </c>
    </row>
    <row r="22" spans="1:2" x14ac:dyDescent="0.2">
      <c r="A22" t="s">
        <v>888</v>
      </c>
      <c r="B22" s="138">
        <f>COVER!Z19</f>
        <v>61462</v>
      </c>
    </row>
    <row r="23" spans="1:2" x14ac:dyDescent="0.2">
      <c r="A23" t="s">
        <v>1152</v>
      </c>
      <c r="B23" s="138" t="str">
        <f>COVER!T21</f>
        <v>309-734-2330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7797759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7797759</v>
      </c>
      <c r="D92" s="2" t="str">
        <f t="shared" si="0"/>
        <v>Error?</v>
      </c>
    </row>
    <row r="93" spans="1:4" x14ac:dyDescent="0.2">
      <c r="A93" s="5">
        <v>32</v>
      </c>
      <c r="B93" s="138">
        <f>'Assets-Liab 5-6'!C41</f>
        <v>7797759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1155748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1155748</v>
      </c>
      <c r="D123" s="2" t="str">
        <f t="shared" si="0"/>
        <v>Error?</v>
      </c>
    </row>
    <row r="124" spans="1:4" x14ac:dyDescent="0.2">
      <c r="A124" s="5">
        <v>63</v>
      </c>
      <c r="B124" s="138">
        <f>'Assets-Liab 5-6'!D41</f>
        <v>1155748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116601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125000</v>
      </c>
      <c r="C139" s="2" t="s">
        <v>573</v>
      </c>
      <c r="D139" s="2" t="str">
        <f t="shared" si="1"/>
        <v>Error?</v>
      </c>
    </row>
    <row r="140" spans="1:4" x14ac:dyDescent="0.2">
      <c r="A140" s="5">
        <v>79</v>
      </c>
      <c r="B140" s="138">
        <f>'Assets-Liab 5-6'!E39</f>
        <v>-8399</v>
      </c>
      <c r="D140" s="2" t="str">
        <f t="shared" si="1"/>
        <v>Error?</v>
      </c>
    </row>
    <row r="141" spans="1:4" x14ac:dyDescent="0.2">
      <c r="A141" s="5">
        <v>80</v>
      </c>
      <c r="B141" s="138">
        <f>'Assets-Liab 5-6'!E41</f>
        <v>116601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1413544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1413544</v>
      </c>
      <c r="D170" s="2" t="str">
        <f t="shared" si="1"/>
        <v>Error?</v>
      </c>
    </row>
    <row r="171" spans="1:4" x14ac:dyDescent="0.2">
      <c r="A171" s="5">
        <v>110</v>
      </c>
      <c r="B171" s="138">
        <f>'Assets-Liab 5-6'!F41</f>
        <v>1413544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538344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452049</v>
      </c>
      <c r="D189" s="2" t="str">
        <f t="shared" si="1"/>
        <v>Error?</v>
      </c>
    </row>
    <row r="190" spans="1:4" x14ac:dyDescent="0.2">
      <c r="A190" s="5">
        <v>129</v>
      </c>
      <c r="B190" s="138">
        <f>'Assets-Liab 5-6'!G41</f>
        <v>538344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719777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719777</v>
      </c>
      <c r="D212" s="2" t="str">
        <f t="shared" si="2"/>
        <v>Error?</v>
      </c>
    </row>
    <row r="213" spans="1:4" x14ac:dyDescent="0.2">
      <c r="A213" s="12">
        <v>152</v>
      </c>
      <c r="B213" s="138">
        <f>'Assets-Liab 5-6'!H41</f>
        <v>719777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468103</v>
      </c>
      <c r="D273" s="2" t="str">
        <f t="shared" si="3"/>
        <v>Error?</v>
      </c>
    </row>
    <row r="274" spans="1:4" x14ac:dyDescent="0.2">
      <c r="A274" s="5">
        <v>213</v>
      </c>
      <c r="B274" s="138">
        <f>'Assets-Liab 5-6'!M17</f>
        <v>21118764</v>
      </c>
      <c r="D274" s="2" t="str">
        <f t="shared" si="3"/>
        <v>Error?</v>
      </c>
    </row>
    <row r="275" spans="1:4" x14ac:dyDescent="0.2">
      <c r="A275" s="5">
        <v>214</v>
      </c>
      <c r="B275" s="138">
        <f>'Assets-Liab 5-6'!M18</f>
        <v>2559938</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24146805</v>
      </c>
      <c r="C279" s="2" t="s">
        <v>573</v>
      </c>
      <c r="D279" s="2" t="str">
        <f t="shared" si="3"/>
        <v>Error?</v>
      </c>
    </row>
    <row r="280" spans="1:4" x14ac:dyDescent="0.2">
      <c r="A280" s="5">
        <v>219</v>
      </c>
      <c r="B280" s="138">
        <f>'Assets-Liab 5-6'!M40</f>
        <v>24146805</v>
      </c>
      <c r="D280" s="2" t="str">
        <f t="shared" si="3"/>
        <v>Error?</v>
      </c>
    </row>
    <row r="281" spans="1:4" x14ac:dyDescent="0.2">
      <c r="A281" s="5">
        <v>220</v>
      </c>
      <c r="B281" s="138">
        <f>'Assets-Liab 5-6'!M41</f>
        <v>24146805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6203000</v>
      </c>
      <c r="D283" s="2" t="str">
        <f t="shared" si="3"/>
        <v>Error?</v>
      </c>
    </row>
    <row r="284" spans="1:4" x14ac:dyDescent="0.2">
      <c r="A284" s="5">
        <v>223</v>
      </c>
      <c r="B284" s="138">
        <f>'Assets-Liab 5-6'!N23</f>
        <v>6203000</v>
      </c>
      <c r="C284" s="2" t="s">
        <v>573</v>
      </c>
      <c r="D284" s="2" t="str">
        <f t="shared" si="3"/>
        <v>Error?</v>
      </c>
    </row>
    <row r="285" spans="1:4" x14ac:dyDescent="0.2">
      <c r="A285" s="5">
        <v>224</v>
      </c>
      <c r="B285" s="138">
        <f>'Assets-Liab 5-6'!N36</f>
        <v>6203000</v>
      </c>
      <c r="D285" s="2" t="str">
        <f t="shared" si="3"/>
        <v>Error?</v>
      </c>
    </row>
    <row r="286" spans="1:4" x14ac:dyDescent="0.2">
      <c r="A286" s="10">
        <v>225</v>
      </c>
      <c r="D286" s="2" t="str">
        <f t="shared" si="3"/>
        <v>OK</v>
      </c>
    </row>
    <row r="287" spans="1:4" x14ac:dyDescent="0.2">
      <c r="A287" s="5">
        <v>226</v>
      </c>
      <c r="B287" s="138">
        <f>'Assets-Liab 5-6'!N37</f>
        <v>6203000</v>
      </c>
      <c r="C287" s="2" t="s">
        <v>573</v>
      </c>
      <c r="D287" s="2" t="str">
        <f t="shared" si="3"/>
        <v>Error?</v>
      </c>
    </row>
    <row r="288" spans="1:4" x14ac:dyDescent="0.2">
      <c r="A288" s="5">
        <v>227</v>
      </c>
      <c r="B288" s="138">
        <f>'Assets-Liab 5-6'!N41</f>
        <v>6203000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207</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1978000</v>
      </c>
      <c r="D651" s="2" t="str">
        <f t="shared" si="9"/>
        <v>Error?</v>
      </c>
    </row>
    <row r="652" spans="1:4" x14ac:dyDescent="0.2">
      <c r="A652" s="5">
        <v>591</v>
      </c>
      <c r="B652" s="138">
        <f>'Acct Summary 7-8'!I34</f>
        <v>30080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4182463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436882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247838</v>
      </c>
      <c r="D717" s="2" t="str">
        <f t="shared" si="10"/>
        <v>Error?</v>
      </c>
    </row>
    <row r="718" spans="1:4" x14ac:dyDescent="0.2">
      <c r="A718" s="5">
        <v>657</v>
      </c>
      <c r="B718" s="138">
        <f>'Expenditures 15-22'!C14</f>
        <v>239484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6199564</v>
      </c>
      <c r="C720" s="2" t="s">
        <v>573</v>
      </c>
      <c r="D720" s="2" t="str">
        <f t="shared" si="10"/>
        <v>Error?</v>
      </c>
    </row>
    <row r="721" spans="1:4" x14ac:dyDescent="0.2">
      <c r="A721" s="5">
        <v>660</v>
      </c>
      <c r="B721" s="138">
        <f>'Expenditures 15-22'!C36</f>
        <v>62520</v>
      </c>
      <c r="D721" s="2" t="str">
        <f t="shared" si="10"/>
        <v>Error?</v>
      </c>
    </row>
    <row r="722" spans="1:4" x14ac:dyDescent="0.2">
      <c r="A722" s="5">
        <v>661</v>
      </c>
      <c r="B722" s="138">
        <f>'Expenditures 15-22'!C37</f>
        <v>308431</v>
      </c>
      <c r="D722" s="2" t="str">
        <f t="shared" si="10"/>
        <v>Error?</v>
      </c>
    </row>
    <row r="723" spans="1:4" x14ac:dyDescent="0.2">
      <c r="A723" s="5">
        <v>662</v>
      </c>
      <c r="B723" s="138">
        <f>'Expenditures 15-22'!C38</f>
        <v>30850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401801</v>
      </c>
      <c r="C727" s="2" t="s">
        <v>573</v>
      </c>
      <c r="D727" s="2" t="str">
        <f t="shared" si="10"/>
        <v>Error?</v>
      </c>
    </row>
    <row r="728" spans="1:4" x14ac:dyDescent="0.2">
      <c r="A728" s="5">
        <v>667</v>
      </c>
      <c r="B728" s="138">
        <f>'Expenditures 15-22'!C44</f>
        <v>17778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711</v>
      </c>
      <c r="D730" s="2" t="str">
        <f t="shared" si="10"/>
        <v>Error?</v>
      </c>
    </row>
    <row r="731" spans="1:4" x14ac:dyDescent="0.2">
      <c r="A731" s="5">
        <v>670</v>
      </c>
      <c r="B731" s="138">
        <f>'Expenditures 15-22'!C47</f>
        <v>18489</v>
      </c>
      <c r="C731" s="2" t="s">
        <v>573</v>
      </c>
      <c r="D731" s="2" t="str">
        <f t="shared" si="10"/>
        <v>Error?</v>
      </c>
    </row>
    <row r="732" spans="1:4" x14ac:dyDescent="0.2">
      <c r="A732" s="5">
        <v>671</v>
      </c>
      <c r="B732" s="138">
        <f>'Expenditures 15-22'!C49</f>
        <v>9472</v>
      </c>
      <c r="D732" s="2" t="str">
        <f t="shared" si="10"/>
        <v>Error?</v>
      </c>
    </row>
    <row r="733" spans="1:4" x14ac:dyDescent="0.2">
      <c r="A733" s="5">
        <v>672</v>
      </c>
      <c r="B733" s="138">
        <f>'Expenditures 15-22'!C50</f>
        <v>218074</v>
      </c>
      <c r="D733" s="2" t="str">
        <f t="shared" si="10"/>
        <v>Error?</v>
      </c>
    </row>
    <row r="734" spans="1:4" x14ac:dyDescent="0.2">
      <c r="A734" s="5">
        <v>673</v>
      </c>
      <c r="B734" s="138">
        <f>'Expenditures 15-22'!C53</f>
        <v>227546</v>
      </c>
      <c r="C734" s="2" t="s">
        <v>573</v>
      </c>
      <c r="D734" s="2" t="str">
        <f t="shared" si="10"/>
        <v>Error?</v>
      </c>
    </row>
    <row r="735" spans="1:4" x14ac:dyDescent="0.2">
      <c r="A735" s="5">
        <v>674</v>
      </c>
      <c r="B735" s="138">
        <f>'Expenditures 15-22'!C55</f>
        <v>909671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909671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79005</v>
      </c>
      <c r="D739" s="2" t="str">
        <f t="shared" si="10"/>
        <v>Error?</v>
      </c>
    </row>
    <row r="740" spans="1:4" x14ac:dyDescent="0.2">
      <c r="A740" s="5">
        <v>679</v>
      </c>
      <c r="B740" s="138">
        <f>'Expenditures 15-22'!C61</f>
        <v>289619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303778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672402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87399</v>
      </c>
      <c r="D754" s="2" t="str">
        <f t="shared" si="10"/>
        <v>Error?</v>
      </c>
    </row>
    <row r="755" spans="1:4" x14ac:dyDescent="0.2">
      <c r="A755" s="5">
        <v>694</v>
      </c>
      <c r="B755" s="138">
        <f>'Expenditures 15-22'!C74</f>
        <v>2317308</v>
      </c>
      <c r="C755" s="2" t="s">
        <v>573</v>
      </c>
      <c r="D755" s="2" t="str">
        <f t="shared" si="10"/>
        <v>Error?</v>
      </c>
    </row>
    <row r="756" spans="1:4" x14ac:dyDescent="0.2">
      <c r="A756" s="5">
        <v>695</v>
      </c>
      <c r="B756" s="138">
        <f>'Expenditures 15-22'!C75</f>
        <v>8952</v>
      </c>
      <c r="D756" s="2" t="str">
        <f t="shared" si="10"/>
        <v>Error?</v>
      </c>
    </row>
    <row r="757" spans="1:4" x14ac:dyDescent="0.2">
      <c r="A757" s="5">
        <v>696</v>
      </c>
      <c r="B757" s="138">
        <f>'Expenditures 15-22'!C114</f>
        <v>8525824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568239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71114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34262</v>
      </c>
      <c r="D775" s="2" t="str">
        <f t="shared" si="11"/>
        <v>Error?</v>
      </c>
    </row>
    <row r="776" spans="1:4" x14ac:dyDescent="0.2">
      <c r="A776" s="5">
        <v>715</v>
      </c>
      <c r="B776" s="138">
        <f>'Expenditures 15-22'!D14</f>
        <v>2558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816125</v>
      </c>
      <c r="C778" s="2" t="s">
        <v>573</v>
      </c>
      <c r="D778" s="2" t="str">
        <f t="shared" si="11"/>
        <v>Error?</v>
      </c>
    </row>
    <row r="779" spans="1:4" x14ac:dyDescent="0.2">
      <c r="A779" s="5">
        <v>718</v>
      </c>
      <c r="B779" s="138">
        <f>'Expenditures 15-22'!D36</f>
        <v>7638</v>
      </c>
      <c r="D779" s="2" t="str">
        <f t="shared" si="11"/>
        <v>Error?</v>
      </c>
    </row>
    <row r="780" spans="1:4" x14ac:dyDescent="0.2">
      <c r="A780" s="5">
        <v>719</v>
      </c>
      <c r="B780" s="138">
        <f>'Expenditures 15-22'!D37</f>
        <v>54875</v>
      </c>
      <c r="D780" s="2" t="str">
        <f t="shared" si="11"/>
        <v>Error?</v>
      </c>
    </row>
    <row r="781" spans="1:4" x14ac:dyDescent="0.2">
      <c r="A781" s="5">
        <v>720</v>
      </c>
      <c r="B781" s="138">
        <f>'Expenditures 15-22'!D38</f>
        <v>3415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65928</v>
      </c>
      <c r="C785" s="2" t="s">
        <v>573</v>
      </c>
      <c r="D785" s="2" t="str">
        <f t="shared" si="11"/>
        <v>Error?</v>
      </c>
    </row>
    <row r="786" spans="1:4" x14ac:dyDescent="0.2">
      <c r="A786" s="5">
        <v>725</v>
      </c>
      <c r="B786" s="138">
        <f>'Expenditures 15-22'!D44</f>
        <v>356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356</v>
      </c>
      <c r="C789" s="2" t="s">
        <v>573</v>
      </c>
      <c r="D789" s="2" t="str">
        <f t="shared" si="11"/>
        <v>Error?</v>
      </c>
    </row>
    <row r="790" spans="1:4" x14ac:dyDescent="0.2">
      <c r="A790" s="5">
        <v>729</v>
      </c>
      <c r="B790" s="138">
        <f>'Expenditures 15-22'!D49</f>
        <v>18367</v>
      </c>
      <c r="D790" s="2" t="str">
        <f t="shared" si="11"/>
        <v>Error?</v>
      </c>
    </row>
    <row r="791" spans="1:4" x14ac:dyDescent="0.2">
      <c r="A791" s="5">
        <v>730</v>
      </c>
      <c r="B791" s="138">
        <f>'Expenditures 15-22'!D50</f>
        <v>27058</v>
      </c>
      <c r="D791" s="2" t="str">
        <f t="shared" si="11"/>
        <v>Error?</v>
      </c>
    </row>
    <row r="792" spans="1:4" x14ac:dyDescent="0.2">
      <c r="A792" s="5">
        <v>731</v>
      </c>
      <c r="B792" s="138">
        <f>'Expenditures 15-22'!D53</f>
        <v>45425</v>
      </c>
      <c r="C792" s="2" t="s">
        <v>573</v>
      </c>
      <c r="D792" s="2" t="str">
        <f t="shared" si="11"/>
        <v>Error?</v>
      </c>
    </row>
    <row r="793" spans="1:4" x14ac:dyDescent="0.2">
      <c r="A793" s="5">
        <v>732</v>
      </c>
      <c r="B793" s="138">
        <f>'Expenditures 15-22'!D55</f>
        <v>94084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94084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7643</v>
      </c>
      <c r="D797" s="2" t="str">
        <f t="shared" si="11"/>
        <v>Error?</v>
      </c>
    </row>
    <row r="798" spans="1:4" x14ac:dyDescent="0.2">
      <c r="A798" s="5">
        <v>737</v>
      </c>
      <c r="B798" s="138">
        <f>'Expenditures 15-22'!D61</f>
        <v>39069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15814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62526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7643</v>
      </c>
      <c r="D812" s="2" t="str">
        <f t="shared" si="11"/>
        <v>Error?</v>
      </c>
    </row>
    <row r="813" spans="1:4" x14ac:dyDescent="0.2">
      <c r="A813" s="5">
        <v>752</v>
      </c>
      <c r="B813" s="138">
        <f>'Expenditures 15-22'!D74</f>
        <v>275962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1092087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92536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51199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207359</v>
      </c>
      <c r="C836" s="2" t="s">
        <v>573</v>
      </c>
      <c r="D836" s="2" t="str">
        <f t="shared" si="12"/>
        <v>Error?</v>
      </c>
    </row>
    <row r="837" spans="1:4" x14ac:dyDescent="0.2">
      <c r="A837" s="5">
        <v>776</v>
      </c>
      <c r="B837" s="138">
        <f>'Expenditures 15-22'!E36</f>
        <v>252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1075</v>
      </c>
      <c r="C843" s="2" t="s">
        <v>573</v>
      </c>
      <c r="D843" s="2" t="str">
        <f t="shared" si="12"/>
        <v>Error?</v>
      </c>
    </row>
    <row r="844" spans="1:4" x14ac:dyDescent="0.2">
      <c r="A844" s="5">
        <v>783</v>
      </c>
      <c r="B844" s="138">
        <f>'Expenditures 15-22'!E44</f>
        <v>110577</v>
      </c>
      <c r="D844" s="2" t="str">
        <f t="shared" si="12"/>
        <v>Error?</v>
      </c>
    </row>
    <row r="845" spans="1:4" x14ac:dyDescent="0.2">
      <c r="A845" s="5">
        <v>784</v>
      </c>
      <c r="B845" s="138">
        <f>'Expenditures 15-22'!E45</f>
        <v>58279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168856</v>
      </c>
      <c r="C847" s="2" t="s">
        <v>573</v>
      </c>
      <c r="D847" s="2" t="str">
        <f t="shared" si="12"/>
        <v>Error?</v>
      </c>
    </row>
    <row r="848" spans="1:4" x14ac:dyDescent="0.2">
      <c r="A848" s="5">
        <v>787</v>
      </c>
      <c r="B848" s="138">
        <f>'Expenditures 15-22'!E49</f>
        <v>41663</v>
      </c>
      <c r="D848" s="2" t="str">
        <f t="shared" si="12"/>
        <v>Error?</v>
      </c>
    </row>
    <row r="849" spans="1:4" x14ac:dyDescent="0.2">
      <c r="A849" s="5">
        <v>788</v>
      </c>
      <c r="B849" s="138">
        <f>'Expenditures 15-22'!E50</f>
        <v>10462</v>
      </c>
      <c r="D849" s="2" t="str">
        <f t="shared" si="12"/>
        <v>Error?</v>
      </c>
    </row>
    <row r="850" spans="1:4" x14ac:dyDescent="0.2">
      <c r="A850" s="5">
        <v>789</v>
      </c>
      <c r="B850" s="138">
        <f>'Expenditures 15-22'!E53</f>
        <v>52625</v>
      </c>
      <c r="C850" s="2" t="s">
        <v>573</v>
      </c>
      <c r="D850" s="2" t="str">
        <f t="shared" si="12"/>
        <v>Error?</v>
      </c>
    </row>
    <row r="851" spans="1:4" x14ac:dyDescent="0.2">
      <c r="A851" s="5">
        <v>790</v>
      </c>
      <c r="B851" s="138">
        <f>'Expenditures 15-22'!E55</f>
        <v>4422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4422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3547</v>
      </c>
      <c r="D855" s="2" t="str">
        <f t="shared" si="12"/>
        <v>Error?</v>
      </c>
    </row>
    <row r="856" spans="1:4" x14ac:dyDescent="0.2">
      <c r="A856" s="5">
        <v>795</v>
      </c>
      <c r="B856" s="138">
        <f>'Expenditures 15-22'!E61</f>
        <v>4052</v>
      </c>
      <c r="D856" s="2" t="str">
        <f t="shared" si="12"/>
        <v>Error?</v>
      </c>
    </row>
    <row r="857" spans="1:4" x14ac:dyDescent="0.2">
      <c r="A857" s="5">
        <v>796</v>
      </c>
      <c r="B857" s="138">
        <f>'Expenditures 15-22'!E62</f>
        <v>1860</v>
      </c>
      <c r="D857" s="2" t="str">
        <f t="shared" si="12"/>
        <v>Error?</v>
      </c>
    </row>
    <row r="858" spans="1:4" x14ac:dyDescent="0.2">
      <c r="A858" s="5">
        <v>797</v>
      </c>
      <c r="B858" s="138">
        <f>'Expenditures 15-22'!E63</f>
        <v>13817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23276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v>
      </c>
      <c r="C869" s="2" t="s">
        <v>573</v>
      </c>
      <c r="D869" s="2" t="str">
        <f t="shared" si="12"/>
        <v>Error?</v>
      </c>
    </row>
    <row r="870" spans="1:4" x14ac:dyDescent="0.2">
      <c r="A870" s="5">
        <v>809</v>
      </c>
      <c r="B870" s="138">
        <f>'Expenditures 15-22'!E73</f>
        <v>172</v>
      </c>
      <c r="D870" s="2" t="str">
        <f t="shared" si="12"/>
        <v>Error?</v>
      </c>
    </row>
    <row r="871" spans="1:4" x14ac:dyDescent="0.2">
      <c r="A871" s="5">
        <v>810</v>
      </c>
      <c r="B871" s="138">
        <f>'Expenditures 15-22'!E74</f>
        <v>251426</v>
      </c>
      <c r="C871" s="2" t="s">
        <v>573</v>
      </c>
      <c r="D871" s="2" t="str">
        <f t="shared" si="12"/>
        <v>Error?</v>
      </c>
    </row>
    <row r="872" spans="1:4" x14ac:dyDescent="0.2">
      <c r="A872" s="5">
        <v>811</v>
      </c>
      <c r="B872" s="138">
        <f>'Expenditures 15-22'!E75</f>
        <v>11986</v>
      </c>
      <c r="D872" s="2" t="str">
        <f t="shared" si="12"/>
        <v>Error?</v>
      </c>
    </row>
    <row r="873" spans="1:4" x14ac:dyDescent="0.2">
      <c r="A873" s="5">
        <v>812</v>
      </c>
      <c r="B873" s="138">
        <f>'Expenditures 15-22'!E114</f>
        <v>1259075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263828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12328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51030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441688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4300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4300</v>
      </c>
      <c r="C901" s="2" t="s">
        <v>573</v>
      </c>
      <c r="D901" s="2" t="str">
        <f t="shared" si="13"/>
        <v>Error?</v>
      </c>
    </row>
    <row r="902" spans="1:4" x14ac:dyDescent="0.2">
      <c r="A902" s="5">
        <v>841</v>
      </c>
      <c r="B902" s="138">
        <f>'Expenditures 15-22'!F44</f>
        <v>2294</v>
      </c>
      <c r="D902" s="2" t="str">
        <f t="shared" si="13"/>
        <v>Error?</v>
      </c>
    </row>
    <row r="903" spans="1:4" x14ac:dyDescent="0.2">
      <c r="A903" s="5">
        <v>842</v>
      </c>
      <c r="B903" s="138">
        <f>'Expenditures 15-22'!F45</f>
        <v>92438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94732</v>
      </c>
      <c r="C905" s="2" t="s">
        <v>573</v>
      </c>
      <c r="D905" s="2" t="str">
        <f t="shared" si="13"/>
        <v>Error?</v>
      </c>
    </row>
    <row r="906" spans="1:4" x14ac:dyDescent="0.2">
      <c r="A906" s="5">
        <v>845</v>
      </c>
      <c r="B906" s="138">
        <f>'Expenditures 15-22'!F49</f>
        <v>11311</v>
      </c>
      <c r="D906" s="2" t="str">
        <f t="shared" si="13"/>
        <v>Error?</v>
      </c>
    </row>
    <row r="907" spans="1:4" x14ac:dyDescent="0.2">
      <c r="A907" s="5">
        <v>846</v>
      </c>
      <c r="B907" s="138">
        <f>'Expenditures 15-22'!F50</f>
        <v>9338</v>
      </c>
      <c r="D907" s="2" t="str">
        <f t="shared" si="13"/>
        <v>Error?</v>
      </c>
    </row>
    <row r="908" spans="1:4" x14ac:dyDescent="0.2">
      <c r="A908" s="5">
        <v>847</v>
      </c>
      <c r="B908" s="138">
        <f>'Expenditures 15-22'!F53</f>
        <v>20749</v>
      </c>
      <c r="C908" s="2" t="s">
        <v>573</v>
      </c>
      <c r="D908" s="2" t="str">
        <f t="shared" si="13"/>
        <v>Error?</v>
      </c>
    </row>
    <row r="909" spans="1:4" x14ac:dyDescent="0.2">
      <c r="A909" s="5">
        <v>848</v>
      </c>
      <c r="B909" s="138">
        <f>'Expenditures 15-22'!F55</f>
        <v>33711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33711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1082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353328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354410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1869</v>
      </c>
      <c r="D928" s="2" t="str">
        <f t="shared" si="13"/>
        <v>Error?</v>
      </c>
    </row>
    <row r="929" spans="1:4" x14ac:dyDescent="0.2">
      <c r="A929" s="5">
        <v>868</v>
      </c>
      <c r="B929" s="138">
        <f>'Expenditures 15-22'!F74</f>
        <v>509771</v>
      </c>
      <c r="C929" s="2" t="s">
        <v>573</v>
      </c>
      <c r="D929" s="2" t="str">
        <f t="shared" si="13"/>
        <v>Error?</v>
      </c>
    </row>
    <row r="930" spans="1:4" x14ac:dyDescent="0.2">
      <c r="A930" s="5">
        <v>869</v>
      </c>
      <c r="B930" s="138">
        <f>'Expenditures 15-22'!F75</f>
        <v>7754</v>
      </c>
      <c r="D930" s="2" t="str">
        <f t="shared" si="13"/>
        <v>Error?</v>
      </c>
    </row>
    <row r="931" spans="1:4" x14ac:dyDescent="0.2">
      <c r="A931" s="5">
        <v>870</v>
      </c>
      <c r="B931" s="138">
        <f>'Expenditures 15-22'!F114</f>
        <v>959213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18769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71518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58635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58635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10124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20841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30965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89600</v>
      </c>
      <c r="C987" s="2" t="s">
        <v>573</v>
      </c>
      <c r="D987" s="2" t="str">
        <f t="shared" si="14"/>
        <v>Error?</v>
      </c>
    </row>
    <row r="988" spans="1:4" x14ac:dyDescent="0.2">
      <c r="A988" s="5">
        <v>927</v>
      </c>
      <c r="B988" s="138">
        <f>'Expenditures 15-22'!G75</f>
        <v>2500</v>
      </c>
      <c r="D988" s="2" t="str">
        <f t="shared" si="14"/>
        <v>Error?</v>
      </c>
    </row>
    <row r="989" spans="1:4" x14ac:dyDescent="0.2">
      <c r="A989" s="5">
        <v>928</v>
      </c>
      <c r="B989" s="138">
        <f>'Expenditures 15-22'!G114</f>
        <v>163618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2037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19948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220362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6542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6542</v>
      </c>
      <c r="C1021" s="2" t="s">
        <v>573</v>
      </c>
      <c r="D1021" s="2" t="str">
        <f t="shared" si="14"/>
        <v>Error?</v>
      </c>
    </row>
    <row r="1022" spans="1:4" x14ac:dyDescent="0.2">
      <c r="A1022" s="5">
        <v>961</v>
      </c>
      <c r="B1022" s="138">
        <f>'Expenditures 15-22'!H49</f>
        <v>7486</v>
      </c>
      <c r="D1022" s="2" t="str">
        <f t="shared" si="14"/>
        <v>Error?</v>
      </c>
    </row>
    <row r="1023" spans="1:4" x14ac:dyDescent="0.2">
      <c r="A1023" s="5">
        <v>962</v>
      </c>
      <c r="B1023" s="138">
        <f>'Expenditures 15-22'!H50</f>
        <v>3875</v>
      </c>
      <c r="D1023" s="2" t="str">
        <f t="shared" ref="D1023:D1086" si="15">IF(ISBLANK(B1023),"OK",IF(A1023-B1023=0,"OK","Error?"))</f>
        <v>Error?</v>
      </c>
    </row>
    <row r="1024" spans="1:4" x14ac:dyDescent="0.2">
      <c r="A1024" s="5">
        <v>963</v>
      </c>
      <c r="B1024" s="138">
        <f>'Expenditures 15-22'!H53</f>
        <v>11361</v>
      </c>
      <c r="C1024" s="2" t="s">
        <v>573</v>
      </c>
      <c r="D1024" s="2" t="str">
        <f t="shared" si="15"/>
        <v>Error?</v>
      </c>
    </row>
    <row r="1025" spans="1:4" x14ac:dyDescent="0.2">
      <c r="A1025" s="5">
        <v>964</v>
      </c>
      <c r="B1025" s="138">
        <f>'Expenditures 15-22'!H55</f>
        <v>984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984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666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19553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25203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265118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5127872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520324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282100</v>
      </c>
      <c r="C1105" s="2" t="s">
        <v>573</v>
      </c>
      <c r="D1105" s="2" t="str">
        <f t="shared" si="16"/>
        <v>Error?</v>
      </c>
    </row>
    <row r="1106" spans="1:4" x14ac:dyDescent="0.2">
      <c r="A1106" s="5">
        <v>1045</v>
      </c>
      <c r="B1106" s="138">
        <f>'Expenditures 15-22'!K14</f>
        <v>364219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7956616</v>
      </c>
      <c r="C1108" s="2" t="s">
        <v>573</v>
      </c>
      <c r="D1108" s="2" t="str">
        <f t="shared" si="16"/>
        <v>Error?</v>
      </c>
    </row>
    <row r="1109" spans="1:4" x14ac:dyDescent="0.2">
      <c r="A1109" s="5">
        <v>1048</v>
      </c>
      <c r="B1109" s="138">
        <f>'Expenditures 15-22'!K36</f>
        <v>70410</v>
      </c>
      <c r="C1109" s="2" t="s">
        <v>573</v>
      </c>
      <c r="D1109" s="2" t="str">
        <f t="shared" si="16"/>
        <v>Error?</v>
      </c>
    </row>
    <row r="1110" spans="1:4" x14ac:dyDescent="0.2">
      <c r="A1110" s="5">
        <v>1049</v>
      </c>
      <c r="B1110" s="138">
        <f>'Expenditures 15-22'!K37</f>
        <v>363306</v>
      </c>
      <c r="C1110" s="2" t="s">
        <v>573</v>
      </c>
      <c r="D1110" s="2" t="str">
        <f t="shared" si="16"/>
        <v>Error?</v>
      </c>
    </row>
    <row r="1111" spans="1:4" x14ac:dyDescent="0.2">
      <c r="A1111" s="5">
        <v>1050</v>
      </c>
      <c r="B1111" s="138">
        <f>'Expenditures 15-22'!K38</f>
        <v>39388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473104</v>
      </c>
      <c r="C1115" s="2" t="s">
        <v>573</v>
      </c>
      <c r="D1115" s="2" t="str">
        <f t="shared" si="16"/>
        <v>Error?</v>
      </c>
    </row>
    <row r="1116" spans="1:4" x14ac:dyDescent="0.2">
      <c r="A1116" s="5">
        <v>1055</v>
      </c>
      <c r="B1116" s="138">
        <f>'Expenditures 15-22'!K44</f>
        <v>137547</v>
      </c>
      <c r="C1116" s="2" t="s">
        <v>573</v>
      </c>
      <c r="D1116" s="2" t="str">
        <f t="shared" si="16"/>
        <v>Error?</v>
      </c>
    </row>
    <row r="1117" spans="1:4" x14ac:dyDescent="0.2">
      <c r="A1117" s="5">
        <v>1056</v>
      </c>
      <c r="B1117" s="138">
        <f>'Expenditures 15-22'!K45</f>
        <v>209352</v>
      </c>
      <c r="C1117" s="2" t="s">
        <v>573</v>
      </c>
      <c r="D1117" s="2" t="str">
        <f t="shared" si="16"/>
        <v>Error?</v>
      </c>
    </row>
    <row r="1118" spans="1:4" x14ac:dyDescent="0.2">
      <c r="A1118" s="5">
        <v>1057</v>
      </c>
      <c r="B1118" s="138">
        <f>'Expenditures 15-22'!K46</f>
        <v>711</v>
      </c>
      <c r="C1118" s="2" t="s">
        <v>573</v>
      </c>
      <c r="D1118" s="2" t="str">
        <f t="shared" si="16"/>
        <v>Error?</v>
      </c>
    </row>
    <row r="1119" spans="1:4" x14ac:dyDescent="0.2">
      <c r="A1119" s="5">
        <v>1058</v>
      </c>
      <c r="B1119" s="138">
        <f>'Expenditures 15-22'!K47</f>
        <v>347610</v>
      </c>
      <c r="C1119" s="2" t="s">
        <v>573</v>
      </c>
      <c r="D1119" s="2" t="str">
        <f t="shared" si="16"/>
        <v>Error?</v>
      </c>
    </row>
    <row r="1120" spans="1:4" x14ac:dyDescent="0.2">
      <c r="A1120" s="5">
        <v>1059</v>
      </c>
      <c r="B1120" s="138">
        <f>'Expenditures 15-22'!K49</f>
        <v>88299</v>
      </c>
      <c r="C1120" s="2" t="s">
        <v>573</v>
      </c>
      <c r="D1120" s="2" t="str">
        <f t="shared" si="16"/>
        <v>Error?</v>
      </c>
    </row>
    <row r="1121" spans="1:4" x14ac:dyDescent="0.2">
      <c r="A1121" s="5">
        <v>1060</v>
      </c>
      <c r="B1121" s="138">
        <f>'Expenditures 15-22'!K50</f>
        <v>268807</v>
      </c>
      <c r="C1121" s="2" t="s">
        <v>573</v>
      </c>
      <c r="D1121" s="2" t="str">
        <f t="shared" si="16"/>
        <v>Error?</v>
      </c>
    </row>
    <row r="1122" spans="1:4" x14ac:dyDescent="0.2">
      <c r="A1122" s="5">
        <v>1061</v>
      </c>
      <c r="B1122" s="138">
        <f>'Expenditures 15-22'!K53</f>
        <v>357706</v>
      </c>
      <c r="C1122" s="2" t="s">
        <v>573</v>
      </c>
      <c r="D1122" s="2" t="str">
        <f t="shared" si="16"/>
        <v>Error?</v>
      </c>
    </row>
    <row r="1123" spans="1:4" x14ac:dyDescent="0.2">
      <c r="A1123" s="5">
        <v>1062</v>
      </c>
      <c r="B1123" s="138">
        <f>'Expenditures 15-22'!K55</f>
        <v>1042872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1042872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91277</v>
      </c>
      <c r="C1127" s="2" t="s">
        <v>573</v>
      </c>
      <c r="D1127" s="2" t="str">
        <f t="shared" si="16"/>
        <v>Error?</v>
      </c>
    </row>
    <row r="1128" spans="1:4" x14ac:dyDescent="0.2">
      <c r="A1128" s="5">
        <v>1067</v>
      </c>
      <c r="B1128" s="138">
        <f>'Expenditures 15-22'!K61</f>
        <v>342864</v>
      </c>
      <c r="C1128" s="2" t="s">
        <v>573</v>
      </c>
      <c r="D1128" s="2" t="str">
        <f t="shared" si="16"/>
        <v>Error?</v>
      </c>
    </row>
    <row r="1129" spans="1:4" x14ac:dyDescent="0.2">
      <c r="A1129" s="5">
        <v>1068</v>
      </c>
      <c r="B1129" s="138">
        <f>'Expenditures 15-22'!K62</f>
        <v>1860</v>
      </c>
      <c r="C1129" s="2" t="s">
        <v>573</v>
      </c>
      <c r="D1129" s="2" t="str">
        <f t="shared" si="16"/>
        <v>Error?</v>
      </c>
    </row>
    <row r="1130" spans="1:4" x14ac:dyDescent="0.2">
      <c r="A1130" s="5">
        <v>1069</v>
      </c>
      <c r="B1130" s="138">
        <f>'Expenditures 15-22'!K63</f>
        <v>708244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1144245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1000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1000</v>
      </c>
      <c r="C1141" s="2" t="s">
        <v>573</v>
      </c>
      <c r="D1141" s="2" t="str">
        <f t="shared" si="16"/>
        <v>Error?</v>
      </c>
    </row>
    <row r="1142" spans="1:4" x14ac:dyDescent="0.2">
      <c r="A1142" s="5">
        <v>1081</v>
      </c>
      <c r="B1142" s="138">
        <f>'Expenditures 15-22'!K73</f>
        <v>97083</v>
      </c>
      <c r="C1142" s="2" t="s">
        <v>573</v>
      </c>
      <c r="D1142" s="2" t="str">
        <f t="shared" si="16"/>
        <v>Error?</v>
      </c>
    </row>
    <row r="1143" spans="1:4" x14ac:dyDescent="0.2">
      <c r="A1143" s="5">
        <v>1082</v>
      </c>
      <c r="B1143" s="138">
        <f>'Expenditures 15-22'!K74</f>
        <v>3463620</v>
      </c>
      <c r="C1143" s="2" t="s">
        <v>573</v>
      </c>
      <c r="D1143" s="2" t="str">
        <f t="shared" si="16"/>
        <v>Error?</v>
      </c>
    </row>
    <row r="1144" spans="1:4" x14ac:dyDescent="0.2">
      <c r="A1144" s="5">
        <v>1083</v>
      </c>
      <c r="B1144" s="138">
        <f>'Expenditures 15-22'!K75</f>
        <v>31192</v>
      </c>
      <c r="C1144" s="2" t="s">
        <v>573</v>
      </c>
      <c r="D1144" s="2" t="str">
        <f t="shared" si="16"/>
        <v>Error?</v>
      </c>
    </row>
    <row r="1145" spans="1:4" x14ac:dyDescent="0.2">
      <c r="A1145" s="5">
        <v>1084</v>
      </c>
      <c r="B1145" s="138">
        <f>'Expenditures 15-22'!K102</f>
        <v>813507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12264935</v>
      </c>
      <c r="C1152" s="2" t="s">
        <v>573</v>
      </c>
      <c r="D1152" s="2" t="str">
        <f t="shared" si="17"/>
        <v>Error?</v>
      </c>
    </row>
    <row r="1153" spans="1:4" x14ac:dyDescent="0.2">
      <c r="A1153" s="5">
        <v>1092</v>
      </c>
      <c r="B1153" s="138">
        <f>'Expenditures 15-22'!K115</f>
        <v>1924811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43519</v>
      </c>
      <c r="D1221" s="2" t="str">
        <f t="shared" si="18"/>
        <v>Error?</v>
      </c>
    </row>
    <row r="1222" spans="1:4" x14ac:dyDescent="0.2">
      <c r="A1222" s="10">
        <v>1161</v>
      </c>
      <c r="D1222" s="2" t="str">
        <f t="shared" si="18"/>
        <v>OK</v>
      </c>
    </row>
    <row r="1223" spans="1:4" x14ac:dyDescent="0.2">
      <c r="A1223" s="5">
        <v>1162</v>
      </c>
      <c r="B1223" s="138">
        <f>'Expenditures 15-22'!C127</f>
        <v>43519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43519</v>
      </c>
      <c r="C1225" s="2" t="s">
        <v>573</v>
      </c>
      <c r="D1225" s="2" t="str">
        <f t="shared" si="18"/>
        <v>Error?</v>
      </c>
    </row>
    <row r="1226" spans="1:4" x14ac:dyDescent="0.2">
      <c r="A1226" s="5">
        <v>1165</v>
      </c>
      <c r="B1226" s="138">
        <f>'Expenditures 15-22'!C151</f>
        <v>43519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6071</v>
      </c>
      <c r="D1229" s="2" t="str">
        <f t="shared" si="18"/>
        <v>Error?</v>
      </c>
    </row>
    <row r="1230" spans="1:4" x14ac:dyDescent="0.2">
      <c r="A1230" s="10">
        <v>1169</v>
      </c>
      <c r="D1230" s="2" t="str">
        <f t="shared" si="18"/>
        <v>OK</v>
      </c>
    </row>
    <row r="1231" spans="1:4" x14ac:dyDescent="0.2">
      <c r="A1231" s="5">
        <v>1170</v>
      </c>
      <c r="B1231" s="138">
        <f>'Expenditures 15-22'!D127</f>
        <v>6071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6071</v>
      </c>
      <c r="C1233" s="2" t="s">
        <v>573</v>
      </c>
      <c r="D1233" s="2" t="str">
        <f t="shared" si="18"/>
        <v>Error?</v>
      </c>
    </row>
    <row r="1234" spans="1:4" x14ac:dyDescent="0.2">
      <c r="A1234" s="5">
        <v>1173</v>
      </c>
      <c r="B1234" s="138">
        <f>'Expenditures 15-22'!D151</f>
        <v>6071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332179</v>
      </c>
      <c r="D1237" s="2" t="str">
        <f t="shared" si="18"/>
        <v>Error?</v>
      </c>
    </row>
    <row r="1238" spans="1:4" x14ac:dyDescent="0.2">
      <c r="A1238" s="10">
        <v>1177</v>
      </c>
      <c r="D1238" s="2" t="str">
        <f t="shared" si="18"/>
        <v>OK</v>
      </c>
    </row>
    <row r="1239" spans="1:4" x14ac:dyDescent="0.2">
      <c r="A1239" s="5">
        <v>1178</v>
      </c>
      <c r="B1239" s="138">
        <f>'Expenditures 15-22'!E127</f>
        <v>333731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333731</v>
      </c>
      <c r="C1241" s="2" t="s">
        <v>573</v>
      </c>
      <c r="D1241" s="2" t="str">
        <f t="shared" si="18"/>
        <v>Error?</v>
      </c>
    </row>
    <row r="1242" spans="1:4" x14ac:dyDescent="0.2">
      <c r="A1242" s="5">
        <v>1181</v>
      </c>
      <c r="B1242" s="138">
        <f>'Expenditures 15-22'!E151</f>
        <v>333731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403441</v>
      </c>
      <c r="D1245" s="2" t="str">
        <f t="shared" si="18"/>
        <v>Error?</v>
      </c>
    </row>
    <row r="1246" spans="1:4" x14ac:dyDescent="0.2">
      <c r="A1246" s="10">
        <v>1185</v>
      </c>
      <c r="D1246" s="2" t="str">
        <f t="shared" si="18"/>
        <v>OK</v>
      </c>
    </row>
    <row r="1247" spans="1:4" x14ac:dyDescent="0.2">
      <c r="A1247" s="5">
        <v>1186</v>
      </c>
      <c r="B1247" s="138">
        <f>'Expenditures 15-22'!F127</f>
        <v>403441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403441</v>
      </c>
      <c r="C1249" s="2" t="s">
        <v>573</v>
      </c>
      <c r="D1249" s="2" t="str">
        <f t="shared" si="18"/>
        <v>Error?</v>
      </c>
    </row>
    <row r="1250" spans="1:4" x14ac:dyDescent="0.2">
      <c r="A1250" s="5">
        <v>1189</v>
      </c>
      <c r="B1250" s="138">
        <f>'Expenditures 15-22'!F151</f>
        <v>403441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115443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115443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115443</v>
      </c>
      <c r="C1258" s="2" t="s">
        <v>573</v>
      </c>
      <c r="D1258" s="2" t="str">
        <f t="shared" si="18"/>
        <v>Error?</v>
      </c>
    </row>
    <row r="1259" spans="1:4" x14ac:dyDescent="0.2">
      <c r="A1259" s="5">
        <v>1198</v>
      </c>
      <c r="B1259" s="138">
        <f>'Expenditures 15-22'!G151</f>
        <v>115443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450</v>
      </c>
      <c r="D1262" s="2" t="str">
        <f t="shared" si="18"/>
        <v>Error?</v>
      </c>
    </row>
    <row r="1263" spans="1:4" x14ac:dyDescent="0.2">
      <c r="A1263" s="10">
        <v>1202</v>
      </c>
      <c r="D1263" s="2" t="str">
        <f t="shared" si="18"/>
        <v>OK</v>
      </c>
    </row>
    <row r="1264" spans="1:4" x14ac:dyDescent="0.2">
      <c r="A1264" s="5">
        <v>1203</v>
      </c>
      <c r="B1264" s="138">
        <f>'Expenditures 15-22'!H127</f>
        <v>450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450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901103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902655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902655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902655</v>
      </c>
      <c r="C1288" s="2" t="s">
        <v>573</v>
      </c>
      <c r="D1288" s="2" t="str">
        <f t="shared" si="19"/>
        <v>Error?</v>
      </c>
    </row>
    <row r="1289" spans="1:4" x14ac:dyDescent="0.2">
      <c r="A1289" s="5">
        <v>1228</v>
      </c>
      <c r="B1289" s="138">
        <f>'Expenditures 15-22'!K152</f>
        <v>86075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177982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781000</v>
      </c>
      <c r="D1315" s="2" t="str">
        <f t="shared" si="19"/>
        <v>Error?</v>
      </c>
    </row>
    <row r="1316" spans="1:4" x14ac:dyDescent="0.2">
      <c r="A1316" s="5">
        <v>1255</v>
      </c>
      <c r="B1316" s="138">
        <f>'Expenditures 15-22'!H171</f>
        <v>26311</v>
      </c>
      <c r="D1316" s="2" t="str">
        <f t="shared" si="19"/>
        <v>Error?</v>
      </c>
    </row>
    <row r="1317" spans="1:4" x14ac:dyDescent="0.2">
      <c r="A1317" s="5">
        <v>1256</v>
      </c>
      <c r="B1317" s="138">
        <f>'Expenditures 15-22'!H172</f>
        <v>985293</v>
      </c>
      <c r="C1317" s="2" t="s">
        <v>573</v>
      </c>
      <c r="D1317" s="2" t="str">
        <f t="shared" si="19"/>
        <v>Error?</v>
      </c>
    </row>
    <row r="1318" spans="1:4" x14ac:dyDescent="0.2">
      <c r="A1318" s="5">
        <v>1257</v>
      </c>
      <c r="B1318" s="138">
        <f>'Expenditures 15-22'!H174</f>
        <v>985293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177982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781000</v>
      </c>
      <c r="C1329" s="2" t="s">
        <v>573</v>
      </c>
      <c r="D1329" s="2" t="str">
        <f t="shared" si="19"/>
        <v>Error?</v>
      </c>
    </row>
    <row r="1330" spans="1:4" x14ac:dyDescent="0.2">
      <c r="A1330" s="5">
        <v>1269</v>
      </c>
      <c r="B1330" s="138">
        <f>'Expenditures 15-22'!K171</f>
        <v>26311</v>
      </c>
      <c r="C1330" s="2" t="s">
        <v>573</v>
      </c>
      <c r="D1330" s="2" t="str">
        <f t="shared" si="19"/>
        <v>Error?</v>
      </c>
    </row>
    <row r="1331" spans="1:4" x14ac:dyDescent="0.2">
      <c r="A1331" s="5">
        <v>1270</v>
      </c>
      <c r="B1331" s="138">
        <f>'Expenditures 15-22'!K172</f>
        <v>985293</v>
      </c>
      <c r="C1331" s="2" t="s">
        <v>573</v>
      </c>
      <c r="D1331" s="2" t="str">
        <f t="shared" si="19"/>
        <v>Error?</v>
      </c>
    </row>
    <row r="1332" spans="1:4" x14ac:dyDescent="0.2">
      <c r="A1332" s="5">
        <v>1271</v>
      </c>
      <c r="B1332" s="138">
        <f>'Expenditures 15-22'!K174</f>
        <v>985293</v>
      </c>
      <c r="C1332" s="2" t="s">
        <v>573</v>
      </c>
      <c r="D1332" s="2" t="str">
        <f t="shared" si="19"/>
        <v>Error?</v>
      </c>
    </row>
    <row r="1333" spans="1:4" x14ac:dyDescent="0.2">
      <c r="A1333" s="5">
        <v>1272</v>
      </c>
      <c r="B1333" s="138">
        <f>'Expenditures 15-22'!K175</f>
        <v>-82552</v>
      </c>
      <c r="C1333" s="2" t="s">
        <v>573</v>
      </c>
      <c r="D1333" s="2" t="str">
        <f t="shared" si="19"/>
        <v>Error?</v>
      </c>
    </row>
    <row r="1334" spans="1:4" x14ac:dyDescent="0.2">
      <c r="A1334" s="10">
        <v>1273</v>
      </c>
      <c r="D1334" s="2" t="str">
        <f t="shared" si="19"/>
        <v>OK</v>
      </c>
    </row>
    <row r="1335" spans="1:4" x14ac:dyDescent="0.2">
      <c r="A1335" s="5">
        <v>1274</v>
      </c>
      <c r="B1335" s="138">
        <f>'Expenditures 15-22'!C182</f>
        <v>460768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460768</v>
      </c>
      <c r="C1339" s="2" t="s">
        <v>573</v>
      </c>
      <c r="D1339" s="2" t="str">
        <f t="shared" si="19"/>
        <v>Error?</v>
      </c>
    </row>
    <row r="1340" spans="1:4" x14ac:dyDescent="0.2">
      <c r="A1340" s="5">
        <v>1279</v>
      </c>
      <c r="B1340" s="138">
        <f>'Expenditures 15-22'!C210</f>
        <v>460768</v>
      </c>
      <c r="C1340" s="2" t="s">
        <v>573</v>
      </c>
      <c r="D1340" s="2" t="str">
        <f t="shared" si="19"/>
        <v>Error?</v>
      </c>
    </row>
    <row r="1341" spans="1:4" x14ac:dyDescent="0.2">
      <c r="A1341" s="5">
        <v>1280</v>
      </c>
      <c r="B1341" s="138">
        <f>'Expenditures 15-22'!D182</f>
        <v>19731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19731</v>
      </c>
      <c r="C1345" s="2" t="s">
        <v>573</v>
      </c>
      <c r="D1345" s="2" t="str">
        <f t="shared" si="20"/>
        <v>Error?</v>
      </c>
    </row>
    <row r="1346" spans="1:4" x14ac:dyDescent="0.2">
      <c r="A1346" s="5">
        <v>1285</v>
      </c>
      <c r="B1346" s="138">
        <f>'Expenditures 15-22'!D210</f>
        <v>19731</v>
      </c>
      <c r="C1346" s="2" t="s">
        <v>573</v>
      </c>
      <c r="D1346" s="2" t="str">
        <f t="shared" si="20"/>
        <v>Error?</v>
      </c>
    </row>
    <row r="1347" spans="1:4" x14ac:dyDescent="0.2">
      <c r="A1347" s="5">
        <v>1286</v>
      </c>
      <c r="B1347" s="138">
        <f>'Expenditures 15-22'!E182</f>
        <v>365247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272</v>
      </c>
      <c r="D1350" s="2" t="str">
        <f t="shared" si="20"/>
        <v>Error?</v>
      </c>
    </row>
    <row r="1351" spans="1:4" x14ac:dyDescent="0.2">
      <c r="A1351" s="5">
        <v>1290</v>
      </c>
      <c r="B1351" s="138">
        <f>'Expenditures 15-22'!E184</f>
        <v>365519</v>
      </c>
      <c r="C1351" s="2" t="s">
        <v>573</v>
      </c>
      <c r="D1351" s="2" t="str">
        <f t="shared" si="20"/>
        <v>Error?</v>
      </c>
    </row>
    <row r="1352" spans="1:4" x14ac:dyDescent="0.2">
      <c r="A1352" s="5">
        <v>1291</v>
      </c>
      <c r="B1352" s="138">
        <f>'Expenditures 15-22'!E196</f>
        <v>85850</v>
      </c>
      <c r="C1352" s="2" t="s">
        <v>573</v>
      </c>
      <c r="D1352" s="2" t="str">
        <f t="shared" si="20"/>
        <v>Error?</v>
      </c>
    </row>
    <row r="1353" spans="1:4" x14ac:dyDescent="0.2">
      <c r="A1353" s="5">
        <v>1292</v>
      </c>
      <c r="B1353" s="138">
        <f>'Expenditures 15-22'!E210</f>
        <v>451369</v>
      </c>
      <c r="C1353" s="2" t="s">
        <v>573</v>
      </c>
      <c r="D1353" s="2" t="str">
        <f t="shared" si="20"/>
        <v>Error?</v>
      </c>
    </row>
    <row r="1354" spans="1:4" x14ac:dyDescent="0.2">
      <c r="A1354" s="5">
        <v>1293</v>
      </c>
      <c r="B1354" s="138">
        <f>'Expenditures 15-22'!F182</f>
        <v>137298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137298</v>
      </c>
      <c r="C1358" s="2" t="s">
        <v>573</v>
      </c>
      <c r="D1358" s="2" t="str">
        <f t="shared" si="20"/>
        <v>Error?</v>
      </c>
    </row>
    <row r="1359" spans="1:4" x14ac:dyDescent="0.2">
      <c r="A1359" s="5">
        <v>1298</v>
      </c>
      <c r="B1359" s="138">
        <f>'Expenditures 15-22'!F210</f>
        <v>137298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983044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272</v>
      </c>
      <c r="C1380" s="2" t="s">
        <v>573</v>
      </c>
      <c r="D1380" s="2" t="str">
        <f t="shared" si="20"/>
        <v>Error?</v>
      </c>
    </row>
    <row r="1381" spans="1:4" x14ac:dyDescent="0.2">
      <c r="A1381" s="5">
        <v>1320</v>
      </c>
      <c r="B1381" s="138">
        <f>'Expenditures 15-22'!K184</f>
        <v>983316</v>
      </c>
      <c r="C1381" s="2" t="s">
        <v>573</v>
      </c>
      <c r="D1381" s="2" t="str">
        <f t="shared" si="20"/>
        <v>Error?</v>
      </c>
    </row>
    <row r="1382" spans="1:4" x14ac:dyDescent="0.2">
      <c r="A1382" s="5">
        <v>1321</v>
      </c>
      <c r="B1382" s="138">
        <f>'Expenditures 15-22'!K196</f>
        <v>85850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1069166</v>
      </c>
      <c r="C1388" s="2" t="s">
        <v>573</v>
      </c>
      <c r="D1388" s="2" t="str">
        <f t="shared" si="20"/>
        <v>Error?</v>
      </c>
    </row>
    <row r="1389" spans="1:4" x14ac:dyDescent="0.2">
      <c r="A1389" s="5">
        <v>1328</v>
      </c>
      <c r="B1389" s="138">
        <f>'Expenditures 15-22'!K211</f>
        <v>210865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6765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3545</v>
      </c>
      <c r="D1407" s="2" t="str">
        <f t="shared" ref="D1407:D1470" si="21">IF(ISBLANK(B1407),"OK",IF(A1407-B1407=0,"OK","Error?"))</f>
        <v>Error?</v>
      </c>
    </row>
    <row r="1408" spans="1:4" x14ac:dyDescent="0.2">
      <c r="A1408" s="5">
        <v>1347</v>
      </c>
      <c r="B1408" s="138">
        <f>'Expenditures 15-22'!D223</f>
        <v>8360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183600</v>
      </c>
      <c r="C1410" s="2" t="s">
        <v>573</v>
      </c>
      <c r="D1410" s="2" t="str">
        <f t="shared" si="21"/>
        <v>Error?</v>
      </c>
    </row>
    <row r="1411" spans="1:4" x14ac:dyDescent="0.2">
      <c r="A1411" s="5">
        <v>1350</v>
      </c>
      <c r="B1411" s="138">
        <f>'Expenditures 15-22'!D232</f>
        <v>10222</v>
      </c>
      <c r="D1411" s="2" t="str">
        <f t="shared" si="21"/>
        <v>Error?</v>
      </c>
    </row>
    <row r="1412" spans="1:4" x14ac:dyDescent="0.2">
      <c r="A1412" s="5">
        <v>1351</v>
      </c>
      <c r="B1412" s="138">
        <f>'Expenditures 15-22'!D233</f>
        <v>4381</v>
      </c>
      <c r="D1412" s="2" t="str">
        <f t="shared" si="21"/>
        <v>Error?</v>
      </c>
    </row>
    <row r="1413" spans="1:4" x14ac:dyDescent="0.2">
      <c r="A1413" s="5">
        <v>1352</v>
      </c>
      <c r="B1413" s="138">
        <f>'Expenditures 15-22'!D234</f>
        <v>3174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17777</v>
      </c>
      <c r="C1417" s="2" t="s">
        <v>573</v>
      </c>
      <c r="D1417" s="2" t="str">
        <f t="shared" si="21"/>
        <v>Error?</v>
      </c>
    </row>
    <row r="1418" spans="1:4" x14ac:dyDescent="0.2">
      <c r="A1418" s="5">
        <v>1357</v>
      </c>
      <c r="B1418" s="138">
        <f>'Expenditures 15-22'!D240</f>
        <v>258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54</v>
      </c>
      <c r="D1420" s="2" t="str">
        <f t="shared" si="21"/>
        <v>Error?</v>
      </c>
    </row>
    <row r="1421" spans="1:4" x14ac:dyDescent="0.2">
      <c r="A1421" s="5">
        <v>1360</v>
      </c>
      <c r="B1421" s="138">
        <f>'Expenditures 15-22'!D243</f>
        <v>312</v>
      </c>
      <c r="C1421" s="2" t="s">
        <v>573</v>
      </c>
      <c r="D1421" s="2" t="str">
        <f t="shared" si="21"/>
        <v>Error?</v>
      </c>
    </row>
    <row r="1422" spans="1:4" x14ac:dyDescent="0.2">
      <c r="A1422" s="5">
        <v>1361</v>
      </c>
      <c r="B1422" s="138">
        <f>'Expenditures 15-22'!D245</f>
        <v>1300</v>
      </c>
      <c r="D1422" s="2" t="str">
        <f t="shared" si="21"/>
        <v>Error?</v>
      </c>
    </row>
    <row r="1423" spans="1:4" x14ac:dyDescent="0.2">
      <c r="A1423" s="5">
        <v>1362</v>
      </c>
      <c r="B1423" s="138">
        <f>'Expenditures 15-22'!D246</f>
        <v>11759</v>
      </c>
      <c r="D1423" s="2" t="str">
        <f t="shared" si="21"/>
        <v>Error?</v>
      </c>
    </row>
    <row r="1424" spans="1:4" x14ac:dyDescent="0.2">
      <c r="A1424" s="5">
        <v>1363</v>
      </c>
      <c r="B1424" s="138">
        <f>'Expenditures 15-22'!D257</f>
        <v>63688</v>
      </c>
      <c r="C1424" s="2" t="s">
        <v>573</v>
      </c>
      <c r="D1424" s="2" t="str">
        <f t="shared" si="21"/>
        <v>Error?</v>
      </c>
    </row>
    <row r="1425" spans="1:4" x14ac:dyDescent="0.2">
      <c r="A1425" s="5">
        <v>1364</v>
      </c>
      <c r="B1425" s="138">
        <f>'Expenditures 15-22'!D259</f>
        <v>45177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45177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12962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50787</v>
      </c>
      <c r="D1431" s="2" t="str">
        <f t="shared" si="21"/>
        <v>Error?</v>
      </c>
    </row>
    <row r="1432" spans="1:4" x14ac:dyDescent="0.2">
      <c r="A1432" s="5">
        <v>1371</v>
      </c>
      <c r="B1432" s="138">
        <f>'Expenditures 15-22'!D267</f>
        <v>62697</v>
      </c>
      <c r="D1432" s="2" t="str">
        <f t="shared" si="21"/>
        <v>Error?</v>
      </c>
    </row>
    <row r="1433" spans="1:4" x14ac:dyDescent="0.2">
      <c r="A1433" s="5">
        <v>1372</v>
      </c>
      <c r="B1433" s="138">
        <f>'Expenditures 15-22'!D268</f>
        <v>46035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172481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14343</v>
      </c>
      <c r="D1445" s="2" t="str">
        <f t="shared" si="21"/>
        <v>Error?</v>
      </c>
    </row>
    <row r="1446" spans="1:4" x14ac:dyDescent="0.2">
      <c r="A1446" s="5">
        <v>1385</v>
      </c>
      <c r="B1446" s="138">
        <f>'Expenditures 15-22'!D279</f>
        <v>313778</v>
      </c>
      <c r="C1446" s="2" t="s">
        <v>573</v>
      </c>
      <c r="D1446" s="2" t="str">
        <f t="shared" si="21"/>
        <v>Error?</v>
      </c>
    </row>
    <row r="1447" spans="1:4" x14ac:dyDescent="0.2">
      <c r="A1447" s="5">
        <v>1386</v>
      </c>
      <c r="B1447" s="138">
        <f>'Expenditures 15-22'!D280</f>
        <v>1073</v>
      </c>
      <c r="D1447" s="2" t="str">
        <f t="shared" si="21"/>
        <v>Error?</v>
      </c>
    </row>
    <row r="1448" spans="1:4" x14ac:dyDescent="0.2">
      <c r="A1448" s="5">
        <v>1387</v>
      </c>
      <c r="B1448" s="138">
        <f>'Expenditures 15-22'!D295</f>
        <v>498451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6765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3545</v>
      </c>
      <c r="C1471" s="2" t="s">
        <v>573</v>
      </c>
      <c r="D1471" s="2" t="str">
        <f t="shared" ref="D1471:D1534" si="22">IF(ISBLANK(B1471),"OK",IF(A1471-B1471=0,"OK","Error?"))</f>
        <v>Error?</v>
      </c>
    </row>
    <row r="1472" spans="1:4" x14ac:dyDescent="0.2">
      <c r="A1472" s="5">
        <v>1411</v>
      </c>
      <c r="B1472" s="138">
        <f>'Expenditures 15-22'!K223</f>
        <v>8360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183600</v>
      </c>
      <c r="C1474" s="2" t="s">
        <v>573</v>
      </c>
      <c r="D1474" s="2" t="str">
        <f t="shared" si="22"/>
        <v>Error?</v>
      </c>
    </row>
    <row r="1475" spans="1:4" x14ac:dyDescent="0.2">
      <c r="A1475" s="5">
        <v>1414</v>
      </c>
      <c r="B1475" s="138">
        <f>'Expenditures 15-22'!K232</f>
        <v>10222</v>
      </c>
      <c r="C1475" s="2" t="s">
        <v>573</v>
      </c>
      <c r="D1475" s="2" t="str">
        <f t="shared" si="22"/>
        <v>Error?</v>
      </c>
    </row>
    <row r="1476" spans="1:4" x14ac:dyDescent="0.2">
      <c r="A1476" s="5">
        <v>1415</v>
      </c>
      <c r="B1476" s="138">
        <f>'Expenditures 15-22'!K233</f>
        <v>4381</v>
      </c>
      <c r="C1476" s="2" t="s">
        <v>573</v>
      </c>
      <c r="D1476" s="2" t="str">
        <f t="shared" si="22"/>
        <v>Error?</v>
      </c>
    </row>
    <row r="1477" spans="1:4" x14ac:dyDescent="0.2">
      <c r="A1477" s="5">
        <v>1416</v>
      </c>
      <c r="B1477" s="138">
        <f>'Expenditures 15-22'!K234</f>
        <v>3174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17777</v>
      </c>
      <c r="C1481" s="2" t="s">
        <v>573</v>
      </c>
      <c r="D1481" s="2" t="str">
        <f t="shared" si="22"/>
        <v>Error?</v>
      </c>
    </row>
    <row r="1482" spans="1:4" x14ac:dyDescent="0.2">
      <c r="A1482" s="5">
        <v>1421</v>
      </c>
      <c r="B1482" s="138">
        <f>'Expenditures 15-22'!K240</f>
        <v>258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54</v>
      </c>
      <c r="C1484" s="2" t="s">
        <v>573</v>
      </c>
      <c r="D1484" s="2" t="str">
        <f t="shared" si="22"/>
        <v>Error?</v>
      </c>
    </row>
    <row r="1485" spans="1:4" x14ac:dyDescent="0.2">
      <c r="A1485" s="5">
        <v>1424</v>
      </c>
      <c r="B1485" s="138">
        <f>'Expenditures 15-22'!K243</f>
        <v>312</v>
      </c>
      <c r="C1485" s="2" t="s">
        <v>573</v>
      </c>
      <c r="D1485" s="2" t="str">
        <f t="shared" si="22"/>
        <v>Error?</v>
      </c>
    </row>
    <row r="1486" spans="1:4" x14ac:dyDescent="0.2">
      <c r="A1486" s="5">
        <v>1425</v>
      </c>
      <c r="B1486" s="138">
        <f>'Expenditures 15-22'!K245</f>
        <v>1300</v>
      </c>
      <c r="C1486" s="2" t="s">
        <v>573</v>
      </c>
      <c r="D1486" s="2" t="str">
        <f t="shared" si="22"/>
        <v>Error?</v>
      </c>
    </row>
    <row r="1487" spans="1:4" x14ac:dyDescent="0.2">
      <c r="A1487" s="5">
        <v>1426</v>
      </c>
      <c r="B1487" s="138">
        <f>'Expenditures 15-22'!K246</f>
        <v>11759</v>
      </c>
      <c r="C1487" s="2" t="s">
        <v>573</v>
      </c>
      <c r="D1487" s="2" t="str">
        <f t="shared" si="22"/>
        <v>Error?</v>
      </c>
    </row>
    <row r="1488" spans="1:4" x14ac:dyDescent="0.2">
      <c r="A1488" s="5">
        <v>1427</v>
      </c>
      <c r="B1488" s="138">
        <f>'Expenditures 15-22'!K257</f>
        <v>63688</v>
      </c>
      <c r="C1488" s="2" t="s">
        <v>573</v>
      </c>
      <c r="D1488" s="2" t="str">
        <f t="shared" si="22"/>
        <v>Error?</v>
      </c>
    </row>
    <row r="1489" spans="1:4" x14ac:dyDescent="0.2">
      <c r="A1489" s="5">
        <v>1428</v>
      </c>
      <c r="B1489" s="138">
        <f>'Expenditures 15-22'!K259</f>
        <v>45177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45177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12962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50787</v>
      </c>
      <c r="C1495" s="2" t="s">
        <v>573</v>
      </c>
      <c r="D1495" s="2" t="str">
        <f t="shared" si="22"/>
        <v>Error?</v>
      </c>
    </row>
    <row r="1496" spans="1:4" x14ac:dyDescent="0.2">
      <c r="A1496" s="5">
        <v>1435</v>
      </c>
      <c r="B1496" s="138">
        <f>'Expenditures 15-22'!K267</f>
        <v>62697</v>
      </c>
      <c r="C1496" s="2" t="s">
        <v>573</v>
      </c>
      <c r="D1496" s="2" t="str">
        <f t="shared" si="22"/>
        <v>Error?</v>
      </c>
    </row>
    <row r="1497" spans="1:4" x14ac:dyDescent="0.2">
      <c r="A1497" s="5">
        <v>1436</v>
      </c>
      <c r="B1497" s="138">
        <f>'Expenditures 15-22'!K268</f>
        <v>46035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172481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14343</v>
      </c>
      <c r="C1509" s="2" t="s">
        <v>573</v>
      </c>
      <c r="D1509" s="2" t="str">
        <f t="shared" si="22"/>
        <v>Error?</v>
      </c>
    </row>
    <row r="1510" spans="1:4" x14ac:dyDescent="0.2">
      <c r="A1510" s="5">
        <v>1449</v>
      </c>
      <c r="B1510" s="138">
        <f>'Expenditures 15-22'!K279</f>
        <v>313778</v>
      </c>
      <c r="C1510" s="2" t="s">
        <v>573</v>
      </c>
      <c r="D1510" s="2" t="str">
        <f t="shared" si="22"/>
        <v>Error?</v>
      </c>
    </row>
    <row r="1511" spans="1:4" x14ac:dyDescent="0.2">
      <c r="A1511" s="5">
        <v>1450</v>
      </c>
      <c r="B1511" s="138">
        <f>'Expenditures 15-22'!K280</f>
        <v>1073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498451</v>
      </c>
      <c r="C1517" s="2" t="s">
        <v>573</v>
      </c>
      <c r="D1517" s="2" t="str">
        <f t="shared" si="22"/>
        <v>Error?</v>
      </c>
    </row>
    <row r="1518" spans="1:4" x14ac:dyDescent="0.2">
      <c r="A1518" s="5">
        <v>1457</v>
      </c>
      <c r="B1518" s="138">
        <f>'Expenditures 15-22'!K296</f>
        <v>-206476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692156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692156</v>
      </c>
      <c r="C1547" s="2" t="s">
        <v>573</v>
      </c>
      <c r="D1547" s="2" t="str">
        <f t="shared" si="23"/>
        <v>Error?</v>
      </c>
    </row>
    <row r="1548" spans="1:4" x14ac:dyDescent="0.2">
      <c r="A1548" s="5">
        <v>1487</v>
      </c>
      <c r="B1548" s="138">
        <f>'Expenditures 15-22'!G312</f>
        <v>692156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692156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692156</v>
      </c>
      <c r="C1559" s="2" t="s">
        <v>573</v>
      </c>
      <c r="D1559" s="2" t="str">
        <f t="shared" si="23"/>
        <v>Error?</v>
      </c>
    </row>
    <row r="1560" spans="1:4" x14ac:dyDescent="0.2">
      <c r="A1560" s="5">
        <v>1499</v>
      </c>
      <c r="B1560" s="138">
        <f>'Expenditures 15-22'!K312</f>
        <v>692156</v>
      </c>
      <c r="C1560" s="2" t="s">
        <v>573</v>
      </c>
      <c r="D1560" s="2" t="str">
        <f t="shared" si="23"/>
        <v>Error?</v>
      </c>
    </row>
    <row r="1561" spans="1:4" x14ac:dyDescent="0.2">
      <c r="A1561" s="5">
        <v>1500</v>
      </c>
      <c r="B1561" s="138">
        <f>'Expenditures 15-22'!K313</f>
        <v>-61440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5928081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7797759</v>
      </c>
      <c r="C1630" s="2" t="s">
        <v>573</v>
      </c>
      <c r="D1630" s="2" t="str">
        <f t="shared" si="24"/>
        <v>Error?</v>
      </c>
    </row>
    <row r="1631" spans="1:4" x14ac:dyDescent="0.2">
      <c r="A1631" s="5">
        <v>1570</v>
      </c>
      <c r="B1631" s="138">
        <f>'Acct Summary 7-8'!D79</f>
        <v>1069673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1155748</v>
      </c>
      <c r="C1644" s="2" t="s">
        <v>573</v>
      </c>
      <c r="D1644" s="2" t="str">
        <f t="shared" si="24"/>
        <v>Error?</v>
      </c>
    </row>
    <row r="1645" spans="1:4" x14ac:dyDescent="0.2">
      <c r="A1645" s="5">
        <v>1584</v>
      </c>
      <c r="B1645" s="138">
        <f>'Acct Summary 7-8'!E79</f>
        <v>-6272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-8399</v>
      </c>
      <c r="C1658" s="2" t="s">
        <v>573</v>
      </c>
      <c r="D1658" s="2" t="str">
        <f t="shared" si="24"/>
        <v>Error?</v>
      </c>
    </row>
    <row r="1659" spans="1:4" x14ac:dyDescent="0.2">
      <c r="A1659" s="5">
        <v>1598</v>
      </c>
      <c r="B1659" s="138">
        <f>'Acct Summary 7-8'!F79</f>
        <v>1191095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1413544</v>
      </c>
      <c r="C1672" s="2" t="s">
        <v>573</v>
      </c>
      <c r="D1672" s="2" t="str">
        <f t="shared" si="25"/>
        <v>Error?</v>
      </c>
    </row>
    <row r="1673" spans="1:4" x14ac:dyDescent="0.2">
      <c r="A1673" s="5">
        <v>1612</v>
      </c>
      <c r="B1673" s="138">
        <f>'Acct Summary 7-8'!G79</f>
        <v>744820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538344</v>
      </c>
      <c r="C1686" s="2" t="s">
        <v>573</v>
      </c>
      <c r="D1686" s="2" t="str">
        <f t="shared" si="25"/>
        <v>Error?</v>
      </c>
    </row>
    <row r="1687" spans="1:4" x14ac:dyDescent="0.2">
      <c r="A1687" s="5">
        <v>1626</v>
      </c>
      <c r="B1687" s="138">
        <f>'Acct Summary 7-8'!H79</f>
        <v>147217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719777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2966642</v>
      </c>
      <c r="C1744" s="2" t="s">
        <v>573</v>
      </c>
      <c r="D1744" s="2" t="str">
        <f t="shared" si="26"/>
        <v>Error?</v>
      </c>
    </row>
    <row r="1745" spans="1:5" x14ac:dyDescent="0.2">
      <c r="A1745" s="5">
        <v>1684</v>
      </c>
      <c r="B1745" s="138">
        <f>'Tax Sched 23'!B5</f>
        <v>922955</v>
      </c>
      <c r="C1745" s="2" t="s">
        <v>573</v>
      </c>
      <c r="D1745" s="2" t="str">
        <f t="shared" si="26"/>
        <v>Error?</v>
      </c>
    </row>
    <row r="1746" spans="1:5" x14ac:dyDescent="0.2">
      <c r="A1746" s="5">
        <v>1685</v>
      </c>
      <c r="B1746" s="138">
        <f>'Tax Sched 23'!B6</f>
        <v>900527</v>
      </c>
      <c r="C1746" s="2" t="s">
        <v>573</v>
      </c>
      <c r="D1746" s="2" t="str">
        <f t="shared" si="26"/>
        <v>Error?</v>
      </c>
    </row>
    <row r="1747" spans="1:5" x14ac:dyDescent="0.2">
      <c r="A1747" s="5">
        <v>1686</v>
      </c>
      <c r="B1747" s="138">
        <f>'Tax Sched 23'!B7</f>
        <v>263701</v>
      </c>
      <c r="C1747" s="2" t="s">
        <v>573</v>
      </c>
      <c r="D1747" s="2" t="str">
        <f t="shared" si="26"/>
        <v>Error?</v>
      </c>
    </row>
    <row r="1748" spans="1:5" x14ac:dyDescent="0.2">
      <c r="A1748" s="5">
        <v>1687</v>
      </c>
      <c r="B1748" s="138">
        <f>'Tax Sched 23'!B8</f>
        <v>74720</v>
      </c>
      <c r="C1748" s="2" t="s">
        <v>573</v>
      </c>
      <c r="D1748" s="2" t="str">
        <f t="shared" si="26"/>
        <v>Error?</v>
      </c>
    </row>
    <row r="1749" spans="1:5" x14ac:dyDescent="0.2">
      <c r="A1749" s="5">
        <v>1688</v>
      </c>
      <c r="B1749" s="138">
        <f>'Tax Sched 23'!B10</f>
        <v>65925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722344</v>
      </c>
      <c r="C1752" s="2" t="s">
        <v>573</v>
      </c>
      <c r="D1752" s="2" t="str">
        <f t="shared" si="26"/>
        <v>Error?</v>
      </c>
    </row>
    <row r="1753" spans="1:5" x14ac:dyDescent="0.2">
      <c r="A1753" s="5">
        <v>1692</v>
      </c>
      <c r="B1753" s="138">
        <f>'Tax Sched 23'!B12</f>
        <v>65925</v>
      </c>
      <c r="C1753" s="2" t="s">
        <v>573</v>
      </c>
      <c r="D1753" s="2" t="str">
        <f t="shared" si="26"/>
        <v>Error?</v>
      </c>
    </row>
    <row r="1754" spans="1:5" x14ac:dyDescent="0.2">
      <c r="A1754" s="5">
        <v>1693</v>
      </c>
      <c r="B1754" s="138">
        <f>'Tax Sched 23'!B14</f>
        <v>52740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6250857</v>
      </c>
      <c r="C1759" s="2" t="s">
        <v>573</v>
      </c>
      <c r="D1759" s="2" t="str">
        <f t="shared" si="26"/>
        <v>Error?</v>
      </c>
    </row>
    <row r="1760" spans="1:5" x14ac:dyDescent="0.2">
      <c r="A1760" s="5">
        <v>1699</v>
      </c>
      <c r="B1760" s="138">
        <f>'Tax Sched 23'!D4</f>
        <v>2966642</v>
      </c>
      <c r="C1760" s="2" t="s">
        <v>573</v>
      </c>
      <c r="D1760" s="2" t="str">
        <f t="shared" si="26"/>
        <v>Error?</v>
      </c>
    </row>
    <row r="1761" spans="1:5" x14ac:dyDescent="0.2">
      <c r="A1761" s="5">
        <v>1700</v>
      </c>
      <c r="B1761" s="138">
        <f>'Tax Sched 23'!D5</f>
        <v>922955</v>
      </c>
      <c r="C1761" s="2" t="s">
        <v>573</v>
      </c>
      <c r="D1761" s="2" t="str">
        <f t="shared" si="26"/>
        <v>Error?</v>
      </c>
    </row>
    <row r="1762" spans="1:5" s="8" customFormat="1" x14ac:dyDescent="0.2">
      <c r="A1762" s="5">
        <v>1701</v>
      </c>
      <c r="B1762" s="138">
        <f>'Tax Sched 23'!D6</f>
        <v>900527</v>
      </c>
      <c r="C1762" s="2" t="s">
        <v>573</v>
      </c>
      <c r="D1762" s="2" t="str">
        <f t="shared" si="26"/>
        <v>Error?</v>
      </c>
      <c r="E1762" s="9"/>
    </row>
    <row r="1763" spans="1:5" x14ac:dyDescent="0.2">
      <c r="A1763" s="5">
        <v>1702</v>
      </c>
      <c r="B1763" s="138">
        <f>'Tax Sched 23'!D7</f>
        <v>263701</v>
      </c>
      <c r="C1763" s="2" t="s">
        <v>573</v>
      </c>
      <c r="D1763" s="2" t="str">
        <f t="shared" si="26"/>
        <v>Error?</v>
      </c>
    </row>
    <row r="1764" spans="1:5" x14ac:dyDescent="0.2">
      <c r="A1764" s="5">
        <v>1703</v>
      </c>
      <c r="B1764" s="138">
        <f>'Tax Sched 23'!D8</f>
        <v>74720</v>
      </c>
      <c r="C1764" s="2" t="s">
        <v>573</v>
      </c>
      <c r="D1764" s="2" t="str">
        <f t="shared" si="26"/>
        <v>Error?</v>
      </c>
    </row>
    <row r="1765" spans="1:5" x14ac:dyDescent="0.2">
      <c r="A1765" s="5">
        <v>1704</v>
      </c>
      <c r="B1765" s="138">
        <f>'Tax Sched 23'!D10</f>
        <v>65925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722344</v>
      </c>
      <c r="C1768" s="2" t="s">
        <v>573</v>
      </c>
      <c r="D1768" s="2" t="str">
        <f t="shared" si="26"/>
        <v>Error?</v>
      </c>
    </row>
    <row r="1769" spans="1:5" x14ac:dyDescent="0.2">
      <c r="A1769" s="5">
        <v>1708</v>
      </c>
      <c r="B1769" s="138">
        <f>'Tax Sched 23'!D12</f>
        <v>65925</v>
      </c>
      <c r="C1769" s="2" t="s">
        <v>573</v>
      </c>
      <c r="D1769" s="2" t="str">
        <f t="shared" si="26"/>
        <v>Error?</v>
      </c>
    </row>
    <row r="1770" spans="1:5" x14ac:dyDescent="0.2">
      <c r="A1770" s="5">
        <v>1709</v>
      </c>
      <c r="B1770" s="138">
        <f>'Tax Sched 23'!D14</f>
        <v>52740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6250857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3044419</v>
      </c>
      <c r="C1792" s="2" t="s">
        <v>573</v>
      </c>
      <c r="D1792" s="2" t="str">
        <f t="shared" si="27"/>
        <v>Error?</v>
      </c>
    </row>
    <row r="1793" spans="1:4" x14ac:dyDescent="0.2">
      <c r="A1793" s="5">
        <v>1732</v>
      </c>
      <c r="B1793" s="138">
        <f>'Tax Sched 23'!F5</f>
        <v>947153</v>
      </c>
      <c r="C1793" s="2" t="s">
        <v>573</v>
      </c>
      <c r="D1793" s="2" t="str">
        <f t="shared" si="27"/>
        <v>Error?</v>
      </c>
    </row>
    <row r="1794" spans="1:4" x14ac:dyDescent="0.2">
      <c r="A1794" s="5">
        <v>1733</v>
      </c>
      <c r="B1794" s="138">
        <f>'Tax Sched 23'!F6</f>
        <v>895127</v>
      </c>
      <c r="C1794" s="2" t="s">
        <v>573</v>
      </c>
      <c r="D1794" s="2" t="str">
        <f t="shared" si="27"/>
        <v>Error?</v>
      </c>
    </row>
    <row r="1795" spans="1:4" x14ac:dyDescent="0.2">
      <c r="A1795" s="5">
        <v>1734</v>
      </c>
      <c r="B1795" s="138">
        <f>'Tax Sched 23'!F7</f>
        <v>270615</v>
      </c>
      <c r="C1795" s="2" t="s">
        <v>573</v>
      </c>
      <c r="D1795" s="2" t="str">
        <f t="shared" si="27"/>
        <v>Error?</v>
      </c>
    </row>
    <row r="1796" spans="1:4" x14ac:dyDescent="0.2">
      <c r="A1796" s="5">
        <v>1735</v>
      </c>
      <c r="B1796" s="138">
        <f>'Tax Sched 23'!F8</f>
        <v>124997</v>
      </c>
      <c r="C1796" s="2" t="s">
        <v>573</v>
      </c>
      <c r="D1796" s="2" t="str">
        <f t="shared" si="27"/>
        <v>Error?</v>
      </c>
    </row>
    <row r="1797" spans="1:4" x14ac:dyDescent="0.2">
      <c r="A1797" s="5">
        <v>1736</v>
      </c>
      <c r="B1797" s="138">
        <f>'Tax Sched 23'!F10</f>
        <v>67654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599994</v>
      </c>
      <c r="C1800" s="2" t="s">
        <v>573</v>
      </c>
      <c r="D1800" s="2" t="str">
        <f t="shared" si="27"/>
        <v>Error?</v>
      </c>
    </row>
    <row r="1801" spans="1:4" x14ac:dyDescent="0.2">
      <c r="A1801" s="5">
        <v>1740</v>
      </c>
      <c r="B1801" s="138">
        <f>'Tax Sched 23'!F12</f>
        <v>67654</v>
      </c>
      <c r="C1801" s="2" t="s">
        <v>573</v>
      </c>
      <c r="D1801" s="2" t="str">
        <f t="shared" si="27"/>
        <v>Error?</v>
      </c>
    </row>
    <row r="1802" spans="1:4" x14ac:dyDescent="0.2">
      <c r="A1802" s="5">
        <v>1741</v>
      </c>
      <c r="B1802" s="138">
        <f>'Tax Sched 23'!F14</f>
        <v>54123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6439394</v>
      </c>
      <c r="C1807" s="2" t="s">
        <v>573</v>
      </c>
      <c r="D1807" s="2" t="str">
        <f t="shared" si="27"/>
        <v>Error?</v>
      </c>
    </row>
    <row r="1808" spans="1:4" x14ac:dyDescent="0.2">
      <c r="A1808" s="5">
        <v>1747</v>
      </c>
      <c r="B1808" s="138">
        <f>'Tax Sched 23'!E4</f>
        <v>3044419</v>
      </c>
      <c r="D1808" s="2" t="str">
        <f t="shared" si="27"/>
        <v>Error?</v>
      </c>
    </row>
    <row r="1809" spans="1:4" x14ac:dyDescent="0.2">
      <c r="A1809" s="5">
        <v>1748</v>
      </c>
      <c r="B1809" s="138">
        <f>'Tax Sched 23'!E5</f>
        <v>947153</v>
      </c>
      <c r="D1809" s="2" t="str">
        <f t="shared" si="27"/>
        <v>Error?</v>
      </c>
    </row>
    <row r="1810" spans="1:4" x14ac:dyDescent="0.2">
      <c r="A1810" s="5">
        <v>1749</v>
      </c>
      <c r="B1810" s="138">
        <f>'Tax Sched 23'!E6</f>
        <v>895127</v>
      </c>
      <c r="D1810" s="2" t="str">
        <f t="shared" si="27"/>
        <v>Error?</v>
      </c>
    </row>
    <row r="1811" spans="1:4" x14ac:dyDescent="0.2">
      <c r="A1811" s="5">
        <v>1750</v>
      </c>
      <c r="B1811" s="138">
        <f>'Tax Sched 23'!E7</f>
        <v>270615</v>
      </c>
      <c r="D1811" s="2" t="str">
        <f t="shared" si="27"/>
        <v>Error?</v>
      </c>
    </row>
    <row r="1812" spans="1:4" x14ac:dyDescent="0.2">
      <c r="A1812" s="5">
        <v>1751</v>
      </c>
      <c r="B1812" s="138">
        <f>'Tax Sched 23'!E8</f>
        <v>124997</v>
      </c>
      <c r="D1812" s="2" t="str">
        <f t="shared" si="27"/>
        <v>Error?</v>
      </c>
    </row>
    <row r="1813" spans="1:4" x14ac:dyDescent="0.2">
      <c r="A1813" s="5">
        <v>1752</v>
      </c>
      <c r="B1813" s="138">
        <f>'Tax Sched 23'!E10</f>
        <v>67654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599994</v>
      </c>
      <c r="D1816" s="2" t="str">
        <f t="shared" si="27"/>
        <v>Error?</v>
      </c>
    </row>
    <row r="1817" spans="1:4" x14ac:dyDescent="0.2">
      <c r="A1817" s="5">
        <v>1756</v>
      </c>
      <c r="B1817" s="138">
        <f>'Tax Sched 23'!E12</f>
        <v>67654</v>
      </c>
      <c r="D1817" s="2" t="str">
        <f t="shared" si="27"/>
        <v>Error?</v>
      </c>
    </row>
    <row r="1818" spans="1:4" x14ac:dyDescent="0.2">
      <c r="A1818" s="5">
        <v>1757</v>
      </c>
      <c r="B1818" s="138">
        <f>'Tax Sched 23'!E14</f>
        <v>54123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6439394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5006000</v>
      </c>
      <c r="C1939" s="2" t="s">
        <v>573</v>
      </c>
      <c r="D1939" s="2" t="str">
        <f t="shared" si="29"/>
        <v>Error?</v>
      </c>
    </row>
    <row r="1940" spans="1:5" x14ac:dyDescent="0.2">
      <c r="A1940" s="5">
        <v>1879</v>
      </c>
      <c r="B1940" s="138">
        <f>'Short-Term Long-Term Debt 24'!F49</f>
        <v>1978000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52740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52740</v>
      </c>
      <c r="D1980" s="2" t="str">
        <f t="shared" si="29"/>
        <v>Error?</v>
      </c>
    </row>
    <row r="1981" spans="1:5" x14ac:dyDescent="0.2">
      <c r="A1981" s="10">
        <v>1920</v>
      </c>
      <c r="D1981" s="2" t="str">
        <f t="shared" si="29"/>
        <v>OK</v>
      </c>
      <c r="E1981" s="2" t="s">
        <v>135</v>
      </c>
    </row>
    <row r="1982" spans="1:5" x14ac:dyDescent="0.2">
      <c r="A1982" s="5">
        <v>1921</v>
      </c>
      <c r="B1982" s="138">
        <f>'Rest Tax Levies-Tort Im 25'!H23</f>
        <v>52740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468103</v>
      </c>
      <c r="D2008" s="2" t="str">
        <f t="shared" si="30"/>
        <v>Error?</v>
      </c>
    </row>
    <row r="2009" spans="1:4" x14ac:dyDescent="0.2">
      <c r="A2009" s="5">
        <v>1948</v>
      </c>
      <c r="B2009" s="138">
        <f>'Cap Outlay Deprec 26'!C8</f>
        <v>7567245</v>
      </c>
      <c r="D2009" s="2" t="str">
        <f t="shared" si="30"/>
        <v>Error?</v>
      </c>
    </row>
    <row r="2010" spans="1:4" x14ac:dyDescent="0.2">
      <c r="A2010" s="5">
        <v>1949</v>
      </c>
      <c r="B2010" s="138">
        <f>'Cap Outlay Deprec 26'!C10</f>
        <v>11996630</v>
      </c>
      <c r="D2010" s="2" t="str">
        <f t="shared" si="30"/>
        <v>Error?</v>
      </c>
    </row>
    <row r="2011" spans="1:4" x14ac:dyDescent="0.2">
      <c r="A2011" s="5">
        <v>1950</v>
      </c>
      <c r="B2011" s="138">
        <f>'Cap Outlay Deprec 26'!C12</f>
        <v>2183212</v>
      </c>
      <c r="D2011" s="2" t="str">
        <f t="shared" si="30"/>
        <v>Error?</v>
      </c>
    </row>
    <row r="2012" spans="1:4" x14ac:dyDescent="0.2">
      <c r="A2012" s="5">
        <v>1951</v>
      </c>
      <c r="B2012" s="138">
        <f>'Cap Outlay Deprec 26'!C13</f>
        <v>162430</v>
      </c>
      <c r="D2012" s="2" t="str">
        <f t="shared" si="30"/>
        <v>Error?</v>
      </c>
    </row>
    <row r="2013" spans="1:4" x14ac:dyDescent="0.2">
      <c r="A2013" s="5">
        <v>1952</v>
      </c>
      <c r="B2013" s="138">
        <f>'Cap Outlay Deprec 26'!C16</f>
        <v>22377620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1554889</v>
      </c>
      <c r="D2016" s="2" t="str">
        <f t="shared" si="30"/>
        <v>Error?</v>
      </c>
    </row>
    <row r="2017" spans="1:4" x14ac:dyDescent="0.2">
      <c r="A2017" s="5">
        <v>1956</v>
      </c>
      <c r="B2017" s="138">
        <f>'Cap Outlay Deprec 26'!D12</f>
        <v>235453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1790342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21157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21157</v>
      </c>
      <c r="C2025" s="2" t="s">
        <v>573</v>
      </c>
      <c r="D2025" s="2" t="str">
        <f t="shared" si="30"/>
        <v>Error?</v>
      </c>
    </row>
    <row r="2026" spans="1:4" x14ac:dyDescent="0.2">
      <c r="A2026" s="5">
        <v>1965</v>
      </c>
      <c r="B2026" s="138">
        <f>'Cap Outlay Deprec 26'!F5</f>
        <v>468103</v>
      </c>
      <c r="C2026" s="2" t="s">
        <v>573</v>
      </c>
      <c r="D2026" s="2" t="str">
        <f t="shared" si="30"/>
        <v>Error?</v>
      </c>
    </row>
    <row r="2027" spans="1:4" x14ac:dyDescent="0.2">
      <c r="A2027" s="5">
        <v>1966</v>
      </c>
      <c r="B2027" s="138">
        <f>'Cap Outlay Deprec 26'!F8</f>
        <v>7567245</v>
      </c>
      <c r="C2027" s="2" t="s">
        <v>573</v>
      </c>
      <c r="D2027" s="2" t="str">
        <f t="shared" si="30"/>
        <v>Error?</v>
      </c>
    </row>
    <row r="2028" spans="1:4" x14ac:dyDescent="0.2">
      <c r="A2028" s="5">
        <v>1967</v>
      </c>
      <c r="B2028" s="138">
        <f>'Cap Outlay Deprec 26'!F10</f>
        <v>13551519</v>
      </c>
      <c r="C2028" s="2" t="s">
        <v>573</v>
      </c>
      <c r="D2028" s="2" t="str">
        <f t="shared" si="30"/>
        <v>Error?</v>
      </c>
    </row>
    <row r="2029" spans="1:4" x14ac:dyDescent="0.2">
      <c r="A2029" s="5">
        <v>1968</v>
      </c>
      <c r="B2029" s="138">
        <f>'Cap Outlay Deprec 26'!F12</f>
        <v>2397508</v>
      </c>
      <c r="C2029" s="2" t="s">
        <v>573</v>
      </c>
      <c r="D2029" s="2" t="str">
        <f t="shared" si="30"/>
        <v>Error?</v>
      </c>
    </row>
    <row r="2030" spans="1:4" x14ac:dyDescent="0.2">
      <c r="A2030" s="5">
        <v>1969</v>
      </c>
      <c r="B2030" s="138">
        <f>'Cap Outlay Deprec 26'!F13</f>
        <v>162430</v>
      </c>
      <c r="C2030" s="2" t="s">
        <v>573</v>
      </c>
      <c r="D2030" s="2" t="str">
        <f t="shared" si="30"/>
        <v>Error?</v>
      </c>
    </row>
    <row r="2031" spans="1:4" x14ac:dyDescent="0.2">
      <c r="A2031" s="5">
        <v>1970</v>
      </c>
      <c r="B2031" s="138">
        <f>'Cap Outlay Deprec 26'!F16</f>
        <v>24146805</v>
      </c>
      <c r="C2031" s="2" t="s">
        <v>573</v>
      </c>
      <c r="D2031" s="2" t="str">
        <f t="shared" si="30"/>
        <v>Error?</v>
      </c>
    </row>
    <row r="2032" spans="1:4" x14ac:dyDescent="0.2">
      <c r="A2032" s="10">
        <v>1971</v>
      </c>
      <c r="D2032" s="2" t="str">
        <f t="shared" si="30"/>
        <v>OK</v>
      </c>
    </row>
    <row r="2033" spans="1:4" x14ac:dyDescent="0.2">
      <c r="A2033" s="5">
        <v>1972</v>
      </c>
      <c r="B2033" s="138">
        <f>'Cap Outlay Deprec 26'!H8</f>
        <v>6151224</v>
      </c>
      <c r="D2033" s="2" t="str">
        <f t="shared" si="30"/>
        <v>Error?</v>
      </c>
    </row>
    <row r="2034" spans="1:4" x14ac:dyDescent="0.2">
      <c r="A2034" s="5">
        <v>1973</v>
      </c>
      <c r="B2034" s="138">
        <f>'Cap Outlay Deprec 26'!H10</f>
        <v>3409958</v>
      </c>
      <c r="D2034" s="2" t="str">
        <f t="shared" si="30"/>
        <v>Error?</v>
      </c>
    </row>
    <row r="2035" spans="1:4" x14ac:dyDescent="0.2">
      <c r="A2035" s="5">
        <v>1974</v>
      </c>
      <c r="B2035" s="138">
        <f>'Cap Outlay Deprec 26'!H12</f>
        <v>1313678</v>
      </c>
      <c r="D2035" s="2" t="str">
        <f t="shared" si="30"/>
        <v>Error?</v>
      </c>
    </row>
    <row r="2036" spans="1:4" x14ac:dyDescent="0.2">
      <c r="A2036" s="5">
        <v>1975</v>
      </c>
      <c r="B2036" s="138">
        <f>'Cap Outlay Deprec 26'!H13</f>
        <v>154753</v>
      </c>
      <c r="D2036" s="2" t="str">
        <f t="shared" si="30"/>
        <v>Error?</v>
      </c>
    </row>
    <row r="2037" spans="1:4" x14ac:dyDescent="0.2">
      <c r="A2037" s="5">
        <v>1976</v>
      </c>
      <c r="B2037" s="138">
        <f>'Cap Outlay Deprec 26'!H16</f>
        <v>11029613</v>
      </c>
      <c r="C2037" s="2" t="s">
        <v>573</v>
      </c>
      <c r="D2037" s="2" t="str">
        <f t="shared" si="30"/>
        <v>Error?</v>
      </c>
    </row>
    <row r="2038" spans="1:4" x14ac:dyDescent="0.2">
      <c r="A2038" s="10">
        <v>1977</v>
      </c>
      <c r="D2038" s="2" t="str">
        <f t="shared" si="30"/>
        <v>OK</v>
      </c>
    </row>
    <row r="2039" spans="1:4" x14ac:dyDescent="0.2">
      <c r="A2039" s="5">
        <v>1978</v>
      </c>
      <c r="B2039" s="138">
        <f>'Cap Outlay Deprec 26'!I8</f>
        <v>54508</v>
      </c>
      <c r="D2039" s="2" t="str">
        <f t="shared" si="30"/>
        <v>Error?</v>
      </c>
    </row>
    <row r="2040" spans="1:4" x14ac:dyDescent="0.2">
      <c r="A2040" s="5">
        <v>1979</v>
      </c>
      <c r="B2040" s="138">
        <f>'Cap Outlay Deprec 26'!I10</f>
        <v>672763</v>
      </c>
      <c r="D2040" s="2" t="str">
        <f t="shared" si="30"/>
        <v>Error?</v>
      </c>
    </row>
    <row r="2041" spans="1:4" x14ac:dyDescent="0.2">
      <c r="A2041" s="5">
        <v>1980</v>
      </c>
      <c r="B2041" s="138">
        <f>'Cap Outlay Deprec 26'!I12</f>
        <v>219586</v>
      </c>
      <c r="D2041" s="2" t="str">
        <f t="shared" si="30"/>
        <v>Error?</v>
      </c>
    </row>
    <row r="2042" spans="1:4" x14ac:dyDescent="0.2">
      <c r="A2042" s="5">
        <v>1981</v>
      </c>
      <c r="B2042" s="138">
        <f>'Cap Outlay Deprec 26'!I13</f>
        <v>5923</v>
      </c>
      <c r="D2042" s="2" t="str">
        <f t="shared" si="30"/>
        <v>Error?</v>
      </c>
    </row>
    <row r="2043" spans="1:4" x14ac:dyDescent="0.2">
      <c r="A2043" s="5">
        <v>1982</v>
      </c>
      <c r="B2043" s="138">
        <f>'Cap Outlay Deprec 26'!I16</f>
        <v>952780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21157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21157</v>
      </c>
      <c r="C2049" s="2" t="s">
        <v>573</v>
      </c>
      <c r="D2049" s="2" t="str">
        <f t="shared" si="31"/>
        <v>Error?</v>
      </c>
    </row>
    <row r="2050" spans="1:4" x14ac:dyDescent="0.2">
      <c r="A2050" s="10">
        <v>1989</v>
      </c>
      <c r="D2050" s="2" t="str">
        <f t="shared" si="31"/>
        <v>OK</v>
      </c>
    </row>
    <row r="2051" spans="1:4" x14ac:dyDescent="0.2">
      <c r="A2051" s="5">
        <v>1990</v>
      </c>
      <c r="B2051" s="138">
        <f>'Cap Outlay Deprec 26'!K8</f>
        <v>6205732</v>
      </c>
      <c r="C2051" s="2" t="s">
        <v>573</v>
      </c>
      <c r="D2051" s="2" t="str">
        <f t="shared" si="31"/>
        <v>Error?</v>
      </c>
    </row>
    <row r="2052" spans="1:4" x14ac:dyDescent="0.2">
      <c r="A2052" s="5">
        <v>1991</v>
      </c>
      <c r="B2052" s="138">
        <f>'Cap Outlay Deprec 26'!K10</f>
        <v>4082721</v>
      </c>
      <c r="C2052" s="2" t="s">
        <v>573</v>
      </c>
      <c r="D2052" s="2" t="str">
        <f t="shared" si="31"/>
        <v>Error?</v>
      </c>
    </row>
    <row r="2053" spans="1:4" x14ac:dyDescent="0.2">
      <c r="A2053" s="5">
        <v>1992</v>
      </c>
      <c r="B2053" s="138">
        <f>'Cap Outlay Deprec 26'!K12</f>
        <v>1512107</v>
      </c>
      <c r="C2053" s="2" t="s">
        <v>573</v>
      </c>
      <c r="D2053" s="2" t="str">
        <f t="shared" si="31"/>
        <v>Error?</v>
      </c>
    </row>
    <row r="2054" spans="1:4" x14ac:dyDescent="0.2">
      <c r="A2054" s="5">
        <v>1993</v>
      </c>
      <c r="B2054" s="138">
        <f>'Cap Outlay Deprec 26'!K13</f>
        <v>160676</v>
      </c>
      <c r="C2054" s="2" t="s">
        <v>573</v>
      </c>
      <c r="D2054" s="2" t="str">
        <f t="shared" si="31"/>
        <v>Error?</v>
      </c>
    </row>
    <row r="2055" spans="1:4" x14ac:dyDescent="0.2">
      <c r="A2055" s="5">
        <v>1994</v>
      </c>
      <c r="B2055" s="138">
        <f>'Cap Outlay Deprec 26'!K16</f>
        <v>11961236</v>
      </c>
      <c r="C2055" s="2" t="s">
        <v>573</v>
      </c>
      <c r="D2055" s="2" t="str">
        <f t="shared" si="31"/>
        <v>Error?</v>
      </c>
    </row>
    <row r="2056" spans="1:4" x14ac:dyDescent="0.2">
      <c r="A2056" s="5">
        <v>1995</v>
      </c>
      <c r="B2056" s="138">
        <f>'Cap Outlay Deprec 26'!L5</f>
        <v>468103</v>
      </c>
      <c r="C2056" s="2" t="s">
        <v>573</v>
      </c>
      <c r="D2056" s="2" t="str">
        <f t="shared" si="31"/>
        <v>Error?</v>
      </c>
    </row>
    <row r="2057" spans="1:4" x14ac:dyDescent="0.2">
      <c r="A2057" s="5">
        <v>1996</v>
      </c>
      <c r="B2057" s="138">
        <f>'Cap Outlay Deprec 26'!L8</f>
        <v>1361513</v>
      </c>
      <c r="C2057" s="2" t="s">
        <v>573</v>
      </c>
      <c r="D2057" s="2" t="str">
        <f t="shared" si="31"/>
        <v>Error?</v>
      </c>
    </row>
    <row r="2058" spans="1:4" x14ac:dyDescent="0.2">
      <c r="A2058" s="5">
        <v>1997</v>
      </c>
      <c r="B2058" s="138">
        <f>'Cap Outlay Deprec 26'!L10</f>
        <v>9468798</v>
      </c>
      <c r="C2058" s="2" t="s">
        <v>573</v>
      </c>
      <c r="D2058" s="2" t="str">
        <f t="shared" si="31"/>
        <v>Error?</v>
      </c>
    </row>
    <row r="2059" spans="1:4" x14ac:dyDescent="0.2">
      <c r="A2059" s="5">
        <v>1998</v>
      </c>
      <c r="B2059" s="138">
        <f>'Cap Outlay Deprec 26'!L12</f>
        <v>885401</v>
      </c>
      <c r="C2059" s="2" t="s">
        <v>573</v>
      </c>
      <c r="D2059" s="2" t="str">
        <f t="shared" si="31"/>
        <v>Error?</v>
      </c>
    </row>
    <row r="2060" spans="1:4" x14ac:dyDescent="0.2">
      <c r="A2060" s="5">
        <v>1999</v>
      </c>
      <c r="B2060" s="138">
        <f>'Cap Outlay Deprec 26'!L13</f>
        <v>1754</v>
      </c>
      <c r="C2060" s="2" t="s">
        <v>573</v>
      </c>
      <c r="D2060" s="2" t="str">
        <f t="shared" si="31"/>
        <v>Error?</v>
      </c>
    </row>
    <row r="2061" spans="1:4" x14ac:dyDescent="0.2">
      <c r="A2061" s="5">
        <v>2000</v>
      </c>
      <c r="B2061" s="138">
        <f>'Cap Outlay Deprec 26'!L16</f>
        <v>12185569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12605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800909</v>
      </c>
      <c r="C2088" s="2" t="s">
        <v>573</v>
      </c>
      <c r="D2088" s="2" t="str">
        <f t="shared" si="31"/>
        <v>Error?</v>
      </c>
    </row>
    <row r="2089" spans="1:4" x14ac:dyDescent="0.2">
      <c r="A2089" s="5">
        <v>2028</v>
      </c>
      <c r="B2089" s="138">
        <f>'Expenditures 15-22'!K92</f>
        <v>12598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659085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86295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3334872</v>
      </c>
      <c r="C2551" s="2" t="s">
        <v>573</v>
      </c>
      <c r="D2551" s="2" t="str">
        <f t="shared" si="38"/>
        <v>Error?</v>
      </c>
    </row>
    <row r="2552" spans="1:4" x14ac:dyDescent="0.2">
      <c r="A2552" s="10">
        <v>2491</v>
      </c>
      <c r="D2552" s="2" t="str">
        <f t="shared" si="38"/>
        <v>OK</v>
      </c>
    </row>
    <row r="2553" spans="1:4" x14ac:dyDescent="0.2">
      <c r="A2553" s="5">
        <v>2492</v>
      </c>
      <c r="B2553" s="138">
        <f>'Acct Summary 7-8'!C6</f>
        <v>9447064</v>
      </c>
      <c r="C2553" s="2" t="s">
        <v>573</v>
      </c>
      <c r="D2553" s="2" t="str">
        <f t="shared" si="38"/>
        <v>Error?</v>
      </c>
    </row>
    <row r="2554" spans="1:4" x14ac:dyDescent="0.2">
      <c r="A2554" s="5">
        <v>2493</v>
      </c>
      <c r="B2554" s="138">
        <f>'Acct Summary 7-8'!C7</f>
        <v>1407810</v>
      </c>
      <c r="C2554" s="2" t="s">
        <v>573</v>
      </c>
      <c r="D2554" s="2" t="str">
        <f t="shared" si="38"/>
        <v>Error?</v>
      </c>
    </row>
    <row r="2555" spans="1:4" x14ac:dyDescent="0.2">
      <c r="A2555" s="5">
        <v>2494</v>
      </c>
      <c r="B2555" s="138">
        <f>'Acct Summary 7-8'!C8</f>
        <v>14189746</v>
      </c>
      <c r="C2555" s="2" t="s">
        <v>573</v>
      </c>
      <c r="D2555" s="2" t="str">
        <f t="shared" si="38"/>
        <v>Error?</v>
      </c>
    </row>
    <row r="2556" spans="1:4" x14ac:dyDescent="0.2">
      <c r="A2556" s="5">
        <v>2495</v>
      </c>
      <c r="B2556" s="138">
        <f>'Acct Summary 7-8'!C12</f>
        <v>7956616</v>
      </c>
      <c r="C2556" s="2" t="s">
        <v>573</v>
      </c>
      <c r="D2556" s="2" t="str">
        <f t="shared" si="38"/>
        <v>Error?</v>
      </c>
    </row>
    <row r="2557" spans="1:4" x14ac:dyDescent="0.2">
      <c r="A2557" s="5">
        <v>2496</v>
      </c>
      <c r="B2557" s="138">
        <f>'Acct Summary 7-8'!C13</f>
        <v>3463620</v>
      </c>
      <c r="C2557" s="2" t="s">
        <v>573</v>
      </c>
      <c r="D2557" s="2" t="str">
        <f t="shared" si="38"/>
        <v>Error?</v>
      </c>
    </row>
    <row r="2558" spans="1:4" x14ac:dyDescent="0.2">
      <c r="A2558" s="5">
        <v>2497</v>
      </c>
      <c r="B2558" s="138">
        <f>'Acct Summary 7-8'!C14</f>
        <v>31192</v>
      </c>
      <c r="C2558" s="2" t="s">
        <v>573</v>
      </c>
      <c r="D2558" s="2" t="str">
        <f t="shared" si="38"/>
        <v>Error?</v>
      </c>
    </row>
    <row r="2559" spans="1:4" x14ac:dyDescent="0.2">
      <c r="A2559" s="5">
        <v>2498</v>
      </c>
      <c r="B2559" s="138">
        <f>'Acct Summary 7-8'!C15</f>
        <v>813507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12264935</v>
      </c>
      <c r="C2561" s="2" t="s">
        <v>573</v>
      </c>
      <c r="D2561" s="2" t="str">
        <f t="shared" si="39"/>
        <v>Error?</v>
      </c>
    </row>
    <row r="2562" spans="1:4" x14ac:dyDescent="0.2">
      <c r="A2562" s="5">
        <v>2501</v>
      </c>
      <c r="B2562" s="138">
        <f>'Acct Summary 7-8'!C20</f>
        <v>1924811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988730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988730</v>
      </c>
      <c r="C2568" s="2" t="s">
        <v>573</v>
      </c>
      <c r="D2568" s="2" t="str">
        <f t="shared" si="39"/>
        <v>Error?</v>
      </c>
    </row>
    <row r="2569" spans="1:4" x14ac:dyDescent="0.2">
      <c r="A2569" s="5">
        <v>2508</v>
      </c>
      <c r="B2569" s="138">
        <f>'Acct Summary 7-8'!D13</f>
        <v>902655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902655</v>
      </c>
      <c r="C2573" s="2" t="s">
        <v>573</v>
      </c>
      <c r="D2573" s="2" t="str">
        <f t="shared" si="39"/>
        <v>Error?</v>
      </c>
    </row>
    <row r="2574" spans="1:4" x14ac:dyDescent="0.2">
      <c r="A2574" s="5">
        <v>2513</v>
      </c>
      <c r="B2574" s="138">
        <f>'Acct Summary 7-8'!D20</f>
        <v>86075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544101</v>
      </c>
      <c r="C2591" s="2" t="s">
        <v>573</v>
      </c>
      <c r="D2591" s="2" t="str">
        <f t="shared" si="39"/>
        <v>Error?</v>
      </c>
    </row>
    <row r="2592" spans="1:4" x14ac:dyDescent="0.2">
      <c r="A2592" s="10">
        <v>2531</v>
      </c>
      <c r="D2592" s="2" t="str">
        <f t="shared" si="39"/>
        <v>OK</v>
      </c>
    </row>
    <row r="2593" spans="1:4" x14ac:dyDescent="0.2">
      <c r="A2593" s="5">
        <v>2532</v>
      </c>
      <c r="B2593" s="138">
        <f>'Acct Summary 7-8'!F6</f>
        <v>720564</v>
      </c>
      <c r="C2593" s="2" t="s">
        <v>573</v>
      </c>
      <c r="D2593" s="2" t="str">
        <f t="shared" si="39"/>
        <v>Error?</v>
      </c>
    </row>
    <row r="2594" spans="1:4" x14ac:dyDescent="0.2">
      <c r="A2594" s="5">
        <v>2533</v>
      </c>
      <c r="B2594" s="138">
        <f>'Acct Summary 7-8'!F7</f>
        <v>15366</v>
      </c>
      <c r="C2594" s="2" t="s">
        <v>573</v>
      </c>
      <c r="D2594" s="2" t="str">
        <f t="shared" si="39"/>
        <v>Error?</v>
      </c>
    </row>
    <row r="2595" spans="1:4" x14ac:dyDescent="0.2">
      <c r="A2595" s="5">
        <v>2534</v>
      </c>
      <c r="B2595" s="138">
        <f>'Acct Summary 7-8'!F8</f>
        <v>1280031</v>
      </c>
      <c r="C2595" s="2" t="s">
        <v>573</v>
      </c>
      <c r="D2595" s="2" t="str">
        <f t="shared" si="39"/>
        <v>Error?</v>
      </c>
    </row>
    <row r="2596" spans="1:4" x14ac:dyDescent="0.2">
      <c r="A2596" s="5">
        <v>2535</v>
      </c>
      <c r="B2596" s="138">
        <f>'Acct Summary 7-8'!F13</f>
        <v>983316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85850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1069166</v>
      </c>
      <c r="C2600" s="2" t="s">
        <v>573</v>
      </c>
      <c r="D2600" s="2" t="str">
        <f t="shared" si="39"/>
        <v>Error?</v>
      </c>
    </row>
    <row r="2601" spans="1:4" x14ac:dyDescent="0.2">
      <c r="A2601" s="5">
        <v>2540</v>
      </c>
      <c r="B2601" s="138">
        <f>'Acct Summary 7-8'!F20</f>
        <v>210865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249947</v>
      </c>
      <c r="C2603" s="2" t="s">
        <v>573</v>
      </c>
      <c r="D2603" s="2" t="str">
        <f t="shared" si="39"/>
        <v>Error?</v>
      </c>
    </row>
    <row r="2604" spans="1:4" x14ac:dyDescent="0.2">
      <c r="A2604" s="5">
        <v>2543</v>
      </c>
      <c r="B2604" s="138">
        <f>'Acct Summary 7-8'!G6</f>
        <v>30164</v>
      </c>
      <c r="C2604" s="2" t="s">
        <v>573</v>
      </c>
      <c r="D2604" s="2" t="str">
        <f t="shared" si="39"/>
        <v>Error?</v>
      </c>
    </row>
    <row r="2605" spans="1:4" x14ac:dyDescent="0.2">
      <c r="A2605" s="5">
        <v>2544</v>
      </c>
      <c r="B2605" s="138">
        <f>'Acct Summary 7-8'!G7</f>
        <v>11864</v>
      </c>
      <c r="C2605" s="2" t="s">
        <v>573</v>
      </c>
      <c r="D2605" s="2" t="str">
        <f t="shared" si="39"/>
        <v>Error?</v>
      </c>
    </row>
    <row r="2606" spans="1:4" x14ac:dyDescent="0.2">
      <c r="A2606" s="5">
        <v>2545</v>
      </c>
      <c r="B2606" s="138">
        <f>'Acct Summary 7-8'!G8</f>
        <v>291975</v>
      </c>
      <c r="C2606" s="2" t="s">
        <v>573</v>
      </c>
      <c r="D2606" s="2" t="str">
        <f t="shared" si="39"/>
        <v>Error?</v>
      </c>
    </row>
    <row r="2607" spans="1:4" x14ac:dyDescent="0.2">
      <c r="A2607" s="5">
        <v>2546</v>
      </c>
      <c r="B2607" s="138">
        <f>'Acct Summary 7-8'!G12</f>
        <v>183600</v>
      </c>
      <c r="C2607" s="2" t="s">
        <v>573</v>
      </c>
      <c r="D2607" s="2" t="str">
        <f t="shared" si="39"/>
        <v>Error?</v>
      </c>
    </row>
    <row r="2608" spans="1:4" x14ac:dyDescent="0.2">
      <c r="A2608" s="5">
        <v>2547</v>
      </c>
      <c r="B2608" s="138">
        <f>'Acct Summary 7-8'!G13</f>
        <v>313778</v>
      </c>
      <c r="C2608" s="2" t="s">
        <v>573</v>
      </c>
      <c r="D2608" s="2" t="str">
        <f t="shared" si="39"/>
        <v>Error?</v>
      </c>
    </row>
    <row r="2609" spans="1:4" x14ac:dyDescent="0.2">
      <c r="A2609" s="5">
        <v>2548</v>
      </c>
      <c r="B2609" s="138">
        <f>'Acct Summary 7-8'!G14</f>
        <v>1073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498451</v>
      </c>
      <c r="C2612" s="2" t="s">
        <v>573</v>
      </c>
      <c r="D2612" s="2" t="str">
        <f t="shared" si="39"/>
        <v>Error?</v>
      </c>
    </row>
    <row r="2613" spans="1:4" x14ac:dyDescent="0.2">
      <c r="A2613" s="5">
        <v>2552</v>
      </c>
      <c r="B2613" s="138">
        <f>'Acct Summary 7-8'!G20</f>
        <v>-206476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902741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902741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985293</v>
      </c>
      <c r="C2634" s="2" t="s">
        <v>573</v>
      </c>
      <c r="D2634" s="2" t="str">
        <f t="shared" si="40"/>
        <v>Error?</v>
      </c>
    </row>
    <row r="2635" spans="1:4" x14ac:dyDescent="0.2">
      <c r="A2635" s="5">
        <v>2574</v>
      </c>
      <c r="B2635" s="138">
        <f>'Acct Summary 7-8'!E17</f>
        <v>985293</v>
      </c>
      <c r="C2635" s="2" t="s">
        <v>573</v>
      </c>
      <c r="D2635" s="2" t="str">
        <f t="shared" si="40"/>
        <v>Error?</v>
      </c>
    </row>
    <row r="2636" spans="1:4" x14ac:dyDescent="0.2">
      <c r="A2636" s="5">
        <v>2575</v>
      </c>
      <c r="B2636" s="138">
        <f>'Acct Summary 7-8'!E20</f>
        <v>-82552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630716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630716</v>
      </c>
      <c r="C2658" s="2" t="s">
        <v>573</v>
      </c>
      <c r="D2658" s="2" t="str">
        <f t="shared" si="40"/>
        <v>Error?</v>
      </c>
    </row>
    <row r="2659" spans="1:4" x14ac:dyDescent="0.2">
      <c r="A2659" s="5">
        <v>2598</v>
      </c>
      <c r="B2659" s="138">
        <f>'Acct Summary 7-8'!H13</f>
        <v>692156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692156</v>
      </c>
      <c r="C2661" s="2" t="s">
        <v>573</v>
      </c>
      <c r="D2661" s="2" t="str">
        <f t="shared" si="40"/>
        <v>Error?</v>
      </c>
    </row>
    <row r="2662" spans="1:4" x14ac:dyDescent="0.2">
      <c r="A2662" s="5">
        <v>2601</v>
      </c>
      <c r="B2662" s="138">
        <f>'Acct Summary 7-8'!H20</f>
        <v>-61440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500</v>
      </c>
      <c r="D2720" s="2" t="str">
        <f t="shared" si="41"/>
        <v>Error?</v>
      </c>
    </row>
    <row r="2721" spans="1:4" x14ac:dyDescent="0.2">
      <c r="A2721" s="5">
        <v>2660</v>
      </c>
      <c r="B2721" s="138">
        <f>'Expenditures 15-22'!F51</f>
        <v>100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788304</v>
      </c>
      <c r="C2789" s="2" t="s">
        <v>573</v>
      </c>
      <c r="D2789" s="2" t="str">
        <f t="shared" si="42"/>
        <v>Error?</v>
      </c>
    </row>
    <row r="2790" spans="1:4" x14ac:dyDescent="0.2">
      <c r="A2790" s="5">
        <v>2729</v>
      </c>
      <c r="B2790" s="138">
        <f>'Expenditures 15-22'!E102</f>
        <v>788304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85850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85850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3528984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1428548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3528984</v>
      </c>
      <c r="D2912" s="2" t="str">
        <f t="shared" si="44"/>
        <v>Error?</v>
      </c>
    </row>
    <row r="2913" spans="1:4" x14ac:dyDescent="0.2">
      <c r="A2913" s="5">
        <v>2852</v>
      </c>
      <c r="B2913" s="138">
        <f>'Assets-Liab 5-6'!I41</f>
        <v>3528984</v>
      </c>
      <c r="C2913" s="2" t="s">
        <v>573</v>
      </c>
      <c r="D2913" s="2" t="str">
        <f t="shared" si="44"/>
        <v>Error?</v>
      </c>
    </row>
    <row r="2914" spans="1:4" x14ac:dyDescent="0.2">
      <c r="A2914" s="5">
        <v>2853</v>
      </c>
      <c r="B2914" s="138">
        <f>'Assets-Liab 5-6'!L33</f>
        <v>155049</v>
      </c>
      <c r="D2914" s="2" t="str">
        <f t="shared" si="44"/>
        <v>Error?</v>
      </c>
    </row>
    <row r="2915" spans="1:4" x14ac:dyDescent="0.2">
      <c r="A2915" s="10">
        <v>2854</v>
      </c>
      <c r="D2915" s="2" t="str">
        <f t="shared" si="44"/>
        <v>OK</v>
      </c>
    </row>
    <row r="2916" spans="1:4" x14ac:dyDescent="0.2">
      <c r="A2916" s="5">
        <v>2855</v>
      </c>
      <c r="B2916" s="138">
        <f>'Assets-Liab 5-6'!L34</f>
        <v>155049</v>
      </c>
      <c r="C2916" s="2" t="s">
        <v>573</v>
      </c>
      <c r="D2916" s="2" t="str">
        <f t="shared" si="44"/>
        <v>Error?</v>
      </c>
    </row>
    <row r="2917" spans="1:4" x14ac:dyDescent="0.2">
      <c r="A2917" s="5">
        <v>2856</v>
      </c>
      <c r="B2917" s="138">
        <f>'Assets-Liab 5-6'!L41</f>
        <v>1428548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16830</v>
      </c>
      <c r="D2949" s="2" t="str">
        <f t="shared" si="45"/>
        <v>Error?</v>
      </c>
    </row>
    <row r="2950" spans="1:4" x14ac:dyDescent="0.2">
      <c r="A2950" s="5">
        <v>2889</v>
      </c>
      <c r="B2950" s="138">
        <f>'Expenditures 15-22'!E79</f>
        <v>723917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47557</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5000</v>
      </c>
      <c r="D2955" s="2" t="str">
        <f t="shared" si="45"/>
        <v>Error?</v>
      </c>
    </row>
    <row r="2956" spans="1:4" x14ac:dyDescent="0.2">
      <c r="A2956" s="5">
        <v>2895</v>
      </c>
      <c r="B2956" s="138">
        <f>'Expenditures 15-22'!H79</f>
        <v>2250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5355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21830</v>
      </c>
      <c r="C2973" s="2" t="s">
        <v>573</v>
      </c>
      <c r="D2973" s="2" t="str">
        <f t="shared" si="45"/>
        <v>Error?</v>
      </c>
    </row>
    <row r="2974" spans="1:4" x14ac:dyDescent="0.2">
      <c r="A2974" s="5">
        <v>2913</v>
      </c>
      <c r="B2974" s="138">
        <f>'Expenditures 15-22'!K79</f>
        <v>726167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47557</v>
      </c>
      <c r="C2977" s="2" t="s">
        <v>573</v>
      </c>
      <c r="D2977" s="2" t="str">
        <f t="shared" si="45"/>
        <v>Error?</v>
      </c>
    </row>
    <row r="2978" spans="1:4" x14ac:dyDescent="0.2">
      <c r="A2978" s="5">
        <v>2917</v>
      </c>
      <c r="B2978" s="138">
        <f>'Expenditures 15-22'!K83</f>
        <v>5355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85850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85850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209779</v>
      </c>
      <c r="D3055" s="2" t="str">
        <f t="shared" si="46"/>
        <v>Error?</v>
      </c>
    </row>
    <row r="3056" spans="1:4" x14ac:dyDescent="0.2">
      <c r="A3056" s="5">
        <v>2995</v>
      </c>
      <c r="B3056" s="138">
        <f>'Expenditures 15-22'!D10</f>
        <v>53726</v>
      </c>
      <c r="D3056" s="2" t="str">
        <f t="shared" si="46"/>
        <v>Error?</v>
      </c>
    </row>
    <row r="3057" spans="1:4" x14ac:dyDescent="0.2">
      <c r="A3057" s="5">
        <v>2996</v>
      </c>
      <c r="B3057" s="138">
        <f>'Expenditures 15-22'!E10</f>
        <v>55590</v>
      </c>
      <c r="D3057" s="2" t="str">
        <f t="shared" si="46"/>
        <v>Error?</v>
      </c>
    </row>
    <row r="3058" spans="1:4" x14ac:dyDescent="0.2">
      <c r="A3058" s="5">
        <v>2997</v>
      </c>
      <c r="B3058" s="138">
        <f>'Expenditures 15-22'!F10</f>
        <v>54687</v>
      </c>
      <c r="D3058" s="2" t="str">
        <f t="shared" si="46"/>
        <v>Error?</v>
      </c>
    </row>
    <row r="3059" spans="1:4" x14ac:dyDescent="0.2">
      <c r="A3059" s="5">
        <v>2998</v>
      </c>
      <c r="B3059" s="138">
        <f>'Expenditures 15-22'!G10</f>
        <v>18012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391794</v>
      </c>
      <c r="C3062" s="2" t="s">
        <v>573</v>
      </c>
      <c r="D3062" s="2" t="str">
        <f t="shared" si="46"/>
        <v>Error?</v>
      </c>
    </row>
    <row r="3063" spans="1:4" x14ac:dyDescent="0.2">
      <c r="A3063" s="10">
        <v>3002</v>
      </c>
      <c r="D3063" s="2" t="str">
        <f t="shared" si="46"/>
        <v>OK</v>
      </c>
    </row>
    <row r="3064" spans="1:4" x14ac:dyDescent="0.2">
      <c r="A3064" s="5">
        <v>3003</v>
      </c>
      <c r="B3064" s="138">
        <f>'Expenditures 15-22'!D219</f>
        <v>3059</v>
      </c>
      <c r="D3064" s="2" t="str">
        <f t="shared" si="46"/>
        <v>Error?</v>
      </c>
    </row>
    <row r="3065" spans="1:4" x14ac:dyDescent="0.2">
      <c r="A3065" s="5">
        <v>3004</v>
      </c>
      <c r="B3065" s="138">
        <f>'Expenditures 15-22'!K219</f>
        <v>3059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1273499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90714</v>
      </c>
      <c r="C3225" s="2" t="s">
        <v>573</v>
      </c>
      <c r="D3225" s="2" t="str">
        <f t="shared" si="49"/>
        <v>Error?</v>
      </c>
    </row>
    <row r="3226" spans="1:4" x14ac:dyDescent="0.2">
      <c r="A3226" s="5">
        <v>3165</v>
      </c>
      <c r="B3226" s="138">
        <f>'Acct Summary 7-8'!I8</f>
        <v>90714</v>
      </c>
      <c r="C3226" s="2" t="s">
        <v>573</v>
      </c>
      <c r="D3226" s="2" t="str">
        <f t="shared" si="49"/>
        <v>Error?</v>
      </c>
    </row>
    <row r="3227" spans="1:4" x14ac:dyDescent="0.2">
      <c r="A3227" s="5">
        <v>3166</v>
      </c>
      <c r="B3227" s="138">
        <f>'Acct Summary 7-8'!I20</f>
        <v>90714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55133</v>
      </c>
      <c r="C3231" s="2" t="s">
        <v>573</v>
      </c>
      <c r="D3231" s="2" t="str">
        <f t="shared" si="49"/>
        <v>Error?</v>
      </c>
    </row>
    <row r="3232" spans="1:4" x14ac:dyDescent="0.2">
      <c r="A3232" s="5">
        <v>3171</v>
      </c>
      <c r="B3232" s="138">
        <f>'Acct Summary 7-8'!C77</f>
        <v>-55133</v>
      </c>
      <c r="C3232" s="2" t="s">
        <v>573</v>
      </c>
      <c r="D3232" s="2" t="str">
        <f t="shared" si="49"/>
        <v>Error?</v>
      </c>
    </row>
    <row r="3233" spans="1:4" x14ac:dyDescent="0.2">
      <c r="A3233" s="5">
        <v>3172</v>
      </c>
      <c r="B3233" s="138">
        <f>'Acct Summary 7-8'!C78</f>
        <v>1869678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86075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11584</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11584</v>
      </c>
      <c r="C3255" s="2" t="s">
        <v>573</v>
      </c>
      <c r="D3255" s="2" t="str">
        <f t="shared" si="49"/>
        <v>Error?</v>
      </c>
    </row>
    <row r="3256" spans="1:4" x14ac:dyDescent="0.2">
      <c r="A3256" s="5">
        <v>3195</v>
      </c>
      <c r="B3256" s="138">
        <f>'Acct Summary 7-8'!F78</f>
        <v>222449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-206476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80425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80425</v>
      </c>
      <c r="C3277" s="2" t="s">
        <v>573</v>
      </c>
      <c r="D3277" s="2" t="str">
        <f t="shared" si="50"/>
        <v>Error?</v>
      </c>
    </row>
    <row r="3278" spans="1:4" x14ac:dyDescent="0.2">
      <c r="A3278" s="5">
        <v>3217</v>
      </c>
      <c r="B3278" s="138">
        <f>'Acct Summary 7-8'!E78</f>
        <v>-2127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634000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634000</v>
      </c>
      <c r="C3299" s="2" t="s">
        <v>573</v>
      </c>
      <c r="D3299" s="2" t="str">
        <f t="shared" si="50"/>
        <v>Error?</v>
      </c>
    </row>
    <row r="3300" spans="1:4" x14ac:dyDescent="0.2">
      <c r="A3300" s="5">
        <v>3239</v>
      </c>
      <c r="B3300" s="138">
        <f>'Acct Summary 7-8'!H78</f>
        <v>572560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2008080</v>
      </c>
      <c r="C3317" s="2" t="s">
        <v>573</v>
      </c>
      <c r="D3317" s="2" t="str">
        <f t="shared" si="50"/>
        <v>Error?</v>
      </c>
    </row>
    <row r="3318" spans="1:4" x14ac:dyDescent="0.2">
      <c r="A3318" s="5">
        <v>3257</v>
      </c>
      <c r="B3318" s="138">
        <f>'Acct Summary 7-8'!I76</f>
        <v>659085</v>
      </c>
      <c r="C3318" s="2" t="s">
        <v>573</v>
      </c>
      <c r="D3318" s="2" t="str">
        <f t="shared" si="50"/>
        <v>Error?</v>
      </c>
    </row>
    <row r="3319" spans="1:4" x14ac:dyDescent="0.2">
      <c r="A3319" s="5">
        <v>3258</v>
      </c>
      <c r="B3319" s="138">
        <f>'Acct Summary 7-8'!I77</f>
        <v>1348995</v>
      </c>
      <c r="C3319" s="2" t="s">
        <v>573</v>
      </c>
      <c r="D3319" s="2" t="str">
        <f t="shared" si="50"/>
        <v>Error?</v>
      </c>
    </row>
    <row r="3320" spans="1:4" x14ac:dyDescent="0.2">
      <c r="A3320" s="5">
        <v>3259</v>
      </c>
      <c r="B3320" s="138">
        <f>'Acct Summary 7-8'!I78</f>
        <v>1439709</v>
      </c>
      <c r="C3320" s="2" t="s">
        <v>573</v>
      </c>
      <c r="D3320" s="2" t="str">
        <f t="shared" si="50"/>
        <v>Error?</v>
      </c>
    </row>
    <row r="3321" spans="1:4" x14ac:dyDescent="0.2">
      <c r="A3321" s="5">
        <v>3260</v>
      </c>
      <c r="B3321" s="138">
        <f>'Acct Summary 7-8'!I79</f>
        <v>2089275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3528984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552422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54305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29907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643878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79778</v>
      </c>
      <c r="D3387" s="2" t="str">
        <f t="shared" si="51"/>
        <v>Error?</v>
      </c>
    </row>
    <row r="3388" spans="1:4" x14ac:dyDescent="0.2">
      <c r="A3388" s="5">
        <v>3327</v>
      </c>
      <c r="B3388" s="138">
        <f>'Expenditures 15-22'!D217</f>
        <v>66177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79778</v>
      </c>
      <c r="C3390" s="2" t="s">
        <v>573</v>
      </c>
      <c r="D3390" s="2" t="str">
        <f t="shared" si="51"/>
        <v>Error?</v>
      </c>
    </row>
    <row r="3391" spans="1:4" x14ac:dyDescent="0.2">
      <c r="A3391" s="5">
        <v>3330</v>
      </c>
      <c r="B3391" s="138">
        <f>'Expenditures 15-22'!K217</f>
        <v>66177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7797759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1155748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116601</v>
      </c>
      <c r="D3417" s="2" t="str">
        <f t="shared" si="52"/>
        <v>Error?</v>
      </c>
    </row>
    <row r="3418" spans="1:4" x14ac:dyDescent="0.2">
      <c r="A3418" s="10">
        <v>3357</v>
      </c>
      <c r="D3418" s="2" t="str">
        <f t="shared" si="52"/>
        <v>OK</v>
      </c>
    </row>
    <row r="3419" spans="1:4" x14ac:dyDescent="0.2">
      <c r="A3419" s="5">
        <v>3358</v>
      </c>
      <c r="B3419" s="138">
        <f>'Assets-Liab 5-6'!F4</f>
        <v>1413544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538344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719777</v>
      </c>
      <c r="D3425" s="2" t="str">
        <f t="shared" si="52"/>
        <v>Error?</v>
      </c>
    </row>
    <row r="3426" spans="1:4" x14ac:dyDescent="0.2">
      <c r="A3426" s="10">
        <v>3365</v>
      </c>
      <c r="D3426" s="2" t="str">
        <f t="shared" si="52"/>
        <v>OK</v>
      </c>
    </row>
    <row r="3427" spans="1:4" x14ac:dyDescent="0.2">
      <c r="A3427" s="5">
        <v>3366</v>
      </c>
      <c r="B3427" s="138">
        <f>'Assets-Liab 5-6'!I4</f>
        <v>3403984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1428548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149453</v>
      </c>
      <c r="C3446" s="2" t="s">
        <v>573</v>
      </c>
      <c r="D3446" s="2" t="str">
        <f t="shared" si="52"/>
        <v>Error?</v>
      </c>
    </row>
    <row r="3447" spans="1:4" x14ac:dyDescent="0.2">
      <c r="A3447" s="5">
        <v>3386</v>
      </c>
      <c r="B3447" s="138">
        <f>'Tax Sched 23'!D16</f>
        <v>149453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300004</v>
      </c>
      <c r="C3449" s="2" t="s">
        <v>573</v>
      </c>
      <c r="D3449" s="2" t="str">
        <f t="shared" si="52"/>
        <v>Error?</v>
      </c>
    </row>
    <row r="3450" spans="1:4" x14ac:dyDescent="0.2">
      <c r="A3450" s="5">
        <v>3389</v>
      </c>
      <c r="B3450" s="138">
        <f>'Tax Sched 23'!E16</f>
        <v>300004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1552</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1552</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11584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804859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804859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804859</v>
      </c>
      <c r="D3567" s="2" t="str">
        <f t="shared" si="54"/>
        <v>Error?</v>
      </c>
    </row>
    <row r="3568" spans="1:4" x14ac:dyDescent="0.2">
      <c r="A3568" s="5">
        <v>3507</v>
      </c>
      <c r="B3568" s="138">
        <f>'Assets-Liab 5-6'!K41</f>
        <v>804859</v>
      </c>
      <c r="C3568" s="2" t="s">
        <v>573</v>
      </c>
      <c r="D3568" s="2" t="str">
        <f t="shared" si="54"/>
        <v>Error?</v>
      </c>
    </row>
    <row r="3569" spans="1:4" x14ac:dyDescent="0.2">
      <c r="A3569" s="5">
        <v>3508</v>
      </c>
      <c r="B3569" s="138">
        <f>'Acct Summary 7-8'!K4</f>
        <v>73821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73821</v>
      </c>
      <c r="C3571" s="2" t="s">
        <v>573</v>
      </c>
      <c r="D3571" s="2" t="str">
        <f t="shared" si="54"/>
        <v>Error?</v>
      </c>
    </row>
    <row r="3572" spans="1:4" x14ac:dyDescent="0.2">
      <c r="A3572" s="5">
        <v>3511</v>
      </c>
      <c r="B3572" s="138">
        <f>'Acct Summary 7-8'!K13</f>
        <v>814310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814310</v>
      </c>
      <c r="C3575" s="2" t="s">
        <v>573</v>
      </c>
      <c r="D3575" s="2" t="str">
        <f t="shared" si="54"/>
        <v>Error?</v>
      </c>
    </row>
    <row r="3576" spans="1:4" x14ac:dyDescent="0.2">
      <c r="A3576" s="5">
        <v>3515</v>
      </c>
      <c r="B3576" s="138">
        <f>'Acct Summary 7-8'!K20</f>
        <v>-740489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-740489</v>
      </c>
      <c r="C3588" s="2" t="s">
        <v>573</v>
      </c>
      <c r="D3588" s="2" t="str">
        <f t="shared" si="55"/>
        <v>Error?</v>
      </c>
    </row>
    <row r="3589" spans="1:4" x14ac:dyDescent="0.2">
      <c r="A3589" s="5">
        <v>3528</v>
      </c>
      <c r="B3589" s="138">
        <f>'Acct Summary 7-8'!K79</f>
        <v>1545348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804859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814310</v>
      </c>
      <c r="D3646" s="2" t="str">
        <f t="shared" si="55"/>
        <v>Error?</v>
      </c>
    </row>
    <row r="3647" spans="1:4" x14ac:dyDescent="0.2">
      <c r="A3647" s="5">
        <v>3586</v>
      </c>
      <c r="B3647" s="138">
        <f>'Expenditures 15-22'!G350</f>
        <v>814310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814310</v>
      </c>
      <c r="C3649" s="2" t="s">
        <v>573</v>
      </c>
      <c r="D3649" s="2" t="str">
        <f t="shared" si="56"/>
        <v>Error?</v>
      </c>
    </row>
    <row r="3650" spans="1:4" x14ac:dyDescent="0.2">
      <c r="A3650" s="5">
        <v>3589</v>
      </c>
      <c r="B3650" s="138">
        <f>'Expenditures 15-22'!G367</f>
        <v>814310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814310</v>
      </c>
      <c r="C3669" s="2" t="s">
        <v>573</v>
      </c>
      <c r="D3669" s="2" t="str">
        <f t="shared" si="56"/>
        <v>Error?</v>
      </c>
    </row>
    <row r="3670" spans="1:4" x14ac:dyDescent="0.2">
      <c r="A3670" s="5">
        <v>3609</v>
      </c>
      <c r="B3670" s="138">
        <f>'Expenditures 15-22'!K350</f>
        <v>814310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814310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814310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-740489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65925</v>
      </c>
      <c r="C3725" s="2" t="s">
        <v>573</v>
      </c>
      <c r="D3725" s="2" t="str">
        <f t="shared" si="57"/>
        <v>Error?</v>
      </c>
    </row>
    <row r="3726" spans="1:4" x14ac:dyDescent="0.2">
      <c r="A3726" s="5">
        <v>3665</v>
      </c>
      <c r="B3726" s="138">
        <f>'Tax Sched 23'!D13</f>
        <v>65925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67654</v>
      </c>
      <c r="C3728" s="2" t="s">
        <v>573</v>
      </c>
      <c r="D3728" s="2" t="str">
        <f t="shared" si="57"/>
        <v>Error?</v>
      </c>
    </row>
    <row r="3729" spans="1:4" x14ac:dyDescent="0.2">
      <c r="A3729" s="5">
        <v>3668</v>
      </c>
      <c r="B3729" s="138">
        <f>'Tax Sched 23'!E13</f>
        <v>67654</v>
      </c>
      <c r="D3729" s="2" t="str">
        <f t="shared" si="57"/>
        <v>Error?</v>
      </c>
    </row>
    <row r="3730" spans="1:4" x14ac:dyDescent="0.2">
      <c r="A3730" s="5">
        <v>3669</v>
      </c>
      <c r="B3730" s="138">
        <f>'ICR Computation 30'!E10</f>
        <v>310232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4695486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18885232</v>
      </c>
      <c r="C4122" s="2" t="s">
        <v>573</v>
      </c>
      <c r="D4122" s="2" t="str">
        <f t="shared" si="63"/>
        <v>Error?</v>
      </c>
    </row>
    <row r="4123" spans="1:4" x14ac:dyDescent="0.2">
      <c r="A4123" s="5">
        <v>4062</v>
      </c>
      <c r="B4123" s="138">
        <f>'Acct Summary 7-8'!D10</f>
        <v>988730</v>
      </c>
      <c r="C4123" s="2" t="s">
        <v>573</v>
      </c>
      <c r="D4123" s="2" t="str">
        <f t="shared" si="63"/>
        <v>Error?</v>
      </c>
    </row>
    <row r="4124" spans="1:4" x14ac:dyDescent="0.2">
      <c r="A4124" s="5">
        <v>4063</v>
      </c>
      <c r="B4124" s="138">
        <f>'Acct Summary 7-8'!E10</f>
        <v>902741</v>
      </c>
      <c r="C4124" s="2" t="s">
        <v>573</v>
      </c>
      <c r="D4124" s="2" t="str">
        <f t="shared" si="63"/>
        <v>Error?</v>
      </c>
    </row>
    <row r="4125" spans="1:4" x14ac:dyDescent="0.2">
      <c r="A4125" s="5">
        <v>4064</v>
      </c>
      <c r="B4125" s="138">
        <f>'Acct Summary 7-8'!F10</f>
        <v>1280031</v>
      </c>
      <c r="C4125" s="2" t="s">
        <v>573</v>
      </c>
      <c r="D4125" s="2" t="str">
        <f t="shared" si="63"/>
        <v>Error?</v>
      </c>
    </row>
    <row r="4126" spans="1:4" x14ac:dyDescent="0.2">
      <c r="A4126" s="5">
        <v>4065</v>
      </c>
      <c r="B4126" s="138">
        <f>'Acct Summary 7-8'!G10</f>
        <v>291975</v>
      </c>
      <c r="C4126" s="2" t="s">
        <v>573</v>
      </c>
      <c r="D4126" s="2" t="str">
        <f t="shared" si="63"/>
        <v>Error?</v>
      </c>
    </row>
    <row r="4127" spans="1:4" x14ac:dyDescent="0.2">
      <c r="A4127" s="5">
        <v>4066</v>
      </c>
      <c r="B4127" s="138">
        <f>'Acct Summary 7-8'!H10</f>
        <v>630716</v>
      </c>
      <c r="C4127" s="2" t="s">
        <v>573</v>
      </c>
      <c r="D4127" s="2" t="str">
        <f t="shared" si="63"/>
        <v>Error?</v>
      </c>
    </row>
    <row r="4128" spans="1:4" x14ac:dyDescent="0.2">
      <c r="A4128" s="5">
        <v>4067</v>
      </c>
      <c r="B4128" s="138">
        <f>'Acct Summary 7-8'!I10</f>
        <v>90714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73821</v>
      </c>
      <c r="C4130" s="2" t="s">
        <v>573</v>
      </c>
      <c r="D4130" s="2" t="str">
        <f t="shared" si="63"/>
        <v>Error?</v>
      </c>
    </row>
    <row r="4131" spans="1:4" x14ac:dyDescent="0.2">
      <c r="A4131" s="5">
        <v>4070</v>
      </c>
      <c r="B4131" s="138">
        <f>'Acct Summary 7-8'!C18</f>
        <v>4695486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16960421</v>
      </c>
      <c r="C4136" s="2" t="s">
        <v>573</v>
      </c>
      <c r="D4136" s="2" t="str">
        <f t="shared" si="63"/>
        <v>Error?</v>
      </c>
    </row>
    <row r="4137" spans="1:4" x14ac:dyDescent="0.2">
      <c r="A4137" s="5">
        <v>4076</v>
      </c>
      <c r="B4137" s="138">
        <f>'Acct Summary 7-8'!D19</f>
        <v>902655</v>
      </c>
      <c r="C4137" s="2" t="s">
        <v>573</v>
      </c>
      <c r="D4137" s="2" t="str">
        <f t="shared" si="63"/>
        <v>Error?</v>
      </c>
    </row>
    <row r="4138" spans="1:4" x14ac:dyDescent="0.2">
      <c r="A4138" s="5">
        <v>4077</v>
      </c>
      <c r="B4138" s="138">
        <f>'Acct Summary 7-8'!E19</f>
        <v>985293</v>
      </c>
      <c r="C4138" s="2" t="s">
        <v>573</v>
      </c>
      <c r="D4138" s="2" t="str">
        <f t="shared" si="63"/>
        <v>Error?</v>
      </c>
    </row>
    <row r="4139" spans="1:4" x14ac:dyDescent="0.2">
      <c r="A4139" s="5">
        <v>4078</v>
      </c>
      <c r="B4139" s="138">
        <f>'Acct Summary 7-8'!F19</f>
        <v>1069166</v>
      </c>
      <c r="C4139" s="2" t="s">
        <v>573</v>
      </c>
      <c r="D4139" s="2" t="str">
        <f t="shared" si="63"/>
        <v>Error?</v>
      </c>
    </row>
    <row r="4140" spans="1:4" x14ac:dyDescent="0.2">
      <c r="A4140" s="5">
        <v>4079</v>
      </c>
      <c r="B4140" s="138">
        <f>'Acct Summary 7-8'!G19</f>
        <v>498451</v>
      </c>
      <c r="C4140" s="2" t="s">
        <v>573</v>
      </c>
      <c r="D4140" s="2" t="str">
        <f t="shared" si="63"/>
        <v>Error?</v>
      </c>
    </row>
    <row r="4141" spans="1:4" x14ac:dyDescent="0.2">
      <c r="A4141" s="5">
        <v>4080</v>
      </c>
      <c r="B4141" s="138">
        <f>'Acct Summary 7-8'!H19</f>
        <v>692156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814310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6203000</v>
      </c>
      <c r="C4171" s="2" t="s">
        <v>573</v>
      </c>
      <c r="D4171" s="2" t="str">
        <f t="shared" si="64"/>
        <v>Error?</v>
      </c>
    </row>
    <row r="4172" spans="1:4" x14ac:dyDescent="0.2">
      <c r="A4172" s="5">
        <v>4111</v>
      </c>
      <c r="B4172" s="138">
        <f>'Short-Term Long-Term Debt 24'!J49</f>
        <v>6203000</v>
      </c>
      <c r="C4172" s="2" t="s">
        <v>573</v>
      </c>
      <c r="D4172" s="2" t="str">
        <f t="shared" si="64"/>
        <v>Error?</v>
      </c>
    </row>
    <row r="4173" spans="1:4" x14ac:dyDescent="0.2">
      <c r="A4173" s="5">
        <v>4112</v>
      </c>
      <c r="B4173" s="138">
        <f>'Short-Term Long-Term Debt 24'!H49</f>
        <v>781000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2250</v>
      </c>
      <c r="C4265" s="2" t="s">
        <v>573</v>
      </c>
      <c r="D4265" s="2" t="str">
        <f t="shared" si="65"/>
        <v>Error?</v>
      </c>
      <c r="E4265" s="128"/>
    </row>
    <row r="4266" spans="1:5" x14ac:dyDescent="0.2">
      <c r="A4266" s="12">
        <v>4205</v>
      </c>
      <c r="B4266" s="138">
        <f>('FP Info 3'!F10)*100000</f>
        <v>700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3150</v>
      </c>
      <c r="C4268" s="2" t="s">
        <v>573</v>
      </c>
      <c r="D4268" s="2" t="str">
        <f t="shared" si="65"/>
        <v>Error?</v>
      </c>
    </row>
    <row r="4269" spans="1:5" x14ac:dyDescent="0.2">
      <c r="A4269" s="12">
        <v>4208</v>
      </c>
      <c r="B4269" s="138">
        <f>'FP Info 3'!J16</f>
        <v>13896035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8347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149</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315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3866</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17301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17301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10060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32962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10060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24476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557</v>
      </c>
      <c r="D4417" s="2" t="str">
        <f t="shared" si="68"/>
        <v>Error?</v>
      </c>
    </row>
    <row r="4418" spans="1:4" x14ac:dyDescent="0.2">
      <c r="A4418" s="5">
        <v>4357</v>
      </c>
      <c r="B4418" s="138">
        <f>'Revenues 9-14'!C259</f>
        <v>70827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1440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30942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45981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135307528</v>
      </c>
      <c r="D4995" s="2" t="str">
        <f t="shared" si="77"/>
        <v>Error?</v>
      </c>
    </row>
    <row r="4996" spans="1:4" x14ac:dyDescent="0.2">
      <c r="A4996" s="12">
        <v>4935</v>
      </c>
      <c r="B4996" s="138">
        <f>'FP Info 3'!H31</f>
        <v>18672438.864</v>
      </c>
      <c r="D4996" s="2" t="str">
        <f t="shared" si="77"/>
        <v>Error?</v>
      </c>
    </row>
    <row r="4997" spans="1:4" x14ac:dyDescent="0.2">
      <c r="A4997" s="12">
        <v>4936</v>
      </c>
      <c r="B4997" s="138">
        <f>'FP Info 3'!H37</f>
        <v>6203000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65925</v>
      </c>
      <c r="D5026" s="2" t="str">
        <f t="shared" si="77"/>
        <v>Error?</v>
      </c>
    </row>
    <row r="5027" spans="1:4" x14ac:dyDescent="0.2">
      <c r="A5027" s="5">
        <v>4966</v>
      </c>
      <c r="B5027" s="138">
        <f>'Revenues 9-14'!F104</f>
        <v>640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2966642</v>
      </c>
      <c r="D5061" s="2" t="str">
        <f t="shared" si="78"/>
        <v>Error?</v>
      </c>
    </row>
    <row r="5062" spans="1:4" x14ac:dyDescent="0.2">
      <c r="A5062" s="10">
        <v>5001</v>
      </c>
      <c r="D5062" s="2" t="str">
        <f t="shared" si="78"/>
        <v>OK</v>
      </c>
    </row>
    <row r="5063" spans="1:4" x14ac:dyDescent="0.2">
      <c r="A5063" s="5">
        <v>5002</v>
      </c>
      <c r="B5063" s="138">
        <f>'Revenues 9-14'!C7</f>
        <v>52740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3085307</v>
      </c>
      <c r="C5066" s="2" t="s">
        <v>573</v>
      </c>
      <c r="D5066" s="2" t="str">
        <f t="shared" si="78"/>
        <v>Error?</v>
      </c>
    </row>
    <row r="5067" spans="1:4" x14ac:dyDescent="0.2">
      <c r="A5067" s="5">
        <v>5006</v>
      </c>
      <c r="B5067" s="138">
        <f>'Revenues 9-14'!C14</f>
        <v>1052</v>
      </c>
      <c r="D5067" s="2" t="str">
        <f t="shared" si="78"/>
        <v>Error?</v>
      </c>
    </row>
    <row r="5068" spans="1:4" x14ac:dyDescent="0.2">
      <c r="A5068" s="5">
        <v>5007</v>
      </c>
      <c r="B5068" s="138">
        <f>'Revenues 9-14'!C15</f>
        <v>20845</v>
      </c>
      <c r="D5068" s="2" t="str">
        <f t="shared" si="78"/>
        <v>Error?</v>
      </c>
    </row>
    <row r="5069" spans="1:4" x14ac:dyDescent="0.2">
      <c r="A5069" s="5">
        <v>5008</v>
      </c>
      <c r="B5069" s="138">
        <f>'Revenues 9-14'!C16</f>
        <v>47588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69485</v>
      </c>
      <c r="C5071" s="2" t="s">
        <v>573</v>
      </c>
      <c r="D5071" s="2" t="str">
        <f t="shared" si="78"/>
        <v>Error?</v>
      </c>
    </row>
    <row r="5072" spans="1:4" x14ac:dyDescent="0.2">
      <c r="A5072" s="5">
        <v>5011</v>
      </c>
      <c r="B5072" s="138">
        <f>'Revenues 9-14'!C20</f>
        <v>3560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3560</v>
      </c>
      <c r="C5087" s="2" t="s">
        <v>573</v>
      </c>
      <c r="D5087" s="2" t="str">
        <f t="shared" si="78"/>
        <v>Error?</v>
      </c>
    </row>
    <row r="5088" spans="1:4" x14ac:dyDescent="0.2">
      <c r="A5088" s="5">
        <v>5027</v>
      </c>
      <c r="B5088" s="138">
        <f>'Revenues 9-14'!C65</f>
        <v>58796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58796</v>
      </c>
      <c r="C5090" s="2" t="s">
        <v>573</v>
      </c>
      <c r="D5090" s="2" t="str">
        <f t="shared" si="78"/>
        <v>Error?</v>
      </c>
    </row>
    <row r="5091" spans="1:4" x14ac:dyDescent="0.2">
      <c r="A5091" s="5">
        <v>5030</v>
      </c>
      <c r="B5091" s="138">
        <f>'Revenues 9-14'!C70</f>
        <v>130</v>
      </c>
      <c r="D5091" s="2" t="str">
        <f t="shared" si="78"/>
        <v>Error?</v>
      </c>
    </row>
    <row r="5092" spans="1:4" x14ac:dyDescent="0.2">
      <c r="A5092" s="5">
        <v>5031</v>
      </c>
      <c r="B5092" s="138">
        <f>'Revenues 9-14'!C71</f>
        <v>621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786</v>
      </c>
      <c r="D5094" s="2" t="str">
        <f t="shared" si="78"/>
        <v>Error?</v>
      </c>
    </row>
    <row r="5095" spans="1:4" x14ac:dyDescent="0.2">
      <c r="A5095" s="5">
        <v>5034</v>
      </c>
      <c r="B5095" s="138">
        <f>'Revenues 9-14'!C74</f>
        <v>21761</v>
      </c>
      <c r="D5095" s="2" t="str">
        <f t="shared" si="78"/>
        <v>Error?</v>
      </c>
    </row>
    <row r="5096" spans="1:4" x14ac:dyDescent="0.2">
      <c r="A5096" s="5">
        <v>5035</v>
      </c>
      <c r="B5096" s="138">
        <f>'Revenues 9-14'!C75</f>
        <v>27105</v>
      </c>
      <c r="C5096" s="2" t="s">
        <v>573</v>
      </c>
      <c r="D5096" s="2" t="str">
        <f t="shared" si="78"/>
        <v>Error?</v>
      </c>
    </row>
    <row r="5097" spans="1:4" x14ac:dyDescent="0.2">
      <c r="A5097" s="5">
        <v>5036</v>
      </c>
      <c r="B5097" s="138">
        <f>'Revenues 9-14'!C77</f>
        <v>22301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v>
      </c>
      <c r="D5101" s="2" t="str">
        <f t="shared" si="78"/>
        <v>Error?</v>
      </c>
    </row>
    <row r="5102" spans="1:4" x14ac:dyDescent="0.2">
      <c r="A5102" s="5">
        <v>5041</v>
      </c>
      <c r="B5102" s="138">
        <f>'Revenues 9-14'!C82</f>
        <v>22471</v>
      </c>
      <c r="C5102" s="2" t="s">
        <v>573</v>
      </c>
      <c r="D5102" s="2" t="str">
        <f t="shared" si="78"/>
        <v>Error?</v>
      </c>
    </row>
    <row r="5103" spans="1:4" x14ac:dyDescent="0.2">
      <c r="A5103" s="5">
        <v>5042</v>
      </c>
      <c r="B5103" s="138">
        <f>'Revenues 9-14'!C84</f>
        <v>21085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2116</v>
      </c>
      <c r="D5111" s="2" t="str">
        <f t="shared" si="78"/>
        <v>Error?</v>
      </c>
    </row>
    <row r="5112" spans="1:4" x14ac:dyDescent="0.2">
      <c r="A5112" s="5">
        <v>5051</v>
      </c>
      <c r="B5112" s="138">
        <f>'Revenues 9-14'!C93</f>
        <v>23201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629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8576</v>
      </c>
      <c r="D5119" s="2" t="str">
        <f t="shared" ref="D5119:D5182" si="79">IF(ISBLANK(B5119),"OK",IF(A5119-B5119=0,"OK","Error?"))</f>
        <v>Error?</v>
      </c>
    </row>
    <row r="5120" spans="1:4" x14ac:dyDescent="0.2">
      <c r="A5120" s="5">
        <v>5059</v>
      </c>
      <c r="B5120" s="138">
        <f>'Revenues 9-14'!C108</f>
        <v>44947</v>
      </c>
      <c r="C5120" s="2" t="s">
        <v>573</v>
      </c>
      <c r="D5120" s="2" t="str">
        <f t="shared" si="79"/>
        <v>Error?</v>
      </c>
    </row>
    <row r="5121" spans="1:4" x14ac:dyDescent="0.2">
      <c r="A5121" s="5">
        <v>5060</v>
      </c>
      <c r="B5121" s="138">
        <f>'Revenues 9-14'!C109</f>
        <v>3334872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8897256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8897256</v>
      </c>
      <c r="C5132" s="2" t="s">
        <v>573</v>
      </c>
      <c r="D5132" s="2" t="str">
        <f t="shared" si="79"/>
        <v>Error?</v>
      </c>
    </row>
    <row r="5133" spans="1:4" x14ac:dyDescent="0.2">
      <c r="A5133" s="5">
        <v>5072</v>
      </c>
      <c r="B5133" s="138">
        <f>'Revenues 9-14'!C125</f>
        <v>77375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77375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22186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41191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13721</v>
      </c>
      <c r="D5167" s="2" t="str">
        <f t="shared" si="79"/>
        <v>Error?</v>
      </c>
    </row>
    <row r="5168" spans="1:4" x14ac:dyDescent="0.2">
      <c r="A5168" s="5">
        <v>5107</v>
      </c>
      <c r="B5168" s="138">
        <f>'Revenues 9-14'!C148</f>
        <v>32123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339417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549808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9447064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518094</v>
      </c>
      <c r="D5239" s="2" t="str">
        <f t="shared" si="80"/>
        <v>Error?</v>
      </c>
    </row>
    <row r="5240" spans="1:4" x14ac:dyDescent="0.2">
      <c r="A5240" s="5">
        <v>5179</v>
      </c>
      <c r="B5240" s="138">
        <f>'Revenues 9-14'!C192</f>
        <v>1023</v>
      </c>
      <c r="D5240" s="2" t="str">
        <f t="shared" si="80"/>
        <v>Error?</v>
      </c>
    </row>
    <row r="5241" spans="1:4" x14ac:dyDescent="0.2">
      <c r="A5241" s="5">
        <v>5180</v>
      </c>
      <c r="B5241" s="138">
        <f>'Revenues 9-14'!C193</f>
        <v>171005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690122</v>
      </c>
      <c r="C5246" s="2" t="s">
        <v>573</v>
      </c>
      <c r="D5246" s="2" t="str">
        <f t="shared" si="80"/>
        <v>Error?</v>
      </c>
    </row>
    <row r="5247" spans="1:4" x14ac:dyDescent="0.2">
      <c r="A5247" s="5">
        <v>5186</v>
      </c>
      <c r="B5247" s="138">
        <f>'Revenues 9-14'!C200</f>
        <v>550534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32962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558881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12795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12795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315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131</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1407810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1407810</v>
      </c>
      <c r="C5326" s="2" t="s">
        <v>573</v>
      </c>
      <c r="D5326" s="2" t="str">
        <f t="shared" si="82"/>
        <v>Error?</v>
      </c>
    </row>
    <row r="5327" spans="1:5" x14ac:dyDescent="0.2">
      <c r="A5327" s="5">
        <v>5266</v>
      </c>
      <c r="B5327" s="138">
        <f>'Revenues 9-14'!C268</f>
        <v>14189746</v>
      </c>
      <c r="C5327" s="2" t="s">
        <v>573</v>
      </c>
      <c r="D5327" s="2" t="str">
        <f t="shared" si="82"/>
        <v>Error?</v>
      </c>
    </row>
    <row r="5328" spans="1:5" x14ac:dyDescent="0.2">
      <c r="A5328" s="5">
        <v>5267</v>
      </c>
      <c r="B5328" s="138">
        <f>'Revenues 9-14'!D5</f>
        <v>922955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922955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11057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11057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52805</v>
      </c>
      <c r="D5349" s="2" t="str">
        <f t="shared" si="82"/>
        <v>Error?</v>
      </c>
    </row>
    <row r="5350" spans="1:4" x14ac:dyDescent="0.2">
      <c r="A5350" s="5">
        <v>5289</v>
      </c>
      <c r="B5350" s="138">
        <f>'Revenues 9-14'!D96</f>
        <v>1000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913</v>
      </c>
      <c r="D5354" s="2" t="str">
        <f t="shared" si="82"/>
        <v>Error?</v>
      </c>
    </row>
    <row r="5355" spans="1:4" x14ac:dyDescent="0.2">
      <c r="A5355" s="5">
        <v>5294</v>
      </c>
      <c r="B5355" s="138">
        <f>'Revenues 9-14'!D108</f>
        <v>54718</v>
      </c>
      <c r="C5355" s="2" t="s">
        <v>573</v>
      </c>
      <c r="D5355" s="2" t="str">
        <f t="shared" si="82"/>
        <v>Error?</v>
      </c>
    </row>
    <row r="5356" spans="1:4" x14ac:dyDescent="0.2">
      <c r="A5356" s="5">
        <v>5295</v>
      </c>
      <c r="B5356" s="138">
        <f>'Revenues 9-14'!D109</f>
        <v>988730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988730</v>
      </c>
      <c r="C5508" s="2" t="s">
        <v>573</v>
      </c>
      <c r="D5508" s="2" t="str">
        <f t="shared" si="85"/>
        <v>Error?</v>
      </c>
    </row>
    <row r="5509" spans="1:4" x14ac:dyDescent="0.2">
      <c r="A5509" s="5">
        <v>5448</v>
      </c>
      <c r="B5509" s="138">
        <f>'Revenues 9-14'!E5</f>
        <v>900527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900527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902741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902741</v>
      </c>
      <c r="C5552" s="2" t="s">
        <v>573</v>
      </c>
      <c r="D5552" s="2" t="str">
        <f t="shared" si="85"/>
        <v>Error?</v>
      </c>
    </row>
    <row r="5553" spans="1:4" x14ac:dyDescent="0.2">
      <c r="A5553" s="5">
        <v>5492</v>
      </c>
      <c r="B5553" s="138">
        <f>'Revenues 9-14'!F5</f>
        <v>263701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263701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268000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268000</v>
      </c>
      <c r="C5562" s="2" t="s">
        <v>573</v>
      </c>
      <c r="D5562" s="2" t="str">
        <f t="shared" si="85"/>
        <v>Error?</v>
      </c>
    </row>
    <row r="5563" spans="1:4" x14ac:dyDescent="0.2">
      <c r="A5563" s="5">
        <v>5502</v>
      </c>
      <c r="B5563" s="138">
        <f>'Revenues 9-14'!F42</f>
        <v>3716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3716</v>
      </c>
      <c r="C5579" s="2" t="s">
        <v>573</v>
      </c>
      <c r="D5579" s="2" t="str">
        <f t="shared" si="86"/>
        <v>Error?</v>
      </c>
    </row>
    <row r="5580" spans="1:4" x14ac:dyDescent="0.2">
      <c r="A5580" s="5">
        <v>5519</v>
      </c>
      <c r="B5580" s="138">
        <f>'Revenues 9-14'!F65</f>
        <v>7644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7644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400</v>
      </c>
      <c r="D5586" s="2" t="str">
        <f t="shared" si="86"/>
        <v>Error?</v>
      </c>
    </row>
    <row r="5587" spans="1:4" x14ac:dyDescent="0.2">
      <c r="A5587" s="5">
        <v>5526</v>
      </c>
      <c r="B5587" s="138">
        <f>'Revenues 9-14'!F108</f>
        <v>1040</v>
      </c>
      <c r="C5587" s="2" t="s">
        <v>573</v>
      </c>
      <c r="D5587" s="2" t="str">
        <f t="shared" si="86"/>
        <v>Error?</v>
      </c>
    </row>
    <row r="5588" spans="1:4" x14ac:dyDescent="0.2">
      <c r="A5588" s="5">
        <v>5527</v>
      </c>
      <c r="B5588" s="138">
        <f>'Revenues 9-14'!F109</f>
        <v>544101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148000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148000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295723</v>
      </c>
      <c r="D5615" s="2" t="str">
        <f t="shared" si="86"/>
        <v>Error?</v>
      </c>
    </row>
    <row r="5616" spans="1:4" x14ac:dyDescent="0.2">
      <c r="A5616" s="10">
        <v>5555</v>
      </c>
      <c r="D5616" s="2" t="str">
        <f t="shared" si="86"/>
        <v>OK</v>
      </c>
    </row>
    <row r="5617" spans="1:5" x14ac:dyDescent="0.2">
      <c r="A5617" s="5">
        <v>5556</v>
      </c>
      <c r="B5617" s="138">
        <f>'Revenues 9-14'!F153</f>
        <v>174119</v>
      </c>
      <c r="D5617" s="2" t="str">
        <f t="shared" si="86"/>
        <v>Error?</v>
      </c>
    </row>
    <row r="5618" spans="1:5" x14ac:dyDescent="0.2">
      <c r="A5618" s="5">
        <v>5557</v>
      </c>
      <c r="B5618" s="138">
        <f>'Revenues 9-14'!F155</f>
        <v>469842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102722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572564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720564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15366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15366</v>
      </c>
      <c r="C5719" s="2" t="s">
        <v>573</v>
      </c>
      <c r="D5719" s="2" t="str">
        <f t="shared" si="88"/>
        <v>Error?</v>
      </c>
    </row>
    <row r="5720" spans="1:4" x14ac:dyDescent="0.2">
      <c r="A5720" s="5">
        <v>5659</v>
      </c>
      <c r="B5720" s="138">
        <f>'Revenues 9-14'!F268</f>
        <v>1280031</v>
      </c>
      <c r="C5720" s="2" t="s">
        <v>573</v>
      </c>
      <c r="D5720" s="2" t="str">
        <f t="shared" si="88"/>
        <v>Error?</v>
      </c>
    </row>
    <row r="5721" spans="1:4" x14ac:dyDescent="0.2">
      <c r="A5721" s="5">
        <v>5660</v>
      </c>
      <c r="B5721" s="138">
        <f>'Revenues 9-14'!G5</f>
        <v>74720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149453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224173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573</v>
      </c>
      <c r="D5730" s="2" t="str">
        <f t="shared" si="88"/>
        <v>Error?</v>
      </c>
    </row>
    <row r="5731" spans="1:4" x14ac:dyDescent="0.2">
      <c r="A5731" s="5">
        <v>5670</v>
      </c>
      <c r="B5731" s="138">
        <f>'Revenues 9-14'!G65</f>
        <v>5716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58</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30164</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30164</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30164</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11158</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11307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11864</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11864</v>
      </c>
      <c r="C5869" s="2" t="s">
        <v>573</v>
      </c>
      <c r="D5869" s="2" t="str">
        <f t="shared" si="90"/>
        <v>Error?</v>
      </c>
    </row>
    <row r="5870" spans="1:4" x14ac:dyDescent="0.2">
      <c r="A5870" s="5">
        <v>5809</v>
      </c>
      <c r="B5870" s="138">
        <f>'Revenues 9-14'!G268</f>
        <v>291975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2515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628201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630716</v>
      </c>
      <c r="C5915" s="2" t="s">
        <v>573</v>
      </c>
      <c r="D5915" s="2" t="str">
        <f t="shared" si="91"/>
        <v>Error?</v>
      </c>
    </row>
    <row r="5916" spans="1:4" x14ac:dyDescent="0.2">
      <c r="A5916" s="5">
        <v>5855</v>
      </c>
      <c r="B5916" s="138">
        <f>'Revenues 9-14'!I5</f>
        <v>65925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65925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24789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24789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90714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65925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65925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7896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73821</v>
      </c>
      <c r="C6023" s="2" t="s">
        <v>573</v>
      </c>
      <c r="D6023" s="2" t="str">
        <f t="shared" si="93"/>
        <v>Error?</v>
      </c>
    </row>
    <row r="6024" spans="1:5" x14ac:dyDescent="0.2">
      <c r="A6024" s="5">
        <v>5963</v>
      </c>
      <c r="B6024" s="138">
        <f>'Revenues 9-14'!G109</f>
        <v>249947</v>
      </c>
      <c r="C6024" s="2" t="s">
        <v>573</v>
      </c>
      <c r="D6024" s="2" t="str">
        <f t="shared" si="93"/>
        <v>Error?</v>
      </c>
    </row>
    <row r="6025" spans="1:5" x14ac:dyDescent="0.2">
      <c r="A6025" s="5">
        <v>5964</v>
      </c>
      <c r="B6025" s="138">
        <f>'Revenues 9-14'!H109</f>
        <v>630716</v>
      </c>
      <c r="C6025" s="2" t="s">
        <v>573</v>
      </c>
      <c r="D6025" s="2" t="str">
        <f t="shared" si="93"/>
        <v>Error?</v>
      </c>
    </row>
    <row r="6026" spans="1:5" x14ac:dyDescent="0.2">
      <c r="A6026" s="5">
        <v>5965</v>
      </c>
      <c r="B6026" s="138">
        <f>'Revenues 9-14'!I109</f>
        <v>90714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73821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3807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64338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1478.9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125000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7112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125000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7112</v>
      </c>
      <c r="D6215" s="2" t="str">
        <f t="shared" si="96"/>
        <v>Error?</v>
      </c>
      <c r="E6215" s="2" t="s">
        <v>190</v>
      </c>
    </row>
    <row r="6216" spans="1:5" x14ac:dyDescent="0.2">
      <c r="A6216">
        <v>6155</v>
      </c>
      <c r="B6216" s="138">
        <f>'Assets-Liab 5-6'!J41</f>
        <v>7112</v>
      </c>
      <c r="D6216" s="2" t="str">
        <f t="shared" si="96"/>
        <v>Error?</v>
      </c>
      <c r="E6216" s="2" t="s">
        <v>190</v>
      </c>
    </row>
    <row r="6217" spans="1:5" x14ac:dyDescent="0.2">
      <c r="A6217">
        <v>6156</v>
      </c>
      <c r="B6217" s="138">
        <f>'Assets-Liab 5-6'!J4</f>
        <v>7112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725171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725171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725171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859461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859461</v>
      </c>
      <c r="D6229" s="2" t="str">
        <f t="shared" si="96"/>
        <v>Error?</v>
      </c>
      <c r="E6229" s="2" t="s">
        <v>190</v>
      </c>
    </row>
    <row r="6230" spans="1:5" x14ac:dyDescent="0.2">
      <c r="A6230">
        <v>6169</v>
      </c>
      <c r="B6230" s="138">
        <f>'Acct Summary 7-8'!J20</f>
        <v>-134290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46000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9133</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-134290</v>
      </c>
      <c r="D6263" s="2" t="str">
        <f t="shared" si="96"/>
        <v>Error?</v>
      </c>
      <c r="E6263" s="2" t="s">
        <v>190</v>
      </c>
    </row>
    <row r="6264" spans="1:5" x14ac:dyDescent="0.2">
      <c r="A6264">
        <v>6203</v>
      </c>
      <c r="B6264" s="138">
        <f>'Acct Summary 7-8'!J79</f>
        <v>141402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7112</v>
      </c>
      <c r="D6266" s="2" t="str">
        <f t="shared" si="96"/>
        <v>Error?</v>
      </c>
      <c r="E6266" s="2" t="s">
        <v>190</v>
      </c>
    </row>
    <row r="6267" spans="1:5" x14ac:dyDescent="0.2">
      <c r="A6267">
        <v>6206</v>
      </c>
      <c r="B6267" s="138">
        <f>'Acct Summary 7-8'!C82</f>
        <v>1869678</v>
      </c>
      <c r="D6267" s="2" t="str">
        <f t="shared" si="96"/>
        <v>Error?</v>
      </c>
      <c r="E6267" s="2" t="s">
        <v>190</v>
      </c>
    </row>
    <row r="6268" spans="1:5" x14ac:dyDescent="0.2">
      <c r="A6268">
        <v>6207</v>
      </c>
      <c r="B6268" s="138">
        <f>'Acct Summary 7-8'!D82</f>
        <v>86075</v>
      </c>
      <c r="D6268" s="2" t="str">
        <f t="shared" si="96"/>
        <v>Error?</v>
      </c>
      <c r="E6268" s="2" t="s">
        <v>190</v>
      </c>
    </row>
    <row r="6269" spans="1:5" x14ac:dyDescent="0.2">
      <c r="A6269">
        <v>6208</v>
      </c>
      <c r="B6269" s="138">
        <f>'Acct Summary 7-8'!E82</f>
        <v>-2127</v>
      </c>
      <c r="D6269" s="2" t="str">
        <f t="shared" si="96"/>
        <v>Error?</v>
      </c>
      <c r="E6269" s="2" t="s">
        <v>190</v>
      </c>
    </row>
    <row r="6270" spans="1:5" x14ac:dyDescent="0.2">
      <c r="A6270">
        <v>6209</v>
      </c>
      <c r="B6270" s="138">
        <f>'Acct Summary 7-8'!F82</f>
        <v>222449</v>
      </c>
      <c r="D6270" s="2" t="str">
        <f t="shared" si="96"/>
        <v>Error?</v>
      </c>
      <c r="E6270" s="2" t="s">
        <v>190</v>
      </c>
    </row>
    <row r="6271" spans="1:5" x14ac:dyDescent="0.2">
      <c r="A6271">
        <v>6210</v>
      </c>
      <c r="B6271" s="138">
        <f>'Acct Summary 7-8'!G82</f>
        <v>-206476</v>
      </c>
      <c r="D6271" s="2" t="str">
        <f t="shared" ref="D6271:D6334" si="97">IF(ISBLANK(B6271),"OK",IF(A6271-B6271=0,"OK","Error?"))</f>
        <v>Error?</v>
      </c>
      <c r="E6271" s="2" t="s">
        <v>190</v>
      </c>
    </row>
    <row r="6272" spans="1:5" x14ac:dyDescent="0.2">
      <c r="A6272">
        <v>6211</v>
      </c>
      <c r="B6272" s="138">
        <f>'Acct Summary 7-8'!H82</f>
        <v>572560</v>
      </c>
      <c r="D6272" s="2" t="str">
        <f t="shared" si="97"/>
        <v>Error?</v>
      </c>
      <c r="E6272" s="2" t="s">
        <v>190</v>
      </c>
    </row>
    <row r="6273" spans="1:5" x14ac:dyDescent="0.2">
      <c r="A6273">
        <v>6212</v>
      </c>
      <c r="B6273" s="138">
        <f>'Acct Summary 7-8'!I82</f>
        <v>1439709</v>
      </c>
      <c r="D6273" s="2" t="str">
        <f t="shared" si="97"/>
        <v>Error?</v>
      </c>
      <c r="E6273" s="2" t="s">
        <v>190</v>
      </c>
    </row>
    <row r="6274" spans="1:5" x14ac:dyDescent="0.2">
      <c r="A6274">
        <v>6213</v>
      </c>
      <c r="B6274" s="138">
        <f>'Acct Summary 7-8'!J82</f>
        <v>-134290</v>
      </c>
      <c r="D6274" s="2" t="str">
        <f t="shared" si="97"/>
        <v>Error?</v>
      </c>
      <c r="E6274" s="2" t="s">
        <v>190</v>
      </c>
    </row>
    <row r="6275" spans="1:5" x14ac:dyDescent="0.2">
      <c r="A6275">
        <v>6214</v>
      </c>
      <c r="B6275" s="138">
        <f>'Acct Summary 7-8'!K82</f>
        <v>-740489</v>
      </c>
      <c r="D6275" s="2" t="str">
        <f t="shared" si="97"/>
        <v>Error?</v>
      </c>
      <c r="E6275" s="2" t="s">
        <v>190</v>
      </c>
    </row>
    <row r="6276" spans="1:5" x14ac:dyDescent="0.2">
      <c r="A6276">
        <v>6215</v>
      </c>
      <c r="B6276" s="138">
        <f>'Acct Summary 7-8'!C83</f>
        <v>0.23977119580125519</v>
      </c>
      <c r="D6276" s="2" t="str">
        <f t="shared" si="97"/>
        <v>Error?</v>
      </c>
      <c r="E6276" s="2" t="s">
        <v>190</v>
      </c>
    </row>
    <row r="6277" spans="1:5" x14ac:dyDescent="0.2">
      <c r="A6277">
        <v>6216</v>
      </c>
      <c r="B6277" s="138">
        <f>'Acct Summary 7-8'!D83</f>
        <v>7.4475577721094907E-2</v>
      </c>
      <c r="D6277" s="2" t="str">
        <f t="shared" si="97"/>
        <v>Error?</v>
      </c>
      <c r="E6277" s="2" t="s">
        <v>190</v>
      </c>
    </row>
    <row r="6278" spans="1:5" x14ac:dyDescent="0.2">
      <c r="A6278">
        <v>6217</v>
      </c>
      <c r="B6278" s="138">
        <f>'Acct Summary 7-8'!E83</f>
        <v>0.25324443386117396</v>
      </c>
      <c r="D6278" s="2" t="str">
        <f t="shared" si="97"/>
        <v>Error?</v>
      </c>
      <c r="E6278" s="2" t="s">
        <v>190</v>
      </c>
    </row>
    <row r="6279" spans="1:5" x14ac:dyDescent="0.2">
      <c r="A6279">
        <v>6218</v>
      </c>
      <c r="B6279" s="138">
        <f>'Acct Summary 7-8'!F83</f>
        <v>0.15736970338383524</v>
      </c>
      <c r="D6279" s="2" t="str">
        <f t="shared" si="97"/>
        <v>Error?</v>
      </c>
      <c r="E6279" s="2" t="s">
        <v>190</v>
      </c>
    </row>
    <row r="6280" spans="1:5" x14ac:dyDescent="0.2">
      <c r="A6280">
        <v>6219</v>
      </c>
      <c r="B6280" s="138">
        <f>'Acct Summary 7-8'!G83</f>
        <v>-0.38353914968867492</v>
      </c>
      <c r="D6280" s="2" t="str">
        <f t="shared" si="97"/>
        <v>Error?</v>
      </c>
      <c r="E6280" s="2" t="s">
        <v>190</v>
      </c>
    </row>
    <row r="6281" spans="1:5" x14ac:dyDescent="0.2">
      <c r="A6281">
        <v>6220</v>
      </c>
      <c r="B6281" s="138">
        <f>'Acct Summary 7-8'!H83</f>
        <v>0.79546859652364554</v>
      </c>
      <c r="D6281" s="2" t="str">
        <f t="shared" si="97"/>
        <v>Error?</v>
      </c>
      <c r="E6281" s="2" t="s">
        <v>190</v>
      </c>
    </row>
    <row r="6282" spans="1:5" x14ac:dyDescent="0.2">
      <c r="A6282">
        <v>6221</v>
      </c>
      <c r="B6282" s="138">
        <f>'Acct Summary 7-8'!I83</f>
        <v>0.40796699559986671</v>
      </c>
      <c r="D6282" s="2" t="str">
        <f t="shared" si="97"/>
        <v>Error?</v>
      </c>
      <c r="E6282" s="2" t="s">
        <v>190</v>
      </c>
    </row>
    <row r="6283" spans="1:5" x14ac:dyDescent="0.2">
      <c r="A6283">
        <v>6222</v>
      </c>
      <c r="B6283" s="138">
        <f>'Acct Summary 7-8'!J83</f>
        <v>-18.88217097862767</v>
      </c>
      <c r="D6283" s="2" t="str">
        <f t="shared" si="97"/>
        <v>Error?</v>
      </c>
      <c r="E6283" s="2" t="s">
        <v>190</v>
      </c>
    </row>
    <row r="6284" spans="1:5" x14ac:dyDescent="0.2">
      <c r="A6284">
        <v>6223</v>
      </c>
      <c r="B6284" s="138">
        <f>'Acct Summary 7-8'!K83</f>
        <v>-0.92002325873227486</v>
      </c>
      <c r="D6284" s="2" t="str">
        <f t="shared" si="97"/>
        <v>Error?</v>
      </c>
      <c r="E6284" s="2" t="s">
        <v>190</v>
      </c>
    </row>
    <row r="6285" spans="1:5" x14ac:dyDescent="0.2">
      <c r="A6285">
        <v>6224</v>
      </c>
      <c r="B6285" s="138">
        <f>'Acct Summary 7-8'!E37</f>
        <v>46000</v>
      </c>
      <c r="D6285" s="2" t="str">
        <f t="shared" si="97"/>
        <v>Error?</v>
      </c>
      <c r="E6285" s="2" t="s">
        <v>190</v>
      </c>
    </row>
    <row r="6286" spans="1:5" x14ac:dyDescent="0.2">
      <c r="A6286">
        <v>6225</v>
      </c>
      <c r="B6286" s="138">
        <f>'Acct Summary 7-8'!E38</f>
        <v>9133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722344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722344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2827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2827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2800</v>
      </c>
      <c r="D6339" s="2" t="str">
        <f t="shared" si="98"/>
        <v>Error?</v>
      </c>
      <c r="E6339" s="2" t="s">
        <v>190</v>
      </c>
    </row>
    <row r="6340" spans="1:5" x14ac:dyDescent="0.2">
      <c r="A6340">
        <v>6279</v>
      </c>
      <c r="B6340" s="138">
        <f>'Revenues 9-14'!C102</f>
        <v>2000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58</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725171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19005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292692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385027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43025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198377</v>
      </c>
      <c r="D6880" s="2" t="str">
        <f t="shared" si="106"/>
        <v>Error?</v>
      </c>
    </row>
    <row r="6881" spans="1:4" x14ac:dyDescent="0.2">
      <c r="A6881">
        <v>6820</v>
      </c>
      <c r="B6881" s="138">
        <f>'Expenditures 15-22'!K22</f>
        <v>198377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12598</v>
      </c>
      <c r="D6987" s="2" t="str">
        <f t="shared" si="108"/>
        <v>Error?</v>
      </c>
    </row>
    <row r="6988" spans="1:4" x14ac:dyDescent="0.2">
      <c r="A6988">
        <v>6927</v>
      </c>
      <c r="B6988" s="138">
        <f>'Expenditures 15-22'!K88</f>
        <v>12598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12598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709461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725171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15371</v>
      </c>
      <c r="D7073" s="2" t="str">
        <f t="shared" si="109"/>
        <v>Error?</v>
      </c>
    </row>
    <row r="7074" spans="1:4" x14ac:dyDescent="0.2">
      <c r="A7074">
        <v>7013</v>
      </c>
      <c r="B7074" s="138">
        <f>'Expenditures 15-22'!K216</f>
        <v>15371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545</v>
      </c>
      <c r="D7079" s="2" t="str">
        <f t="shared" si="109"/>
        <v>Error?</v>
      </c>
    </row>
    <row r="7080" spans="1:4" x14ac:dyDescent="0.2">
      <c r="A7080">
        <v>7019</v>
      </c>
      <c r="B7080" s="138">
        <f>'Expenditures 15-22'!K226</f>
        <v>545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50629</v>
      </c>
      <c r="D7093" s="2" t="str">
        <f t="shared" si="109"/>
        <v>Error?</v>
      </c>
    </row>
    <row r="7094" spans="1:4" x14ac:dyDescent="0.2">
      <c r="A7094">
        <v>7033</v>
      </c>
      <c r="B7094" s="138">
        <f>'Expenditures 15-22'!K254</f>
        <v>50629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93098</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93098</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80025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80025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19090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19090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429314</v>
      </c>
      <c r="D7172" s="2" t="str">
        <f t="shared" si="111"/>
        <v>Error?</v>
      </c>
    </row>
    <row r="7173" spans="1:4" x14ac:dyDescent="0.2">
      <c r="A7173">
        <v>7112</v>
      </c>
      <c r="B7173" s="138">
        <f>'Expenditures 15-22'!D325</f>
        <v>39744</v>
      </c>
      <c r="D7173" s="2" t="str">
        <f t="shared" si="111"/>
        <v>Error?</v>
      </c>
    </row>
    <row r="7174" spans="1:4" x14ac:dyDescent="0.2">
      <c r="A7174">
        <v>7113</v>
      </c>
      <c r="B7174" s="138">
        <f>'Expenditures 15-22'!E325</f>
        <v>777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4815</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474650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31458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31458</v>
      </c>
      <c r="D7198" s="2" t="str">
        <f t="shared" si="111"/>
        <v>Error?</v>
      </c>
    </row>
    <row r="7199" spans="1:4" x14ac:dyDescent="0.2">
      <c r="A7199">
        <v>7138</v>
      </c>
      <c r="B7199" s="138">
        <f>'Expenditures 15-22'!C330</f>
        <v>429314</v>
      </c>
      <c r="D7199" s="2" t="str">
        <f t="shared" si="111"/>
        <v>Error?</v>
      </c>
    </row>
    <row r="7200" spans="1:4" x14ac:dyDescent="0.2">
      <c r="A7200">
        <v>7139</v>
      </c>
      <c r="B7200" s="138">
        <f>'Expenditures 15-22'!D330</f>
        <v>39744</v>
      </c>
      <c r="D7200" s="2" t="str">
        <f t="shared" si="111"/>
        <v>Error?</v>
      </c>
    </row>
    <row r="7201" spans="1:4" x14ac:dyDescent="0.2">
      <c r="A7201">
        <v>7140</v>
      </c>
      <c r="B7201" s="138">
        <f>'Expenditures 15-22'!E330</f>
        <v>235588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4815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709461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429314</v>
      </c>
      <c r="D7216" s="2" t="str">
        <f t="shared" si="111"/>
        <v>Error?</v>
      </c>
    </row>
    <row r="7217" spans="1:4" x14ac:dyDescent="0.2">
      <c r="A7217">
        <v>7156</v>
      </c>
      <c r="B7217" s="138">
        <f>'Expenditures 15-22'!D342</f>
        <v>39744</v>
      </c>
      <c r="D7217" s="2" t="str">
        <f t="shared" si="111"/>
        <v>Error?</v>
      </c>
    </row>
    <row r="7218" spans="1:4" x14ac:dyDescent="0.2">
      <c r="A7218">
        <v>7157</v>
      </c>
      <c r="B7218" s="138">
        <f>'Expenditures 15-22'!E342</f>
        <v>235588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4815</v>
      </c>
      <c r="D7220" s="2" t="str">
        <f t="shared" si="111"/>
        <v>Error?</v>
      </c>
    </row>
    <row r="7221" spans="1:4" x14ac:dyDescent="0.2">
      <c r="A7221">
        <v>7160</v>
      </c>
      <c r="B7221" s="138">
        <f>'Expenditures 15-22'!H342</f>
        <v>150000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859461</v>
      </c>
      <c r="D7224" s="2" t="str">
        <f t="shared" si="111"/>
        <v>Error?</v>
      </c>
    </row>
    <row r="7225" spans="1:4" x14ac:dyDescent="0.2">
      <c r="A7225">
        <v>7164</v>
      </c>
      <c r="B7225" s="138">
        <f>'Expenditures 15-22'!K343</f>
        <v>-134290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27744</v>
      </c>
      <c r="D7246" s="2" t="str">
        <f t="shared" si="112"/>
        <v>Error?</v>
      </c>
    </row>
    <row r="7247" spans="1:4" x14ac:dyDescent="0.2">
      <c r="A7247">
        <f t="shared" si="113"/>
        <v>7186</v>
      </c>
      <c r="B7247" s="138">
        <f>'Expenditures 15-22'!E7</f>
        <v>790</v>
      </c>
      <c r="D7247" s="2" t="str">
        <f t="shared" si="112"/>
        <v>Error?</v>
      </c>
    </row>
    <row r="7248" spans="1:4" x14ac:dyDescent="0.2">
      <c r="A7248">
        <f t="shared" si="113"/>
        <v>7187</v>
      </c>
      <c r="B7248" s="138">
        <f>'Expenditures 15-22'!F7</f>
        <v>29064</v>
      </c>
      <c r="D7248" s="2" t="str">
        <f t="shared" si="112"/>
        <v>Error?</v>
      </c>
    </row>
    <row r="7249" spans="1:4" x14ac:dyDescent="0.2">
      <c r="A7249">
        <f t="shared" si="113"/>
        <v>7188</v>
      </c>
      <c r="B7249" s="138">
        <f>'Expenditures 15-22'!G7</f>
        <v>34737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38004</v>
      </c>
      <c r="D7263" s="2" t="str">
        <f t="shared" si="112"/>
        <v>Error?</v>
      </c>
    </row>
    <row r="7264" spans="1:4" x14ac:dyDescent="0.2">
      <c r="A7264">
        <f t="shared" si="113"/>
        <v>7203</v>
      </c>
      <c r="B7264" s="138">
        <f>'Expenditures 15-22'!D17</f>
        <v>4177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844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952780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5580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5580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147217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2800</v>
      </c>
      <c r="D7712" s="2" t="str">
        <f t="shared" si="126"/>
        <v>Error?</v>
      </c>
      <c r="E7712" s="2" t="s">
        <v>827</v>
      </c>
    </row>
    <row r="7713" spans="1:6" x14ac:dyDescent="0.2">
      <c r="A7713">
        <v>7652</v>
      </c>
      <c r="B7713" s="138">
        <f>'Rest Tax Levies-Tort Im 25'!J8</f>
        <v>628201</v>
      </c>
      <c r="D7713" s="2" t="str">
        <f t="shared" si="126"/>
        <v>Error?</v>
      </c>
      <c r="E7713" s="2" t="s">
        <v>827</v>
      </c>
    </row>
    <row r="7714" spans="1:6" x14ac:dyDescent="0.2">
      <c r="A7714">
        <v>7653</v>
      </c>
      <c r="B7714" s="138">
        <f>'Rest Tax Levies-Tort Im 25'!K9</f>
        <v>32123</v>
      </c>
      <c r="D7714" s="2" t="str">
        <f t="shared" si="126"/>
        <v>Error?</v>
      </c>
      <c r="E7714" s="2" t="s">
        <v>827</v>
      </c>
    </row>
    <row r="7715" spans="1:6" x14ac:dyDescent="0.2">
      <c r="A7715">
        <v>7654</v>
      </c>
      <c r="B7715" s="138">
        <f>'Rest Tax Levies-Tort Im 25'!J10</f>
        <v>636515</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1264716</v>
      </c>
      <c r="D7718" s="2" t="str">
        <f t="shared" si="126"/>
        <v>Error?</v>
      </c>
      <c r="E7718" s="2" t="s">
        <v>827</v>
      </c>
    </row>
    <row r="7719" spans="1:6" x14ac:dyDescent="0.2">
      <c r="A7719">
        <v>7658</v>
      </c>
      <c r="B7719" s="138">
        <f>'Rest Tax Levies-Tort Im 25'!K12</f>
        <v>34923</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34923</v>
      </c>
      <c r="D7721" s="2" t="str">
        <f t="shared" si="126"/>
        <v>Error?</v>
      </c>
      <c r="E7721" s="2" t="s">
        <v>827</v>
      </c>
    </row>
    <row r="7722" spans="1:6" x14ac:dyDescent="0.2">
      <c r="A7722">
        <v>7661</v>
      </c>
      <c r="B7722" s="138">
        <f>'Rest Tax Levies-Tort Im 25'!J15</f>
        <v>692156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692156</v>
      </c>
      <c r="D7730" s="2" t="str">
        <f t="shared" si="126"/>
        <v>Error?</v>
      </c>
      <c r="E7730" s="2" t="s">
        <v>827</v>
      </c>
    </row>
    <row r="7731" spans="1:6" x14ac:dyDescent="0.2">
      <c r="A7731">
        <v>7670</v>
      </c>
      <c r="B7731" s="138">
        <f>'Revenues 9-14'!H103</f>
        <v>628201</v>
      </c>
      <c r="D7731" s="2" t="str">
        <f t="shared" si="126"/>
        <v>Error?</v>
      </c>
      <c r="E7731" s="2" t="s">
        <v>827</v>
      </c>
    </row>
    <row r="7732" spans="1:6" x14ac:dyDescent="0.2">
      <c r="A7732">
        <v>7671</v>
      </c>
      <c r="B7732" s="138">
        <f>'Rest Tax Levies-Tort Im 25'!J24</f>
        <v>719777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719777</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25085</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634000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150000</v>
      </c>
      <c r="D7787" s="2" t="str">
        <f t="shared" si="127"/>
        <v>Error?</v>
      </c>
      <c r="E7787" s="4" t="s">
        <v>1851</v>
      </c>
    </row>
    <row r="7788" spans="1:5" x14ac:dyDescent="0.2">
      <c r="A7788">
        <v>7727</v>
      </c>
      <c r="B7788" s="138">
        <f>'Expenditures 15-22'!K333</f>
        <v>150000</v>
      </c>
      <c r="D7788" s="2" t="str">
        <f t="shared" si="127"/>
        <v>Error?</v>
      </c>
      <c r="E7788" s="4" t="s">
        <v>1851</v>
      </c>
    </row>
    <row r="7789" spans="1:5" x14ac:dyDescent="0.2">
      <c r="A7789">
        <v>7728</v>
      </c>
      <c r="B7789" s="138">
        <f>'Expenditures 15-22'!H334</f>
        <v>150000</v>
      </c>
      <c r="D7789" s="2" t="str">
        <f t="shared" si="127"/>
        <v>Error?</v>
      </c>
      <c r="E7789" s="4" t="s">
        <v>1851</v>
      </c>
    </row>
    <row r="7790" spans="1:5" x14ac:dyDescent="0.2">
      <c r="A7790">
        <v>7729</v>
      </c>
      <c r="B7790" s="138">
        <f>'Expenditures 15-22'!K334</f>
        <v>150000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150000</v>
      </c>
      <c r="D7796" s="2" t="str">
        <f t="shared" si="127"/>
        <v>Error?</v>
      </c>
      <c r="E7796" s="4" t="s">
        <v>1851</v>
      </c>
    </row>
    <row r="7797" spans="1:5" x14ac:dyDescent="0.2">
      <c r="A7797">
        <v>7736</v>
      </c>
      <c r="B7797" s="138">
        <f>'Contracts Paid in CY 29'!D35</f>
        <v>363475</v>
      </c>
      <c r="D7797" s="2" t="str">
        <f t="shared" si="127"/>
        <v>Error?</v>
      </c>
      <c r="E7797" s="4" t="s">
        <v>1900</v>
      </c>
    </row>
    <row r="7798" spans="1:5" x14ac:dyDescent="0.2">
      <c r="A7798">
        <v>7737</v>
      </c>
      <c r="B7798" s="138">
        <f>'Contracts Paid in CY 29'!F35</f>
        <v>50000</v>
      </c>
      <c r="D7798" s="2" t="str">
        <f t="shared" si="127"/>
        <v>Error?</v>
      </c>
      <c r="E7798" s="4" t="s">
        <v>1900</v>
      </c>
    </row>
    <row r="7799" spans="1:5" x14ac:dyDescent="0.2">
      <c r="A7799">
        <v>7738</v>
      </c>
      <c r="B7799" s="138">
        <f>'Contracts Paid in CY 29'!G35</f>
        <v>313475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B4" sqref="B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1984</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Monmouth-Roseville CUSD 238</v>
      </c>
      <c r="B7" s="2403"/>
      <c r="C7" s="2403"/>
      <c r="D7" s="2404"/>
      <c r="E7" s="2405">
        <f>COVER!A13</f>
        <v>33094238026</v>
      </c>
      <c r="F7" s="2406"/>
      <c r="G7" s="2412">
        <f>COVER!T23</f>
        <v>60.008476000000002</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Cavanaugh, Davies, Blackman &amp; Cramblet</v>
      </c>
      <c r="H9" s="2418"/>
      <c r="I9" s="2418"/>
      <c r="J9" s="2418"/>
      <c r="K9" s="2418"/>
      <c r="L9" s="2419"/>
    </row>
    <row r="10" spans="1:29" ht="13.5" customHeight="1" x14ac:dyDescent="0.2">
      <c r="A10" s="2392" t="str">
        <f>COVER!A38</f>
        <v>Mr. Edward Fletcher</v>
      </c>
      <c r="B10" s="2393"/>
      <c r="C10" s="2393"/>
      <c r="D10" s="2393"/>
      <c r="E10" s="2393"/>
      <c r="F10" s="2394"/>
      <c r="G10" s="2386" t="str">
        <f>COVER!T17</f>
        <v>1021 N. Main St., PO Box 318</v>
      </c>
      <c r="H10" s="2387"/>
      <c r="I10" s="2387"/>
      <c r="J10" s="2387"/>
      <c r="K10" s="2387"/>
      <c r="L10" s="2388"/>
    </row>
    <row r="11" spans="1:29" ht="13.5" customHeight="1" x14ac:dyDescent="0.2">
      <c r="A11" s="1184" t="s">
        <v>1519</v>
      </c>
      <c r="B11" s="1185"/>
      <c r="C11" s="1186"/>
      <c r="D11" s="1191"/>
      <c r="E11" s="1186"/>
      <c r="F11" s="1190"/>
      <c r="G11" s="2386" t="str">
        <f>COVER!T19</f>
        <v>Monmouth</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cdbccpas@monmouthcpa.com</v>
      </c>
      <c r="J13" s="2399"/>
      <c r="K13" s="2399"/>
      <c r="L13" s="2400"/>
    </row>
    <row r="14" spans="1:29" ht="13.5" customHeight="1" x14ac:dyDescent="0.2">
      <c r="A14" s="2386" t="str">
        <f>COVER!A19</f>
        <v>105 North E. St</v>
      </c>
      <c r="B14" s="2387"/>
      <c r="C14" s="2387"/>
      <c r="D14" s="2387"/>
      <c r="E14" s="2387"/>
      <c r="F14" s="2388"/>
      <c r="G14" s="1195" t="s">
        <v>1185</v>
      </c>
      <c r="H14" s="1193"/>
      <c r="I14" s="1193"/>
      <c r="J14" s="1193"/>
      <c r="K14" s="1193"/>
      <c r="L14" s="1194"/>
    </row>
    <row r="15" spans="1:29" ht="13.5" customHeight="1" x14ac:dyDescent="0.2">
      <c r="A15" s="2386" t="str">
        <f>COVER!A21</f>
        <v>Monmouth</v>
      </c>
      <c r="B15" s="2387"/>
      <c r="C15" s="2387"/>
      <c r="D15" s="2387"/>
      <c r="E15" s="2387"/>
      <c r="F15" s="2388"/>
      <c r="G15" s="2383" t="str">
        <f>COVER!T15</f>
        <v>Rod Davies</v>
      </c>
      <c r="H15" s="2384"/>
      <c r="I15" s="2384"/>
      <c r="J15" s="2384"/>
      <c r="K15" s="2384"/>
      <c r="L15" s="2385"/>
    </row>
    <row r="16" spans="1:29" ht="12.2" customHeight="1" x14ac:dyDescent="0.2">
      <c r="A16" s="2408">
        <f>COVER!A25</f>
        <v>61462</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309-734-2330</v>
      </c>
      <c r="H18" s="2403"/>
      <c r="I18" s="2403"/>
      <c r="J18" s="2403"/>
      <c r="K18" s="2402" t="str">
        <f>COVER!X21</f>
        <v>309-734-2349</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4" sqref="B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Monmouth-Roseville CUSD 238</v>
      </c>
      <c r="B1" s="2401"/>
      <c r="C1" s="2401"/>
      <c r="D1" s="2401"/>
    </row>
    <row r="2" spans="1:11" s="1212" customFormat="1" ht="12.75" x14ac:dyDescent="0.2">
      <c r="A2" s="2425">
        <f>'Single Audit Cover'!E7</f>
        <v>33094238026</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0" zoomScale="110" zoomScaleNormal="110" zoomScaleSheetLayoutView="100" workbookViewId="0">
      <selection activeCell="A4" sqref="A4:E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Monmouth-Roseville CUSD 238</v>
      </c>
      <c r="B1" s="2428"/>
      <c r="C1" s="2428"/>
      <c r="D1" s="2428"/>
      <c r="E1" s="2428"/>
    </row>
    <row r="2" spans="1:5" x14ac:dyDescent="0.2">
      <c r="A2" s="2429">
        <f>'Single Audit Cover'!E7</f>
        <v>33094238026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1435040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64338</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-1440</v>
      </c>
    </row>
    <row r="19" spans="1:4" ht="13.5" thickBot="1" x14ac:dyDescent="0.25">
      <c r="A19" s="1262" t="s">
        <v>1235</v>
      </c>
      <c r="D19" s="1263">
        <f>SUM(D10:D17)</f>
        <v>1497938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2145</v>
      </c>
      <c r="B24" s="2430"/>
      <c r="D24" s="1265">
        <v>-10060</v>
      </c>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1487878</v>
      </c>
    </row>
    <row r="33" spans="1:4" x14ac:dyDescent="0.2">
      <c r="D33" s="1266"/>
    </row>
    <row r="34" spans="1:4" x14ac:dyDescent="0.2">
      <c r="A34" s="317" t="s">
        <v>1232</v>
      </c>
    </row>
    <row r="35" spans="1:4" x14ac:dyDescent="0.2">
      <c r="A35" s="317" t="s">
        <v>1231</v>
      </c>
      <c r="B35" s="1255" t="s">
        <v>1230</v>
      </c>
      <c r="D35" s="1267">
        <v>1488038</v>
      </c>
    </row>
    <row r="37" spans="1:4" x14ac:dyDescent="0.2">
      <c r="A37" s="1257" t="s">
        <v>1229</v>
      </c>
    </row>
    <row r="39" spans="1:4" ht="13.35" customHeight="1" x14ac:dyDescent="0.2">
      <c r="A39" s="1264" t="s">
        <v>1228</v>
      </c>
    </row>
    <row r="40" spans="1:4" x14ac:dyDescent="0.2">
      <c r="A40" s="2427" t="s">
        <v>2146</v>
      </c>
      <c r="B40" s="2427"/>
      <c r="D40" s="1265">
        <v>-160</v>
      </c>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1487878</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5"/>
  <sheetViews>
    <sheetView showGridLines="0" topLeftCell="A14" zoomScaleNormal="100" workbookViewId="0">
      <selection activeCell="B4" sqref="B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Monmouth-Roseville CUSD 238</v>
      </c>
      <c r="C1" s="2432"/>
      <c r="D1" s="2432"/>
      <c r="E1" s="2432"/>
      <c r="F1" s="2432"/>
      <c r="G1" s="2432"/>
      <c r="H1" s="2432"/>
      <c r="I1" s="2432"/>
      <c r="J1" s="2432"/>
      <c r="K1" s="2432"/>
      <c r="L1" s="2432"/>
      <c r="M1" s="2432"/>
    </row>
    <row r="2" spans="2:14" ht="15" x14ac:dyDescent="0.2">
      <c r="B2" s="2433">
        <f>'Single Audit Cover'!E7</f>
        <v>33094238026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2084</v>
      </c>
      <c r="C11" s="1335"/>
      <c r="D11" s="1336"/>
      <c r="E11" s="1337"/>
      <c r="F11" s="1337"/>
      <c r="G11" s="1337"/>
      <c r="H11" s="1337"/>
      <c r="I11" s="1337"/>
      <c r="J11" s="1337"/>
      <c r="K11" s="1337"/>
      <c r="L11" s="1337">
        <f>+G11+I11+K11</f>
        <v>0</v>
      </c>
      <c r="M11" s="1337"/>
    </row>
    <row r="12" spans="2:14" ht="20.100000000000001" customHeight="1" x14ac:dyDescent="0.2">
      <c r="B12" s="1334" t="s">
        <v>2085</v>
      </c>
      <c r="C12" s="1338">
        <v>84.358000000000004</v>
      </c>
      <c r="D12" s="1339" t="s">
        <v>2086</v>
      </c>
      <c r="E12" s="1340"/>
      <c r="F12" s="1340">
        <v>17301</v>
      </c>
      <c r="G12" s="1340"/>
      <c r="H12" s="1340"/>
      <c r="I12" s="1340">
        <v>24320</v>
      </c>
      <c r="J12" s="1340"/>
      <c r="K12" s="1340"/>
      <c r="L12" s="1337">
        <f t="shared" ref="L12:L30" si="0">+G12+I12+K12</f>
        <v>24320</v>
      </c>
      <c r="M12" s="1340">
        <v>29618</v>
      </c>
    </row>
    <row r="13" spans="2:14" ht="20.100000000000001" customHeight="1" x14ac:dyDescent="0.2">
      <c r="B13" s="1334" t="s">
        <v>918</v>
      </c>
      <c r="C13" s="1338">
        <v>84.01</v>
      </c>
      <c r="D13" s="1339" t="s">
        <v>2087</v>
      </c>
      <c r="E13" s="1340">
        <v>270980</v>
      </c>
      <c r="F13" s="1340">
        <v>232073</v>
      </c>
      <c r="G13" s="1340">
        <v>375732</v>
      </c>
      <c r="H13" s="1340"/>
      <c r="I13" s="1340">
        <v>127321</v>
      </c>
      <c r="J13" s="1340"/>
      <c r="K13" s="1340"/>
      <c r="L13" s="1337">
        <f t="shared" si="0"/>
        <v>503053</v>
      </c>
      <c r="M13" s="1340">
        <v>587640</v>
      </c>
    </row>
    <row r="14" spans="2:14" ht="20.100000000000001" customHeight="1" x14ac:dyDescent="0.2">
      <c r="B14" s="1334" t="s">
        <v>918</v>
      </c>
      <c r="C14" s="1338">
        <v>84.01</v>
      </c>
      <c r="D14" s="1339" t="s">
        <v>2088</v>
      </c>
      <c r="E14" s="1340"/>
      <c r="F14" s="1340">
        <v>329619</v>
      </c>
      <c r="G14" s="1340"/>
      <c r="H14" s="1340"/>
      <c r="I14" s="1340">
        <v>431897</v>
      </c>
      <c r="J14" s="1340"/>
      <c r="K14" s="1340">
        <v>67795</v>
      </c>
      <c r="L14" s="1337">
        <f t="shared" si="0"/>
        <v>499692</v>
      </c>
      <c r="M14" s="1340">
        <v>585518</v>
      </c>
    </row>
    <row r="15" spans="2:14" ht="20.100000000000001" customHeight="1" x14ac:dyDescent="0.2">
      <c r="B15" s="1334" t="s">
        <v>2089</v>
      </c>
      <c r="C15" s="1338">
        <v>84.364999999999995</v>
      </c>
      <c r="D15" s="1339" t="s">
        <v>2090</v>
      </c>
      <c r="E15" s="1340">
        <v>145</v>
      </c>
      <c r="F15" s="1340"/>
      <c r="G15" s="1340">
        <v>145</v>
      </c>
      <c r="H15" s="1340"/>
      <c r="I15" s="1340"/>
      <c r="J15" s="1340"/>
      <c r="K15" s="1340"/>
      <c r="L15" s="1337">
        <f>+G15+I15+K15</f>
        <v>145</v>
      </c>
      <c r="M15" s="1340">
        <v>145</v>
      </c>
    </row>
    <row r="16" spans="2:14" ht="20.100000000000001" customHeight="1" x14ac:dyDescent="0.2">
      <c r="B16" s="1334" t="s">
        <v>2089</v>
      </c>
      <c r="C16" s="1338">
        <v>84.364999999999995</v>
      </c>
      <c r="D16" s="1339" t="s">
        <v>2091</v>
      </c>
      <c r="E16" s="1340"/>
      <c r="F16" s="1340">
        <v>131</v>
      </c>
      <c r="G16" s="1340"/>
      <c r="H16" s="1340"/>
      <c r="I16" s="1340">
        <v>5490</v>
      </c>
      <c r="J16" s="1340"/>
      <c r="K16" s="1340"/>
      <c r="L16" s="1337">
        <f t="shared" si="0"/>
        <v>5490</v>
      </c>
      <c r="M16" s="1340">
        <v>7800</v>
      </c>
    </row>
    <row r="17" spans="2:14" ht="20.100000000000001" customHeight="1" x14ac:dyDescent="0.2">
      <c r="B17" s="1334" t="s">
        <v>2093</v>
      </c>
      <c r="C17" s="1338">
        <v>84.364999999999995</v>
      </c>
      <c r="D17" s="1339" t="s">
        <v>2092</v>
      </c>
      <c r="E17" s="1340">
        <v>43055</v>
      </c>
      <c r="F17" s="1340">
        <v>6350</v>
      </c>
      <c r="G17" s="1340">
        <v>49384</v>
      </c>
      <c r="H17" s="1340"/>
      <c r="I17" s="1340">
        <v>21</v>
      </c>
      <c r="J17" s="1340"/>
      <c r="K17" s="1340"/>
      <c r="L17" s="1337">
        <f t="shared" si="0"/>
        <v>49405</v>
      </c>
      <c r="M17" s="1340">
        <v>49405</v>
      </c>
    </row>
    <row r="18" spans="2:14" ht="20.100000000000001" customHeight="1" x14ac:dyDescent="0.2">
      <c r="B18" s="1334" t="s">
        <v>2093</v>
      </c>
      <c r="C18" s="1338">
        <v>84.364999999999995</v>
      </c>
      <c r="D18" s="1339" t="s">
        <v>2094</v>
      </c>
      <c r="E18" s="1340"/>
      <c r="F18" s="1340">
        <v>18683</v>
      </c>
      <c r="G18" s="1340"/>
      <c r="H18" s="1340"/>
      <c r="I18" s="1340">
        <v>26615</v>
      </c>
      <c r="J18" s="1340"/>
      <c r="K18" s="1340"/>
      <c r="L18" s="1337">
        <f t="shared" si="0"/>
        <v>26615</v>
      </c>
      <c r="M18" s="1340">
        <v>35300</v>
      </c>
    </row>
    <row r="19" spans="2:14" ht="20.100000000000001" customHeight="1" x14ac:dyDescent="0.2">
      <c r="B19" s="1334" t="s">
        <v>758</v>
      </c>
      <c r="C19" s="1338">
        <v>84.367000000000004</v>
      </c>
      <c r="D19" s="1339" t="s">
        <v>2095</v>
      </c>
      <c r="E19" s="1340">
        <v>61208</v>
      </c>
      <c r="F19" s="1340">
        <v>14962</v>
      </c>
      <c r="G19" s="1340">
        <v>76170</v>
      </c>
      <c r="H19" s="1340"/>
      <c r="I19" s="1340"/>
      <c r="J19" s="1340"/>
      <c r="K19" s="1340"/>
      <c r="L19" s="1337">
        <f t="shared" si="0"/>
        <v>76170</v>
      </c>
      <c r="M19" s="1340">
        <v>76170</v>
      </c>
    </row>
    <row r="20" spans="2:14" ht="20.100000000000001" customHeight="1" x14ac:dyDescent="0.2">
      <c r="B20" s="1334" t="s">
        <v>758</v>
      </c>
      <c r="C20" s="1338">
        <v>84.367000000000004</v>
      </c>
      <c r="D20" s="1339" t="s">
        <v>2096</v>
      </c>
      <c r="E20" s="1340"/>
      <c r="F20" s="1340">
        <v>55865</v>
      </c>
      <c r="G20" s="1340"/>
      <c r="H20" s="1340"/>
      <c r="I20" s="1340">
        <v>71907</v>
      </c>
      <c r="J20" s="1340"/>
      <c r="K20" s="1340"/>
      <c r="L20" s="1337">
        <f t="shared" si="0"/>
        <v>71907</v>
      </c>
      <c r="M20" s="1340">
        <v>71907</v>
      </c>
    </row>
    <row r="21" spans="2:14" ht="20.100000000000001" customHeight="1" x14ac:dyDescent="0.2">
      <c r="B21" s="1334" t="s">
        <v>2097</v>
      </c>
      <c r="C21" s="1338">
        <v>84.027000000000001</v>
      </c>
      <c r="D21" s="1339" t="s">
        <v>2098</v>
      </c>
      <c r="E21" s="1340">
        <v>26913</v>
      </c>
      <c r="F21" s="1340">
        <v>12795</v>
      </c>
      <c r="G21" s="1340">
        <v>39708</v>
      </c>
      <c r="H21" s="1340"/>
      <c r="I21" s="1340"/>
      <c r="J21" s="1340"/>
      <c r="K21" s="1340"/>
      <c r="L21" s="1337">
        <f t="shared" si="0"/>
        <v>39708</v>
      </c>
      <c r="M21" s="1340" t="s">
        <v>2099</v>
      </c>
    </row>
    <row r="22" spans="2:14" ht="20.100000000000001" customHeight="1" x14ac:dyDescent="0.2">
      <c r="B22" s="1334" t="s">
        <v>2100</v>
      </c>
      <c r="C22" s="1338">
        <v>84.424000000000007</v>
      </c>
      <c r="D22" s="1339" t="s">
        <v>2101</v>
      </c>
      <c r="E22" s="1340"/>
      <c r="F22" s="1340">
        <v>31742</v>
      </c>
      <c r="G22" s="1340"/>
      <c r="H22" s="1340"/>
      <c r="I22" s="1340">
        <v>41065</v>
      </c>
      <c r="J22" s="1340"/>
      <c r="K22" s="1340"/>
      <c r="L22" s="1337">
        <f t="shared" si="0"/>
        <v>41065</v>
      </c>
      <c r="M22" s="1340">
        <v>41553</v>
      </c>
    </row>
    <row r="23" spans="2:14" ht="20.100000000000001" customHeight="1" x14ac:dyDescent="0.2">
      <c r="B23" s="1334" t="s">
        <v>2100</v>
      </c>
      <c r="C23" s="1338">
        <v>84.424000000000007</v>
      </c>
      <c r="D23" s="1339" t="s">
        <v>2102</v>
      </c>
      <c r="E23" s="1340">
        <v>15660</v>
      </c>
      <c r="F23" s="1340">
        <v>1220</v>
      </c>
      <c r="G23" s="1340">
        <v>16880</v>
      </c>
      <c r="H23" s="1340"/>
      <c r="I23" s="1340"/>
      <c r="J23" s="1340"/>
      <c r="K23" s="1340"/>
      <c r="L23" s="1337">
        <f t="shared" si="0"/>
        <v>16880</v>
      </c>
      <c r="M23" s="1340">
        <v>18144</v>
      </c>
    </row>
    <row r="24" spans="2:14" ht="20.100000000000001" customHeight="1" x14ac:dyDescent="0.2">
      <c r="B24" s="1334" t="s">
        <v>2103</v>
      </c>
      <c r="C24" s="1338">
        <v>84.01</v>
      </c>
      <c r="D24" s="1339" t="s">
        <v>2104</v>
      </c>
      <c r="E24" s="1340"/>
      <c r="F24" s="1340">
        <v>8496</v>
      </c>
      <c r="G24" s="1340"/>
      <c r="H24" s="1340"/>
      <c r="I24" s="1340">
        <v>18160</v>
      </c>
      <c r="J24" s="1340"/>
      <c r="K24" s="1340">
        <v>11807</v>
      </c>
      <c r="L24" s="1337">
        <f t="shared" si="0"/>
        <v>29967</v>
      </c>
      <c r="M24" s="1340">
        <v>30000</v>
      </c>
    </row>
    <row r="25" spans="2:14" ht="20.100000000000001" customHeight="1" x14ac:dyDescent="0.2">
      <c r="B25" s="1334" t="s">
        <v>2105</v>
      </c>
      <c r="C25" s="1338"/>
      <c r="D25" s="1339"/>
      <c r="E25" s="1340">
        <f>SUM(E11:E24)</f>
        <v>417961</v>
      </c>
      <c r="F25" s="1340">
        <f>SUM(F11:F24)</f>
        <v>729237</v>
      </c>
      <c r="G25" s="1340">
        <f>SUM(G11:G24)</f>
        <v>558019</v>
      </c>
      <c r="H25" s="1340"/>
      <c r="I25" s="1340">
        <f>SUM(I11:I24)</f>
        <v>746796</v>
      </c>
      <c r="J25" s="1340"/>
      <c r="K25" s="1340">
        <f>SUM(K11:K24)</f>
        <v>79602</v>
      </c>
      <c r="L25" s="1337">
        <f>SUM(L11:L24)</f>
        <v>1384417</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2215</v>
      </c>
      <c r="C27" s="1338"/>
      <c r="D27" s="1339"/>
      <c r="E27" s="1340"/>
      <c r="F27" s="1340"/>
      <c r="G27" s="1340"/>
      <c r="H27" s="1340"/>
      <c r="I27" s="1340"/>
      <c r="J27" s="1340"/>
      <c r="K27" s="1340"/>
      <c r="L27" s="1337"/>
      <c r="M27" s="1340"/>
    </row>
    <row r="28" spans="2:14" ht="20.100000000000001" customHeight="1" x14ac:dyDescent="0.2">
      <c r="B28" s="1334" t="s">
        <v>2106</v>
      </c>
      <c r="C28" s="1338">
        <v>84.048000000000002</v>
      </c>
      <c r="D28" s="1339" t="s">
        <v>2107</v>
      </c>
      <c r="E28" s="1340"/>
      <c r="F28" s="1340">
        <v>315</v>
      </c>
      <c r="G28" s="1340"/>
      <c r="H28" s="1340"/>
      <c r="I28" s="1340">
        <v>315</v>
      </c>
      <c r="J28" s="1340"/>
      <c r="K28" s="1340"/>
      <c r="L28" s="1337">
        <f t="shared" si="0"/>
        <v>315</v>
      </c>
      <c r="M28" s="1340" t="s">
        <v>2099</v>
      </c>
    </row>
    <row r="29" spans="2:14" ht="20.100000000000001" customHeight="1" x14ac:dyDescent="0.2">
      <c r="B29" s="1334"/>
      <c r="C29" s="1338"/>
      <c r="D29" s="1339"/>
      <c r="E29" s="1340"/>
      <c r="F29" s="1340"/>
      <c r="G29" s="1340"/>
      <c r="H29" s="1340"/>
      <c r="I29" s="1340"/>
      <c r="J29" s="1340"/>
      <c r="K29" s="1340"/>
      <c r="L29" s="1337"/>
      <c r="M29" s="1340"/>
    </row>
    <row r="30" spans="2:14" ht="20.100000000000001" customHeight="1" x14ac:dyDescent="0.2">
      <c r="B30" s="1334" t="s">
        <v>2108</v>
      </c>
      <c r="C30" s="1338"/>
      <c r="D30" s="1339"/>
      <c r="E30" s="1340">
        <f>SUM(E25:E28)</f>
        <v>417961</v>
      </c>
      <c r="F30" s="1340">
        <f>SUM(F25:F28)</f>
        <v>729552</v>
      </c>
      <c r="G30" s="1340">
        <f>SUM(G25:G28)</f>
        <v>558019</v>
      </c>
      <c r="H30" s="1340"/>
      <c r="I30" s="1340">
        <f>SUM(I25:I28)</f>
        <v>747111</v>
      </c>
      <c r="J30" s="1340"/>
      <c r="K30" s="1340">
        <f>SUM(K25:K28)</f>
        <v>79602</v>
      </c>
      <c r="L30" s="1337">
        <f t="shared" si="0"/>
        <v>1384732</v>
      </c>
      <c r="M30" s="1340"/>
      <c r="N30" s="1341"/>
    </row>
    <row r="31" spans="2:14" ht="12.75" customHeight="1" x14ac:dyDescent="0.2">
      <c r="B31" s="1342"/>
      <c r="C31" s="1343"/>
      <c r="D31" s="1344"/>
      <c r="E31" s="1345"/>
      <c r="F31" s="1345"/>
      <c r="G31" s="1345"/>
      <c r="H31" s="1345"/>
      <c r="I31" s="1345"/>
      <c r="J31" s="1345"/>
      <c r="K31" s="1345"/>
      <c r="L31" s="1345"/>
      <c r="M31" s="1345"/>
      <c r="N31" s="1341"/>
    </row>
    <row r="32" spans="2:14" x14ac:dyDescent="0.2">
      <c r="B32" s="1254"/>
      <c r="C32" s="1346"/>
      <c r="D32" s="1347"/>
      <c r="E32" s="1254"/>
      <c r="F32" s="1254"/>
      <c r="G32" s="1247"/>
      <c r="H32" s="1247"/>
      <c r="I32" s="1247"/>
      <c r="J32" s="1247"/>
      <c r="K32" s="1247"/>
      <c r="L32" s="1247"/>
      <c r="M32" s="1254"/>
      <c r="N32" s="1341"/>
    </row>
    <row r="33" spans="2:14" ht="13.5" customHeight="1" x14ac:dyDescent="0.2">
      <c r="B33" s="1279" t="s">
        <v>1734</v>
      </c>
      <c r="C33" s="1346"/>
      <c r="D33" s="1347"/>
      <c r="E33" s="1254"/>
      <c r="F33" s="1254"/>
      <c r="G33" s="1247"/>
      <c r="H33" s="1247"/>
      <c r="I33" s="1247"/>
      <c r="J33" s="1247"/>
      <c r="K33" s="1247"/>
      <c r="L33" s="1247"/>
      <c r="M33" s="1254"/>
      <c r="N33" s="1341"/>
    </row>
    <row r="34" spans="2:14" ht="8.25" customHeight="1" x14ac:dyDescent="0.2">
      <c r="B34" s="1279"/>
      <c r="C34" s="1346"/>
      <c r="D34" s="1347"/>
      <c r="E34" s="1254"/>
      <c r="F34" s="1254"/>
      <c r="G34" s="1247"/>
      <c r="H34" s="1247"/>
      <c r="I34" s="1247"/>
      <c r="J34" s="1247"/>
      <c r="K34" s="1247"/>
      <c r="L34" s="1247"/>
      <c r="M34" s="1254"/>
      <c r="N34" s="1341"/>
    </row>
    <row r="35" spans="2:14" x14ac:dyDescent="0.2">
      <c r="B35" s="1348" t="s">
        <v>1837</v>
      </c>
      <c r="C35" s="1349"/>
      <c r="D35" s="1350"/>
      <c r="E35" s="1351"/>
      <c r="F35" s="1351"/>
      <c r="G35" s="1351"/>
      <c r="H35" s="1351"/>
      <c r="I35" s="317"/>
      <c r="J35" s="317"/>
    </row>
    <row r="36" spans="2:14" x14ac:dyDescent="0.2">
      <c r="B36" s="1274"/>
      <c r="C36" s="1352"/>
      <c r="D36" s="1353"/>
      <c r="E36" s="1275"/>
      <c r="F36" s="1275"/>
      <c r="G36" s="317"/>
      <c r="H36" s="317"/>
      <c r="I36" s="317"/>
      <c r="J36" s="317"/>
    </row>
    <row r="37" spans="2:14" ht="13.5" customHeight="1" x14ac:dyDescent="0.2">
      <c r="B37" s="1273" t="s">
        <v>1246</v>
      </c>
      <c r="G37" s="317"/>
      <c r="H37" s="317"/>
      <c r="I37" s="317"/>
      <c r="J37" s="317"/>
    </row>
    <row r="38" spans="2:14" ht="13.5" customHeight="1" x14ac:dyDescent="0.2">
      <c r="B38" s="1356"/>
      <c r="C38" s="1357"/>
      <c r="D38" s="1358"/>
      <c r="E38" s="1294"/>
      <c r="F38" s="1294"/>
      <c r="G38" s="1294"/>
      <c r="H38" s="1294"/>
      <c r="I38" s="1294"/>
      <c r="J38" s="1294"/>
      <c r="K38" s="1359"/>
      <c r="L38" s="1359"/>
      <c r="M38" s="1294"/>
    </row>
    <row r="39" spans="2:14" ht="9.6" customHeight="1" x14ac:dyDescent="0.2">
      <c r="B39" s="1360"/>
      <c r="G39" s="317"/>
      <c r="H39" s="317"/>
      <c r="I39" s="317"/>
      <c r="J39" s="317"/>
    </row>
    <row r="40" spans="2:14" ht="11.25" customHeight="1" x14ac:dyDescent="0.2">
      <c r="B40" s="1361" t="s">
        <v>1735</v>
      </c>
      <c r="C40" s="1362"/>
      <c r="D40" s="1362"/>
      <c r="E40" s="1362"/>
      <c r="F40" s="1362"/>
      <c r="G40" s="1362"/>
      <c r="H40" s="1362"/>
      <c r="I40" s="1363"/>
      <c r="J40" s="1363"/>
      <c r="K40" s="1363"/>
      <c r="L40" s="1363"/>
      <c r="M40" s="1363"/>
    </row>
    <row r="41" spans="2:14" ht="11.25" customHeight="1" x14ac:dyDescent="0.2">
      <c r="B41" s="1364" t="s">
        <v>1584</v>
      </c>
      <c r="C41" s="1363"/>
      <c r="D41" s="1363"/>
      <c r="E41" s="1363"/>
      <c r="F41" s="1363"/>
      <c r="G41" s="1363"/>
      <c r="H41" s="1363"/>
      <c r="I41" s="1363"/>
      <c r="J41" s="1363"/>
      <c r="K41" s="1363"/>
      <c r="L41" s="1363"/>
      <c r="M41" s="1363"/>
    </row>
    <row r="42" spans="2:14" ht="3.95" customHeight="1" x14ac:dyDescent="0.2">
      <c r="B42" s="1364"/>
      <c r="C42" s="1363"/>
      <c r="D42" s="1363"/>
      <c r="E42" s="1363"/>
      <c r="F42" s="1363"/>
      <c r="G42" s="1363"/>
      <c r="H42" s="1363"/>
      <c r="I42" s="1363"/>
      <c r="J42" s="1363"/>
      <c r="K42" s="1363"/>
      <c r="L42" s="1363"/>
      <c r="M42" s="1363"/>
    </row>
    <row r="43" spans="2:14" ht="11.25" customHeight="1" x14ac:dyDescent="0.2">
      <c r="B43" s="1361" t="s">
        <v>1736</v>
      </c>
      <c r="C43" s="1363"/>
      <c r="D43" s="1363"/>
      <c r="E43" s="1363"/>
      <c r="F43" s="1363"/>
      <c r="G43" s="1363"/>
      <c r="H43" s="1363"/>
      <c r="I43" s="1363"/>
      <c r="J43" s="1363"/>
      <c r="K43" s="1363"/>
      <c r="L43" s="1363"/>
      <c r="M43" s="1363"/>
    </row>
    <row r="44" spans="2:14" ht="11.25" customHeight="1" x14ac:dyDescent="0.2">
      <c r="B44" s="1297" t="s">
        <v>1585</v>
      </c>
      <c r="C44" s="1365"/>
      <c r="D44" s="1366"/>
      <c r="E44" s="1297"/>
      <c r="F44" s="1297"/>
      <c r="G44" s="1297"/>
      <c r="H44" s="1297"/>
      <c r="I44" s="1297"/>
      <c r="J44" s="1297"/>
      <c r="K44" s="1367"/>
      <c r="L44" s="1367"/>
      <c r="M44" s="1297"/>
    </row>
    <row r="45" spans="2:14" ht="3.95" customHeight="1" x14ac:dyDescent="0.2">
      <c r="B45" s="1297"/>
      <c r="C45" s="1365"/>
      <c r="D45" s="1366"/>
      <c r="E45" s="1297"/>
      <c r="F45" s="1297"/>
      <c r="G45" s="1297"/>
      <c r="H45" s="1297"/>
      <c r="I45" s="1297"/>
      <c r="J45" s="1297"/>
      <c r="K45" s="1367"/>
      <c r="L45" s="1367"/>
      <c r="M45" s="1297"/>
    </row>
    <row r="46" spans="2:14" ht="11.25" customHeight="1" x14ac:dyDescent="0.2">
      <c r="B46" s="1368" t="s">
        <v>1737</v>
      </c>
      <c r="C46" s="1365"/>
      <c r="D46" s="1366"/>
      <c r="E46" s="1297"/>
      <c r="F46" s="1297"/>
      <c r="G46" s="1297"/>
      <c r="H46" s="1297"/>
      <c r="I46" s="1297"/>
      <c r="J46" s="1297"/>
      <c r="K46" s="1367"/>
      <c r="L46" s="1367"/>
      <c r="M46" s="1297"/>
    </row>
    <row r="47" spans="2:14" ht="3.95" customHeight="1" x14ac:dyDescent="0.2">
      <c r="B47" s="1368"/>
      <c r="C47" s="1365"/>
      <c r="D47" s="1366"/>
      <c r="E47" s="1297"/>
      <c r="F47" s="1297"/>
      <c r="G47" s="1297"/>
      <c r="H47" s="1297"/>
      <c r="I47" s="1297"/>
      <c r="J47" s="1297"/>
      <c r="K47" s="1367"/>
      <c r="L47" s="1367"/>
      <c r="M47" s="1297"/>
    </row>
    <row r="48" spans="2:14" ht="11.25" customHeight="1" x14ac:dyDescent="0.2">
      <c r="B48" s="1369" t="s">
        <v>1738</v>
      </c>
      <c r="C48" s="1365"/>
      <c r="D48" s="1366"/>
      <c r="E48" s="1297"/>
      <c r="F48" s="1297"/>
      <c r="G48" s="1297"/>
      <c r="H48" s="1297"/>
      <c r="I48" s="1297"/>
      <c r="J48" s="1297"/>
      <c r="K48" s="1367"/>
      <c r="L48" s="1367"/>
      <c r="M48" s="1297"/>
    </row>
    <row r="49" spans="2:13" ht="11.25" customHeight="1" x14ac:dyDescent="0.2">
      <c r="B49" s="1297" t="s">
        <v>1586</v>
      </c>
      <c r="G49" s="317"/>
      <c r="H49" s="317"/>
      <c r="I49" s="317"/>
      <c r="J49" s="317"/>
    </row>
    <row r="50" spans="2:13" ht="11.1" customHeight="1" x14ac:dyDescent="0.2">
      <c r="B50" s="1297"/>
      <c r="G50" s="317"/>
      <c r="H50" s="317"/>
      <c r="I50" s="317"/>
      <c r="J50" s="317"/>
    </row>
    <row r="51" spans="2:13" ht="11.1" customHeight="1" x14ac:dyDescent="0.2">
      <c r="B51" s="1297"/>
      <c r="G51" s="317"/>
      <c r="H51" s="317"/>
      <c r="I51" s="317"/>
      <c r="J51" s="317"/>
    </row>
    <row r="52" spans="2:13" ht="13.5" customHeight="1" x14ac:dyDescent="0.2">
      <c r="M52" s="1370"/>
    </row>
    <row r="53" spans="2:13" ht="13.5" customHeight="1" x14ac:dyDescent="0.2">
      <c r="M53" s="1370"/>
    </row>
    <row r="54" spans="2:13" ht="13.5" customHeight="1" x14ac:dyDescent="0.2">
      <c r="M54" s="1370"/>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horizontalDpi="4294967295" verticalDpi="4294967295"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12" zoomScaleNormal="100" workbookViewId="0">
      <selection activeCell="B4" sqref="B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Monmouth-Roseville CUSD 238</v>
      </c>
      <c r="C1" s="2432"/>
      <c r="D1" s="2432"/>
      <c r="E1" s="2432"/>
      <c r="F1" s="2432"/>
      <c r="G1" s="2432"/>
      <c r="H1" s="2432"/>
      <c r="I1" s="2432"/>
      <c r="J1" s="2432"/>
      <c r="K1" s="2432"/>
      <c r="L1" s="2432"/>
      <c r="M1" s="2432"/>
    </row>
    <row r="2" spans="2:14" ht="15" x14ac:dyDescent="0.2">
      <c r="B2" s="2433">
        <f>'Single Audit Cover'!E7</f>
        <v>33094238026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2109</v>
      </c>
      <c r="C11" s="1335"/>
      <c r="D11" s="1336"/>
      <c r="E11" s="1337"/>
      <c r="F11" s="1337"/>
      <c r="G11" s="1337"/>
      <c r="H11" s="1337"/>
      <c r="I11" s="1337"/>
      <c r="J11" s="1337"/>
      <c r="K11" s="1337"/>
      <c r="L11" s="1337">
        <f>+G11+I11+K11</f>
        <v>0</v>
      </c>
      <c r="M11" s="1337"/>
    </row>
    <row r="12" spans="2:14" ht="20.100000000000001" customHeight="1" x14ac:dyDescent="0.2">
      <c r="B12" s="1334" t="s">
        <v>2110</v>
      </c>
      <c r="C12" s="1338">
        <v>10.555</v>
      </c>
      <c r="D12" s="1339" t="s">
        <v>2111</v>
      </c>
      <c r="E12" s="1340"/>
      <c r="F12" s="1340">
        <v>44450</v>
      </c>
      <c r="G12" s="1340"/>
      <c r="H12" s="1340"/>
      <c r="I12" s="1340">
        <v>44450</v>
      </c>
      <c r="J12" s="1340"/>
      <c r="K12" s="1340"/>
      <c r="L12" s="1337">
        <f t="shared" ref="L12:L27" si="0">+G12+I12+K12</f>
        <v>44450</v>
      </c>
      <c r="M12" s="1340" t="s">
        <v>2099</v>
      </c>
    </row>
    <row r="13" spans="2:14" ht="20.100000000000001" customHeight="1" x14ac:dyDescent="0.2">
      <c r="B13" s="1334" t="s">
        <v>2216</v>
      </c>
      <c r="C13" s="1338">
        <v>10.555</v>
      </c>
      <c r="D13" s="1339" t="s">
        <v>2111</v>
      </c>
      <c r="E13" s="1340"/>
      <c r="F13" s="1340">
        <v>19888</v>
      </c>
      <c r="G13" s="1340"/>
      <c r="H13" s="1340"/>
      <c r="I13" s="1340">
        <v>19888</v>
      </c>
      <c r="J13" s="1340"/>
      <c r="K13" s="1340"/>
      <c r="L13" s="1337">
        <f t="shared" si="0"/>
        <v>19888</v>
      </c>
      <c r="M13" s="1340" t="s">
        <v>2099</v>
      </c>
    </row>
    <row r="14" spans="2:14" ht="20.100000000000001" customHeight="1" x14ac:dyDescent="0.2">
      <c r="B14" s="1334" t="s">
        <v>2112</v>
      </c>
      <c r="C14" s="1338">
        <v>10.555</v>
      </c>
      <c r="D14" s="1339" t="s">
        <v>2113</v>
      </c>
      <c r="E14" s="1340">
        <v>448488</v>
      </c>
      <c r="F14" s="1340">
        <v>82957</v>
      </c>
      <c r="G14" s="1340">
        <v>448488</v>
      </c>
      <c r="H14" s="1340"/>
      <c r="I14" s="1340">
        <v>82957</v>
      </c>
      <c r="J14" s="1340"/>
      <c r="K14" s="1340"/>
      <c r="L14" s="1337">
        <f t="shared" si="0"/>
        <v>531445</v>
      </c>
      <c r="M14" s="1340" t="s">
        <v>2099</v>
      </c>
    </row>
    <row r="15" spans="2:14" ht="20.100000000000001" customHeight="1" x14ac:dyDescent="0.2">
      <c r="B15" s="1334" t="s">
        <v>2112</v>
      </c>
      <c r="C15" s="1338">
        <v>10.555</v>
      </c>
      <c r="D15" s="1339" t="s">
        <v>2114</v>
      </c>
      <c r="E15" s="1340"/>
      <c r="F15" s="1340">
        <v>435137</v>
      </c>
      <c r="G15" s="1340"/>
      <c r="H15" s="1340"/>
      <c r="I15" s="1340">
        <v>435137</v>
      </c>
      <c r="J15" s="1340"/>
      <c r="K15" s="1340"/>
      <c r="L15" s="1337">
        <f t="shared" si="0"/>
        <v>435137</v>
      </c>
      <c r="M15" s="1340" t="s">
        <v>2099</v>
      </c>
    </row>
    <row r="16" spans="2:14" ht="20.100000000000001" customHeight="1" x14ac:dyDescent="0.2">
      <c r="B16" s="1334" t="s">
        <v>2115</v>
      </c>
      <c r="C16" s="1338">
        <v>10.553000000000001</v>
      </c>
      <c r="D16" s="1339" t="s">
        <v>2116</v>
      </c>
      <c r="E16" s="1340">
        <v>149794</v>
      </c>
      <c r="F16" s="1340">
        <v>28613</v>
      </c>
      <c r="G16" s="1340">
        <v>149794</v>
      </c>
      <c r="H16" s="1340"/>
      <c r="I16" s="1340">
        <v>28613</v>
      </c>
      <c r="J16" s="1340"/>
      <c r="K16" s="1340"/>
      <c r="L16" s="1337">
        <f t="shared" si="0"/>
        <v>178407</v>
      </c>
      <c r="M16" s="1340" t="s">
        <v>2099</v>
      </c>
    </row>
    <row r="17" spans="2:14" ht="20.100000000000001" customHeight="1" x14ac:dyDescent="0.2">
      <c r="B17" s="1334" t="s">
        <v>2115</v>
      </c>
      <c r="C17" s="1338">
        <v>10.553000000000001</v>
      </c>
      <c r="D17" s="1339" t="s">
        <v>2117</v>
      </c>
      <c r="E17" s="1340"/>
      <c r="F17" s="1340">
        <v>142391</v>
      </c>
      <c r="G17" s="1340"/>
      <c r="H17" s="1340"/>
      <c r="I17" s="1340">
        <v>142391</v>
      </c>
      <c r="J17" s="1340"/>
      <c r="K17" s="1340"/>
      <c r="L17" s="1337">
        <f t="shared" si="0"/>
        <v>142391</v>
      </c>
      <c r="M17" s="1340" t="s">
        <v>2099</v>
      </c>
    </row>
    <row r="18" spans="2:14" ht="20.100000000000001" customHeight="1" x14ac:dyDescent="0.2">
      <c r="B18" s="1334" t="s">
        <v>2118</v>
      </c>
      <c r="C18" s="1338">
        <v>10.555999999999999</v>
      </c>
      <c r="D18" s="1339" t="s">
        <v>2119</v>
      </c>
      <c r="E18" s="1340"/>
      <c r="F18" s="1340">
        <v>147</v>
      </c>
      <c r="G18" s="1340"/>
      <c r="H18" s="1340"/>
      <c r="I18" s="1340">
        <v>147</v>
      </c>
      <c r="J18" s="1340"/>
      <c r="K18" s="1340"/>
      <c r="L18" s="1337">
        <f t="shared" si="0"/>
        <v>147</v>
      </c>
      <c r="M18" s="1340" t="s">
        <v>2099</v>
      </c>
    </row>
    <row r="19" spans="2:14" ht="20.100000000000001" customHeight="1" x14ac:dyDescent="0.2">
      <c r="B19" s="1334" t="s">
        <v>2118</v>
      </c>
      <c r="C19" s="1338">
        <v>10.555999999999999</v>
      </c>
      <c r="D19" s="1339" t="s">
        <v>2120</v>
      </c>
      <c r="E19" s="1340"/>
      <c r="F19" s="1340">
        <v>876</v>
      </c>
      <c r="G19" s="1340"/>
      <c r="H19" s="1340"/>
      <c r="I19" s="1340">
        <v>876</v>
      </c>
      <c r="J19" s="1340"/>
      <c r="K19" s="1340"/>
      <c r="L19" s="1337">
        <f t="shared" si="0"/>
        <v>876</v>
      </c>
      <c r="M19" s="1340" t="s">
        <v>2099</v>
      </c>
    </row>
    <row r="20" spans="2:14" ht="20.100000000000001" customHeight="1" x14ac:dyDescent="0.2">
      <c r="B20" s="1334" t="s">
        <v>2121</v>
      </c>
      <c r="C20" s="1338"/>
      <c r="D20" s="1339"/>
      <c r="E20" s="1340">
        <v>598282</v>
      </c>
      <c r="F20" s="1340">
        <v>754459</v>
      </c>
      <c r="G20" s="1340">
        <v>598282</v>
      </c>
      <c r="H20" s="1340"/>
      <c r="I20" s="1340">
        <v>754459</v>
      </c>
      <c r="J20" s="1340"/>
      <c r="K20" s="1340"/>
      <c r="L20" s="1337">
        <f t="shared" si="0"/>
        <v>1352741</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45" customHeight="1" x14ac:dyDescent="0.2">
      <c r="B22" s="1334" t="s">
        <v>2122</v>
      </c>
      <c r="C22" s="1338"/>
      <c r="D22" s="1339"/>
      <c r="E22" s="1340"/>
      <c r="F22" s="1340"/>
      <c r="G22" s="1340"/>
      <c r="H22" s="1340"/>
      <c r="I22" s="1340"/>
      <c r="J22" s="1340"/>
      <c r="K22" s="1340"/>
      <c r="L22" s="1337">
        <f t="shared" si="0"/>
        <v>0</v>
      </c>
      <c r="M22" s="1340"/>
    </row>
    <row r="23" spans="2:14" ht="20.100000000000001" customHeight="1" x14ac:dyDescent="0.2">
      <c r="B23" s="1334" t="s">
        <v>2123</v>
      </c>
      <c r="C23" s="1338">
        <v>93.778000000000006</v>
      </c>
      <c r="D23" s="1339" t="s">
        <v>2124</v>
      </c>
      <c r="E23" s="1340">
        <v>6063</v>
      </c>
      <c r="F23" s="1340"/>
      <c r="G23" s="1340">
        <v>6063</v>
      </c>
      <c r="H23" s="1340"/>
      <c r="I23" s="1340"/>
      <c r="J23" s="1340"/>
      <c r="K23" s="1340"/>
      <c r="L23" s="1337">
        <f t="shared" si="0"/>
        <v>6063</v>
      </c>
      <c r="M23" s="1340" t="s">
        <v>2099</v>
      </c>
    </row>
    <row r="24" spans="2:14" ht="20.100000000000001" customHeight="1" x14ac:dyDescent="0.2">
      <c r="B24" s="1334" t="s">
        <v>2125</v>
      </c>
      <c r="C24" s="1338">
        <v>93.778000000000006</v>
      </c>
      <c r="D24" s="1339" t="s">
        <v>2124</v>
      </c>
      <c r="E24" s="1340"/>
      <c r="F24" s="1340">
        <v>4027</v>
      </c>
      <c r="G24" s="1340"/>
      <c r="H24" s="1340"/>
      <c r="I24" s="1340">
        <v>5347</v>
      </c>
      <c r="J24" s="1340"/>
      <c r="K24" s="1340"/>
      <c r="L24" s="1337">
        <f t="shared" si="0"/>
        <v>5347</v>
      </c>
      <c r="M24" s="1340" t="s">
        <v>2099</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2126</v>
      </c>
      <c r="C26" s="1338"/>
      <c r="D26" s="1339"/>
      <c r="E26" s="1340">
        <v>1022306</v>
      </c>
      <c r="F26" s="1340">
        <v>1488038</v>
      </c>
      <c r="G26" s="1340">
        <v>1162364</v>
      </c>
      <c r="H26" s="1340"/>
      <c r="I26" s="1340">
        <v>1506917</v>
      </c>
      <c r="J26" s="1340"/>
      <c r="K26" s="1340">
        <v>79602</v>
      </c>
      <c r="L26" s="1337">
        <f t="shared" si="0"/>
        <v>2748883</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4294967295" verticalDpi="4294967295"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121" sqref="D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2061</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2219</v>
      </c>
      <c r="E118" s="322"/>
      <c r="F118" s="324"/>
      <c r="G118" s="1839"/>
      <c r="H118" s="322"/>
      <c r="I118" s="304"/>
    </row>
    <row r="119" spans="1:9" s="181" customFormat="1" ht="11.25" customHeight="1" x14ac:dyDescent="0.2">
      <c r="A119" s="325"/>
      <c r="B119" s="325"/>
      <c r="C119" s="326"/>
      <c r="D119" s="327" t="s">
        <v>361</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B4" sqref="B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Monmouth-Roseville CUSD 238</v>
      </c>
      <c r="B1" s="2445"/>
      <c r="C1" s="2445"/>
      <c r="D1" s="2445"/>
      <c r="E1" s="2445"/>
      <c r="F1" s="2445"/>
    </row>
    <row r="2" spans="1:7" ht="13.5" customHeight="1" x14ac:dyDescent="0.2">
      <c r="A2" s="2433">
        <f>'Single Audit Cover'!E7</f>
        <v>33094238026</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2147</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24.95" customHeight="1" x14ac:dyDescent="0.2">
      <c r="A13" s="2444" t="s">
        <v>2148</v>
      </c>
      <c r="B13" s="2444"/>
      <c r="C13" s="2444"/>
      <c r="D13" s="2444"/>
      <c r="E13" s="2444"/>
      <c r="F13" s="2444"/>
    </row>
    <row r="14" spans="1:7" ht="9.75" customHeight="1" x14ac:dyDescent="0.2">
      <c r="C14" s="1257"/>
      <c r="D14" s="1257"/>
    </row>
    <row r="15" spans="1:7" ht="13.5" customHeight="1" x14ac:dyDescent="0.2">
      <c r="C15" s="1845" t="s">
        <v>1270</v>
      </c>
      <c r="D15" s="2442" t="s">
        <v>1269</v>
      </c>
      <c r="E15" s="2442"/>
      <c r="F15" s="2442"/>
    </row>
    <row r="16" spans="1:7" ht="13.5" customHeight="1" x14ac:dyDescent="0.2">
      <c r="A16" s="1279"/>
      <c r="B16" s="1273" t="s">
        <v>1268</v>
      </c>
      <c r="C16" s="1845" t="s">
        <v>1267</v>
      </c>
      <c r="D16" s="2443" t="s">
        <v>1588</v>
      </c>
      <c r="E16" s="2443"/>
      <c r="F16" s="2443"/>
    </row>
    <row r="17" spans="1:6" ht="20.45" customHeight="1" x14ac:dyDescent="0.2">
      <c r="A17" s="1280"/>
      <c r="B17" s="1281" t="s">
        <v>2149</v>
      </c>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38" t="s">
        <v>2150</v>
      </c>
      <c r="B32" s="2438"/>
      <c r="C32" s="2438"/>
      <c r="D32" s="2438"/>
      <c r="E32" s="2438"/>
      <c r="F32" s="2438"/>
    </row>
    <row r="33" spans="1:6" ht="13.5" customHeight="1" x14ac:dyDescent="0.2">
      <c r="A33" s="328" t="s">
        <v>1434</v>
      </c>
      <c r="B33" s="328"/>
      <c r="C33" s="1285">
        <v>44450</v>
      </c>
      <c r="D33" s="1902"/>
      <c r="E33" s="1283"/>
    </row>
    <row r="34" spans="1:6" ht="13.5" customHeight="1" x14ac:dyDescent="0.2">
      <c r="A34" s="328" t="s">
        <v>1835</v>
      </c>
      <c r="B34" s="328"/>
      <c r="C34" s="1286">
        <v>19888</v>
      </c>
      <c r="D34" s="1902" t="s">
        <v>1589</v>
      </c>
      <c r="E34" s="2439">
        <f>+C33+C34</f>
        <v>64338</v>
      </c>
      <c r="F34" s="2440"/>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t="s">
        <v>383</v>
      </c>
      <c r="D38" s="1902"/>
      <c r="E38" s="1283"/>
    </row>
    <row r="39" spans="1:6" ht="14.25" customHeight="1" x14ac:dyDescent="0.2">
      <c r="A39" s="328"/>
      <c r="B39" s="328" t="s">
        <v>1436</v>
      </c>
      <c r="C39" s="1289" t="s">
        <v>383</v>
      </c>
      <c r="D39" s="1902"/>
      <c r="E39" s="1283"/>
    </row>
    <row r="40" spans="1:6" ht="14.25" customHeight="1" x14ac:dyDescent="0.2">
      <c r="A40" s="328"/>
      <c r="B40" s="328" t="s">
        <v>1437</v>
      </c>
      <c r="C40" s="1289" t="s">
        <v>383</v>
      </c>
      <c r="D40" s="1902"/>
      <c r="E40" s="1283"/>
    </row>
    <row r="41" spans="1:6" ht="14.25" customHeight="1" x14ac:dyDescent="0.2">
      <c r="A41" s="328"/>
      <c r="B41" s="328" t="s">
        <v>1438</v>
      </c>
      <c r="C41" s="1289" t="s">
        <v>383</v>
      </c>
      <c r="D41" s="1902"/>
      <c r="E41" s="1283"/>
    </row>
    <row r="42" spans="1:6" ht="14.25" customHeight="1" x14ac:dyDescent="0.2">
      <c r="A42" s="328" t="s">
        <v>1439</v>
      </c>
      <c r="B42" s="328"/>
      <c r="C42" s="1900" t="s">
        <v>383</v>
      </c>
      <c r="D42" s="1902"/>
      <c r="E42" s="1283"/>
    </row>
    <row r="43" spans="1:6" ht="14.25" customHeight="1" x14ac:dyDescent="0.2">
      <c r="A43" s="328" t="s">
        <v>1440</v>
      </c>
      <c r="B43" s="328"/>
      <c r="C43" s="1290" t="s">
        <v>383</v>
      </c>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4"/>
      <c r="C50" s="1844"/>
      <c r="D50" s="1844"/>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topLeftCell="A24" zoomScale="110" zoomScaleNormal="110" workbookViewId="0">
      <selection activeCell="B4" sqref="B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Monmouth-Roseville CUSD 238</v>
      </c>
      <c r="C1" s="2460"/>
      <c r="D1" s="2460"/>
      <c r="E1" s="2460"/>
      <c r="F1" s="2460"/>
      <c r="G1" s="2460"/>
      <c r="H1" s="2460"/>
      <c r="I1" s="2460"/>
      <c r="J1" s="1406"/>
    </row>
    <row r="2" spans="2:10" s="317" customFormat="1" ht="12.75" customHeight="1" x14ac:dyDescent="0.2">
      <c r="B2" s="2461">
        <f>'Single Audit Cover'!E7</f>
        <v>33094238026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1164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2061</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2151</v>
      </c>
      <c r="E29" s="2466"/>
      <c r="F29" s="2466"/>
      <c r="G29" s="2466"/>
      <c r="H29" s="2466"/>
      <c r="I29" s="246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7" t="s">
        <v>1748</v>
      </c>
      <c r="D37" s="2468"/>
      <c r="E37" s="2468"/>
      <c r="F37" s="2469"/>
      <c r="G37" s="2467" t="s">
        <v>1592</v>
      </c>
      <c r="H37" s="2468"/>
      <c r="I37" s="2469"/>
    </row>
    <row r="38" spans="2:9" ht="16.5" customHeight="1" x14ac:dyDescent="0.2">
      <c r="B38" s="1428" t="s">
        <v>2152</v>
      </c>
      <c r="C38" s="2455" t="s">
        <v>2153</v>
      </c>
      <c r="D38" s="2456"/>
      <c r="E38" s="2456"/>
      <c r="F38" s="2457"/>
      <c r="G38" s="2470">
        <v>754459</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754459</v>
      </c>
      <c r="H43" s="2451"/>
      <c r="I43" s="2451"/>
    </row>
    <row r="44" spans="2:9" ht="12.75" customHeight="1" x14ac:dyDescent="0.2"/>
    <row r="45" spans="2:9" ht="12.75" customHeight="1" x14ac:dyDescent="0.2">
      <c r="B45" s="1419" t="s">
        <v>2059</v>
      </c>
      <c r="D45" s="2452">
        <v>1506917</v>
      </c>
      <c r="E45" s="2453"/>
    </row>
    <row r="46" spans="2:9" ht="5.25" customHeight="1" x14ac:dyDescent="0.2">
      <c r="B46" s="1429"/>
      <c r="D46" s="1430"/>
      <c r="E46" s="1431"/>
    </row>
    <row r="47" spans="2:9" ht="12.75" customHeight="1" x14ac:dyDescent="0.2">
      <c r="B47" s="1297" t="s">
        <v>1594</v>
      </c>
      <c r="C47" s="1297"/>
      <c r="D47" s="1432">
        <f>+G43/D45</f>
        <v>0.50066393835891421</v>
      </c>
      <c r="E47" s="1433"/>
      <c r="F47" s="1434"/>
      <c r="I47" s="1435"/>
    </row>
    <row r="48" spans="2:9" ht="9.9499999999999993" customHeight="1" x14ac:dyDescent="0.2"/>
    <row r="49" spans="1:9" x14ac:dyDescent="0.2">
      <c r="B49" s="1365" t="s">
        <v>1273</v>
      </c>
      <c r="C49" s="1279"/>
      <c r="D49" s="1279"/>
      <c r="E49" s="2454">
        <v>750000</v>
      </c>
      <c r="F49" s="2454"/>
      <c r="G49" s="2454"/>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4294967295" verticalDpi="4294967295"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4" sqref="B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Monmouth-Roseville CUSD 238</v>
      </c>
      <c r="C1" s="2459"/>
      <c r="D1" s="2459"/>
      <c r="E1" s="2459"/>
      <c r="F1" s="2459"/>
      <c r="G1" s="2459"/>
      <c r="H1" s="2459"/>
      <c r="I1" s="2459"/>
      <c r="J1" s="2459"/>
      <c r="K1" s="2459"/>
      <c r="L1" s="1371"/>
      <c r="M1" s="1371"/>
    </row>
    <row r="2" spans="1:13" ht="12" customHeight="1" x14ac:dyDescent="0.2">
      <c r="B2" s="2461">
        <f>'Single Audit Cover'!E7</f>
        <v>33094238026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2006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61.5" customHeight="1" x14ac:dyDescent="0.2">
      <c r="B14" s="2474" t="s">
        <v>2062</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2063</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t="s">
        <v>2064</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2065</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2066</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t="s">
        <v>2067</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4" zoomScale="110" zoomScaleNormal="110" workbookViewId="0">
      <selection activeCell="B4" sqref="B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Monmouth-Roseville CUSD 238</v>
      </c>
      <c r="C1" s="2459"/>
      <c r="D1" s="2459"/>
      <c r="E1" s="2459"/>
      <c r="F1" s="2459"/>
      <c r="G1" s="2459"/>
      <c r="H1" s="2459"/>
      <c r="I1" s="2459"/>
      <c r="J1" s="2459"/>
      <c r="K1" s="2459"/>
      <c r="L1" s="1371"/>
      <c r="M1" s="1371"/>
    </row>
    <row r="2" spans="1:13" ht="12" customHeight="1" x14ac:dyDescent="0.2">
      <c r="B2" s="2461">
        <f>'Single Audit Cover'!E7</f>
        <v>33094238026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61.5" customHeight="1" x14ac:dyDescent="0.2">
      <c r="B14" s="2474" t="s">
        <v>2154</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2217</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t="s">
        <v>2155</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1" zoomScale="110" zoomScaleNormal="110" workbookViewId="0">
      <selection activeCell="B4" sqref="B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Monmouth-Roseville CUSD 238</v>
      </c>
      <c r="C1" s="2459"/>
      <c r="D1" s="2459"/>
      <c r="E1" s="2459"/>
      <c r="F1" s="2459"/>
      <c r="G1" s="2459"/>
      <c r="H1" s="2459"/>
      <c r="I1" s="2459"/>
      <c r="J1" s="2459"/>
      <c r="K1" s="2459"/>
      <c r="L1" s="1371"/>
      <c r="M1" s="1371"/>
    </row>
    <row r="2" spans="1:13" ht="12" customHeight="1" x14ac:dyDescent="0.2">
      <c r="B2" s="2461">
        <f>'Single Audit Cover'!E7</f>
        <v>33094238026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3</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61.5" customHeight="1" x14ac:dyDescent="0.2">
      <c r="B14" s="2474" t="s">
        <v>2156</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2218</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t="s">
        <v>2157</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t="s">
        <v>2158</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4" sqref="B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Monmouth-Roseville CUSD 238</v>
      </c>
      <c r="C1" s="2482"/>
      <c r="D1" s="2482"/>
      <c r="E1" s="2482"/>
      <c r="F1" s="2482"/>
      <c r="G1" s="2482"/>
      <c r="H1" s="2482"/>
      <c r="I1" s="2482"/>
      <c r="J1" s="2482"/>
      <c r="K1" s="2482"/>
      <c r="L1" s="1449"/>
    </row>
    <row r="2" spans="1:12" ht="12.75" customHeight="1" x14ac:dyDescent="0.2">
      <c r="B2" s="2483">
        <f>'Single Audit Cover'!E7</f>
        <v>33094238026</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4" sqref="B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Monmouth-Roseville CUSD 238</v>
      </c>
      <c r="C1" s="2459"/>
      <c r="D1" s="2459"/>
      <c r="E1" s="1469"/>
    </row>
    <row r="2" spans="2:5" s="1279" customFormat="1" ht="12.75" customHeight="1" x14ac:dyDescent="0.2">
      <c r="B2" s="2461">
        <f>'Single Audit Cover'!E7</f>
        <v>33094238026</v>
      </c>
      <c r="C2" s="2461"/>
      <c r="D2" s="2461"/>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2159</v>
      </c>
      <c r="C8" s="324" t="s">
        <v>2160</v>
      </c>
      <c r="D8" s="324" t="s">
        <v>2161</v>
      </c>
      <c r="E8" s="324"/>
    </row>
    <row r="9" spans="2:5" ht="13.5" customHeight="1" x14ac:dyDescent="0.2">
      <c r="B9" s="1475"/>
      <c r="C9" s="323"/>
      <c r="D9" s="323" t="s">
        <v>2162</v>
      </c>
      <c r="E9" s="323"/>
    </row>
    <row r="10" spans="2:5" ht="13.5" customHeight="1" x14ac:dyDescent="0.2">
      <c r="B10" s="1474"/>
      <c r="C10" s="323"/>
      <c r="D10" s="323"/>
      <c r="E10" s="323"/>
    </row>
    <row r="11" spans="2:5" ht="13.5" customHeight="1" x14ac:dyDescent="0.2">
      <c r="B11" s="1474" t="s">
        <v>2163</v>
      </c>
      <c r="C11" s="323" t="s">
        <v>2164</v>
      </c>
      <c r="D11" s="323" t="s">
        <v>2207</v>
      </c>
      <c r="E11" s="323"/>
    </row>
    <row r="12" spans="2:5" ht="13.5" customHeight="1" x14ac:dyDescent="0.2">
      <c r="B12" s="1474"/>
      <c r="C12" s="323" t="s">
        <v>2165</v>
      </c>
      <c r="D12" s="323"/>
      <c r="E12" s="323"/>
    </row>
    <row r="13" spans="2:5" ht="13.5" customHeight="1" x14ac:dyDescent="0.2">
      <c r="B13" s="1474"/>
      <c r="C13" s="323"/>
      <c r="D13" s="323"/>
      <c r="E13" s="323"/>
    </row>
    <row r="14" spans="2:5" ht="13.5" customHeight="1" x14ac:dyDescent="0.2">
      <c r="B14" s="1474" t="s">
        <v>2166</v>
      </c>
      <c r="C14" s="323" t="s">
        <v>2167</v>
      </c>
      <c r="D14" s="323" t="s">
        <v>2169</v>
      </c>
      <c r="E14" s="323"/>
    </row>
    <row r="15" spans="2:5" ht="13.5" customHeight="1" x14ac:dyDescent="0.2">
      <c r="B15" s="1474"/>
      <c r="C15" s="323" t="s">
        <v>2168</v>
      </c>
      <c r="D15" s="323"/>
      <c r="E15" s="323"/>
    </row>
    <row r="16" spans="2:5" ht="13.5" customHeight="1" x14ac:dyDescent="0.2">
      <c r="B16" s="1474"/>
      <c r="C16" s="323"/>
      <c r="D16" s="323"/>
      <c r="E16" s="323"/>
    </row>
    <row r="17" spans="2:5" ht="13.5" customHeight="1" x14ac:dyDescent="0.2">
      <c r="B17" s="1474" t="s">
        <v>2170</v>
      </c>
      <c r="C17" s="323" t="s">
        <v>2171</v>
      </c>
      <c r="D17" s="323" t="s">
        <v>2173</v>
      </c>
      <c r="E17" s="323"/>
    </row>
    <row r="18" spans="2:5" ht="13.5" customHeight="1" x14ac:dyDescent="0.2">
      <c r="B18" s="1474"/>
      <c r="C18" s="323" t="s">
        <v>2172</v>
      </c>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W46" sqref="W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135307528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2.2499999999999999E-2</v>
      </c>
      <c r="E10" s="356" t="s">
        <v>1005</v>
      </c>
      <c r="F10" s="355">
        <v>7.0000000000000001E-3</v>
      </c>
      <c r="G10" s="356" t="s">
        <v>1005</v>
      </c>
      <c r="H10" s="355">
        <v>2E-3</v>
      </c>
      <c r="I10" s="356" t="s">
        <v>1006</v>
      </c>
      <c r="J10" s="1731">
        <f>ROUND(D10+F10+H10,5)</f>
        <v>3.15E-2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16549221</v>
      </c>
      <c r="E16" s="356"/>
      <c r="F16" s="1732">
        <f>SUM('Acct Summary 7-8'!C17,'Acct Summary 7-8'!D17,'Acct Summary 7-8'!F17)</f>
        <v>14236756</v>
      </c>
      <c r="G16" s="356"/>
      <c r="H16" s="1732">
        <f>SUM(D16-F16)</f>
        <v>2312465</v>
      </c>
      <c r="I16" s="222"/>
      <c r="J16" s="1732">
        <f>SUM('Acct Summary 7-8'!C81,'Acct Summary 7-8'!D81,'Acct Summary 7-8'!F81,'Acct Summary 7-8'!I81)</f>
        <v>13896035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18672438.864</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6203000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18" zoomScale="110" zoomScaleNormal="110" workbookViewId="0">
      <selection activeCell="W46" sqref="W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Monmouth-Roseville CUSD 238</v>
      </c>
      <c r="E7" s="391"/>
      <c r="G7" s="252"/>
      <c r="H7" s="387"/>
      <c r="I7" s="387"/>
      <c r="J7" s="387"/>
      <c r="K7" s="387"/>
      <c r="L7" s="329"/>
      <c r="M7" s="329"/>
      <c r="N7" s="329"/>
      <c r="O7" s="329"/>
      <c r="P7" s="329"/>
    </row>
    <row r="8" spans="1:18" ht="12.75" x14ac:dyDescent="0.2">
      <c r="A8" s="329"/>
      <c r="B8" s="329"/>
      <c r="C8" s="389" t="s">
        <v>1125</v>
      </c>
      <c r="D8" s="392">
        <f>COVER!A13</f>
        <v>33094238026</v>
      </c>
      <c r="E8" s="393"/>
      <c r="G8" s="329"/>
      <c r="H8" s="329"/>
      <c r="I8" s="329"/>
      <c r="J8" s="329"/>
      <c r="K8" s="329"/>
      <c r="L8" s="329"/>
      <c r="M8" s="329"/>
      <c r="N8" s="329"/>
      <c r="O8" s="329"/>
      <c r="P8" s="329"/>
    </row>
    <row r="9" spans="1:18" ht="12.75" x14ac:dyDescent="0.2">
      <c r="A9" s="329"/>
      <c r="B9" s="329"/>
      <c r="C9" s="389" t="s">
        <v>713</v>
      </c>
      <c r="D9" s="394" t="str">
        <f>COVER!A15</f>
        <v>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13896035</v>
      </c>
      <c r="I12" s="404"/>
      <c r="J12" s="404"/>
      <c r="K12" s="405">
        <f>TRUNC((H12/H13*100000),5)/100000</f>
        <v>0.8424858046</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16494088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-55133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14236756</v>
      </c>
      <c r="I17" s="404"/>
      <c r="J17" s="416"/>
      <c r="K17" s="405">
        <f>TRUNC((H17/H18*100000),5)/100000</f>
        <v>0.86314296369999999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16494088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-55133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13771035</v>
      </c>
      <c r="I24" s="422"/>
      <c r="J24" s="422"/>
      <c r="K24" s="423">
        <f>TRUNC(((H24/H25*100000)/100000),2)</f>
        <v>348.22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39546.544439999998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3622859.0622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6203000</v>
      </c>
      <c r="I32" s="420"/>
      <c r="J32" s="420"/>
      <c r="K32" s="423">
        <f>TRUNC(100-((((H32/H33*100))*100)/100),2)</f>
        <v>66.77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18672438.864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0" activePane="bottomLeft" state="frozen"/>
      <selection activeCell="W46" sqref="W46"/>
      <selection pane="bottomLeft" activeCell="W46" sqref="W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7797759</v>
      </c>
      <c r="D4" s="466">
        <v>1155748</v>
      </c>
      <c r="E4" s="466">
        <v>116601</v>
      </c>
      <c r="F4" s="466">
        <v>1413544</v>
      </c>
      <c r="G4" s="466">
        <v>538344</v>
      </c>
      <c r="H4" s="466">
        <v>719777</v>
      </c>
      <c r="I4" s="466">
        <v>3403984</v>
      </c>
      <c r="J4" s="467">
        <v>7112</v>
      </c>
      <c r="K4" s="466">
        <v>804859</v>
      </c>
      <c r="L4" s="466">
        <v>1428548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125000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7797759</v>
      </c>
      <c r="D13" s="1736">
        <f t="shared" ref="D13:L13" si="0">SUM(D4:D12)</f>
        <v>1155748</v>
      </c>
      <c r="E13" s="1736">
        <f t="shared" si="0"/>
        <v>116601</v>
      </c>
      <c r="F13" s="1736">
        <f t="shared" si="0"/>
        <v>1413544</v>
      </c>
      <c r="G13" s="1736">
        <f t="shared" si="0"/>
        <v>538344</v>
      </c>
      <c r="H13" s="1736">
        <f t="shared" si="0"/>
        <v>719777</v>
      </c>
      <c r="I13" s="1736">
        <f t="shared" si="0"/>
        <v>3528984</v>
      </c>
      <c r="J13" s="1736">
        <f t="shared" si="0"/>
        <v>7112</v>
      </c>
      <c r="K13" s="1736">
        <f t="shared" si="0"/>
        <v>804859</v>
      </c>
      <c r="L13" s="1736">
        <f t="shared" si="0"/>
        <v>1428548</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468103</v>
      </c>
      <c r="N16" s="484"/>
    </row>
    <row r="17" spans="1:14" s="485" customFormat="1" ht="12.75" customHeight="1" x14ac:dyDescent="0.2">
      <c r="A17" s="482" t="s">
        <v>1403</v>
      </c>
      <c r="B17" s="483">
        <v>230</v>
      </c>
      <c r="C17" s="477"/>
      <c r="D17" s="477"/>
      <c r="E17" s="477"/>
      <c r="F17" s="477"/>
      <c r="G17" s="477"/>
      <c r="H17" s="477"/>
      <c r="I17" s="477"/>
      <c r="J17" s="477"/>
      <c r="K17" s="477"/>
      <c r="L17" s="477"/>
      <c r="M17" s="467">
        <v>21118764</v>
      </c>
      <c r="N17" s="484"/>
    </row>
    <row r="18" spans="1:14" s="485" customFormat="1" ht="12.75" customHeight="1" x14ac:dyDescent="0.2">
      <c r="A18" s="482" t="s">
        <v>1404</v>
      </c>
      <c r="B18" s="483">
        <v>240</v>
      </c>
      <c r="C18" s="477"/>
      <c r="D18" s="477"/>
      <c r="E18" s="477"/>
      <c r="F18" s="477"/>
      <c r="G18" s="477"/>
      <c r="H18" s="477"/>
      <c r="I18" s="477"/>
      <c r="J18" s="477"/>
      <c r="K18" s="477"/>
      <c r="L18" s="477"/>
      <c r="M18" s="467">
        <v>2559938</v>
      </c>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6203000</v>
      </c>
    </row>
    <row r="23" spans="1:14" ht="13.5" customHeight="1" thickBot="1" x14ac:dyDescent="0.25">
      <c r="A23" s="1735" t="s">
        <v>643</v>
      </c>
      <c r="B23" s="1740"/>
      <c r="C23" s="468"/>
      <c r="D23" s="468"/>
      <c r="E23" s="468"/>
      <c r="F23" s="468"/>
      <c r="G23" s="468"/>
      <c r="H23" s="468"/>
      <c r="I23" s="468"/>
      <c r="J23" s="468"/>
      <c r="K23" s="468"/>
      <c r="L23" s="468"/>
      <c r="M23" s="1687">
        <f>SUM(M15:M22)</f>
        <v>24146805</v>
      </c>
      <c r="N23" s="1687">
        <f>SUM(N21:N22)</f>
        <v>6203000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v>125000</v>
      </c>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155049</v>
      </c>
      <c r="M33" s="468"/>
      <c r="N33" s="469"/>
    </row>
    <row r="34" spans="1:14" ht="13.5" customHeight="1" thickBot="1" x14ac:dyDescent="0.25">
      <c r="A34" s="1737" t="s">
        <v>654</v>
      </c>
      <c r="B34" s="1738"/>
      <c r="C34" s="1739">
        <f>SUM(C25:C33)</f>
        <v>0</v>
      </c>
      <c r="D34" s="1739">
        <f t="shared" ref="D34:K34" si="1">SUM(D25:D33)</f>
        <v>0</v>
      </c>
      <c r="E34" s="1739">
        <f t="shared" si="1"/>
        <v>125000</v>
      </c>
      <c r="F34" s="1739">
        <f t="shared" si="1"/>
        <v>0</v>
      </c>
      <c r="G34" s="1739">
        <f t="shared" si="1"/>
        <v>0</v>
      </c>
      <c r="H34" s="1739">
        <f t="shared" si="1"/>
        <v>0</v>
      </c>
      <c r="I34" s="1739">
        <f t="shared" si="1"/>
        <v>0</v>
      </c>
      <c r="J34" s="1739">
        <f t="shared" si="1"/>
        <v>0</v>
      </c>
      <c r="K34" s="1739">
        <f t="shared" si="1"/>
        <v>0</v>
      </c>
      <c r="L34" s="1720">
        <f>SUM(L33)</f>
        <v>155049</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6203000</v>
      </c>
    </row>
    <row r="37" spans="1:14" ht="13.5" thickBot="1" x14ac:dyDescent="0.25">
      <c r="A37" s="1735" t="s">
        <v>653</v>
      </c>
      <c r="B37" s="1740"/>
      <c r="C37" s="477"/>
      <c r="D37" s="477"/>
      <c r="E37" s="477"/>
      <c r="F37" s="477"/>
      <c r="G37" s="477"/>
      <c r="H37" s="477"/>
      <c r="I37" s="477"/>
      <c r="J37" s="477"/>
      <c r="K37" s="477"/>
      <c r="L37" s="480"/>
      <c r="M37" s="468"/>
      <c r="N37" s="1687">
        <f>SUM(N36:N36)</f>
        <v>6203000</v>
      </c>
    </row>
    <row r="38" spans="1:14" s="329" customFormat="1" ht="13.5" customHeight="1" thickTop="1" x14ac:dyDescent="0.2">
      <c r="A38" s="496" t="s">
        <v>420</v>
      </c>
      <c r="B38" s="483">
        <v>714</v>
      </c>
      <c r="C38" s="466"/>
      <c r="D38" s="466"/>
      <c r="E38" s="466"/>
      <c r="F38" s="466"/>
      <c r="G38" s="466">
        <v>86295</v>
      </c>
      <c r="H38" s="466"/>
      <c r="I38" s="466"/>
      <c r="J38" s="467"/>
      <c r="K38" s="466"/>
      <c r="L38" s="481">
        <v>1273499</v>
      </c>
      <c r="M38" s="497"/>
      <c r="N38" s="497"/>
    </row>
    <row r="39" spans="1:14" s="329" customFormat="1" ht="13.5" customHeight="1" x14ac:dyDescent="0.2">
      <c r="A39" s="496" t="s">
        <v>342</v>
      </c>
      <c r="B39" s="483">
        <v>730</v>
      </c>
      <c r="C39" s="466">
        <v>7797759</v>
      </c>
      <c r="D39" s="466">
        <v>1155748</v>
      </c>
      <c r="E39" s="466">
        <v>-8399</v>
      </c>
      <c r="F39" s="466">
        <v>1413544</v>
      </c>
      <c r="G39" s="466">
        <v>452049</v>
      </c>
      <c r="H39" s="466">
        <v>719777</v>
      </c>
      <c r="I39" s="466">
        <v>3528984</v>
      </c>
      <c r="J39" s="467">
        <v>7112</v>
      </c>
      <c r="K39" s="466">
        <v>804859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24146805</v>
      </c>
      <c r="N40" s="497"/>
    </row>
    <row r="41" spans="1:14" ht="13.5" customHeight="1" thickBot="1" x14ac:dyDescent="0.25">
      <c r="A41" s="1735" t="s">
        <v>655</v>
      </c>
      <c r="B41" s="1705"/>
      <c r="C41" s="1687">
        <f>(SUM(C34,C37,C38,C39))</f>
        <v>7797759</v>
      </c>
      <c r="D41" s="1687">
        <f t="shared" ref="D41:L41" si="2">SUM(D34,D37,D38:D39)</f>
        <v>1155748</v>
      </c>
      <c r="E41" s="1687">
        <f t="shared" si="2"/>
        <v>116601</v>
      </c>
      <c r="F41" s="1687">
        <f t="shared" si="2"/>
        <v>1413544</v>
      </c>
      <c r="G41" s="1687">
        <f t="shared" si="2"/>
        <v>538344</v>
      </c>
      <c r="H41" s="1687">
        <f t="shared" si="2"/>
        <v>719777</v>
      </c>
      <c r="I41" s="1687">
        <f t="shared" si="2"/>
        <v>3528984</v>
      </c>
      <c r="J41" s="1687">
        <f t="shared" si="2"/>
        <v>7112</v>
      </c>
      <c r="K41" s="1687">
        <f t="shared" si="2"/>
        <v>804859</v>
      </c>
      <c r="L41" s="1687">
        <f t="shared" si="2"/>
        <v>1428548</v>
      </c>
      <c r="M41" s="1687">
        <f>SUM(M40)</f>
        <v>24146805</v>
      </c>
      <c r="N41" s="1687">
        <f>SUM(N37)</f>
        <v>6203000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 &amp;CThe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4" activePane="bottomLeft" state="frozen"/>
      <selection activeCell="W46" sqref="W46"/>
      <selection pane="bottomLeft" activeCell="W46" sqref="W4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7" t="s">
        <v>1499</v>
      </c>
      <c r="B4" s="1928">
        <v>1000</v>
      </c>
      <c r="C4" s="1741">
        <f>'Revenues 9-14'!C109</f>
        <v>3334872</v>
      </c>
      <c r="D4" s="1741">
        <f>'Revenues 9-14'!D109</f>
        <v>988730</v>
      </c>
      <c r="E4" s="1741">
        <f>'Revenues 9-14'!E109</f>
        <v>902741</v>
      </c>
      <c r="F4" s="1741">
        <f>'Revenues 9-14'!F109</f>
        <v>544101</v>
      </c>
      <c r="G4" s="1741">
        <f>'Revenues 9-14'!G109</f>
        <v>249947</v>
      </c>
      <c r="H4" s="1741">
        <f>'Revenues 9-14'!H109</f>
        <v>630716</v>
      </c>
      <c r="I4" s="1741">
        <f>'Revenues 9-14'!I109</f>
        <v>90714</v>
      </c>
      <c r="J4" s="1741">
        <f>'Revenues 9-14'!J109</f>
        <v>725171</v>
      </c>
      <c r="K4" s="1741">
        <f>'Revenues 9-14'!K109</f>
        <v>73821</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9447064</v>
      </c>
      <c r="D6" s="1742">
        <f>'Revenues 9-14'!D170</f>
        <v>0</v>
      </c>
      <c r="E6" s="1742">
        <f>'Revenues 9-14'!E170</f>
        <v>0</v>
      </c>
      <c r="F6" s="1742">
        <f>'Revenues 9-14'!F170</f>
        <v>720564</v>
      </c>
      <c r="G6" s="1742">
        <f>'Revenues 9-14'!G170</f>
        <v>30164</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1407810</v>
      </c>
      <c r="D7" s="1742">
        <f>'Revenues 9-14'!D267</f>
        <v>0</v>
      </c>
      <c r="E7" s="1742">
        <f>'Revenues 9-14'!E267</f>
        <v>0</v>
      </c>
      <c r="F7" s="1742">
        <f>'Revenues 9-14'!F267</f>
        <v>15366</v>
      </c>
      <c r="G7" s="1742">
        <f>'Revenues 9-14'!G267</f>
        <v>11864</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14189746</v>
      </c>
      <c r="D8" s="1687">
        <f t="shared" ref="D8:K8" si="0">SUM(D4:D7)</f>
        <v>988730</v>
      </c>
      <c r="E8" s="1687">
        <f t="shared" si="0"/>
        <v>902741</v>
      </c>
      <c r="F8" s="1687">
        <f t="shared" si="0"/>
        <v>1280031</v>
      </c>
      <c r="G8" s="1687">
        <f t="shared" si="0"/>
        <v>291975</v>
      </c>
      <c r="H8" s="1687">
        <f t="shared" si="0"/>
        <v>630716</v>
      </c>
      <c r="I8" s="1687">
        <f t="shared" si="0"/>
        <v>90714</v>
      </c>
      <c r="J8" s="1687">
        <f t="shared" si="0"/>
        <v>725171</v>
      </c>
      <c r="K8" s="1687">
        <f t="shared" si="0"/>
        <v>73821</v>
      </c>
      <c r="L8" s="347"/>
    </row>
    <row r="9" spans="1:13" ht="15.75" thickTop="1" x14ac:dyDescent="0.2">
      <c r="A9" s="514" t="s">
        <v>1653</v>
      </c>
      <c r="B9" s="515">
        <v>3998</v>
      </c>
      <c r="C9" s="481">
        <v>4695486</v>
      </c>
      <c r="D9" s="516"/>
      <c r="E9" s="481"/>
      <c r="F9" s="481"/>
      <c r="G9" s="517"/>
      <c r="H9" s="481"/>
      <c r="I9" s="509" t="s">
        <v>1169</v>
      </c>
      <c r="J9" s="478"/>
      <c r="K9" s="481"/>
      <c r="L9" s="347"/>
    </row>
    <row r="10" spans="1:13" s="519" customFormat="1" ht="13.5" thickBot="1" x14ac:dyDescent="0.25">
      <c r="A10" s="1735" t="s">
        <v>1173</v>
      </c>
      <c r="B10" s="1708"/>
      <c r="C10" s="1687">
        <f>SUM(C8:C9)</f>
        <v>18885232</v>
      </c>
      <c r="D10" s="1687">
        <f t="shared" ref="D10:K10" si="1">SUM(D8:D9)</f>
        <v>988730</v>
      </c>
      <c r="E10" s="1687">
        <f t="shared" si="1"/>
        <v>902741</v>
      </c>
      <c r="F10" s="1687">
        <f t="shared" si="1"/>
        <v>1280031</v>
      </c>
      <c r="G10" s="1687">
        <f t="shared" si="1"/>
        <v>291975</v>
      </c>
      <c r="H10" s="1687">
        <f t="shared" si="1"/>
        <v>630716</v>
      </c>
      <c r="I10" s="1687">
        <f t="shared" si="1"/>
        <v>90714</v>
      </c>
      <c r="J10" s="1687">
        <f t="shared" si="1"/>
        <v>725171</v>
      </c>
      <c r="K10" s="1687">
        <f t="shared" si="1"/>
        <v>73821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1">
        <f>'Expenditures 15-22'!K33</f>
        <v>7956616</v>
      </c>
      <c r="D12" s="520" t="s">
        <v>1169</v>
      </c>
      <c r="E12" s="468" t="s">
        <v>1169</v>
      </c>
      <c r="F12" s="468" t="s">
        <v>1169</v>
      </c>
      <c r="G12" s="1741">
        <f>'Expenditures 15-22'!K229</f>
        <v>183600</v>
      </c>
      <c r="H12" s="521"/>
      <c r="I12" s="468" t="s">
        <v>1169</v>
      </c>
      <c r="J12" s="468" t="s">
        <v>1169</v>
      </c>
      <c r="K12" s="521" t="s">
        <v>1169</v>
      </c>
      <c r="L12" s="347"/>
    </row>
    <row r="13" spans="1:13" ht="15.75" customHeight="1" x14ac:dyDescent="0.2">
      <c r="A13" s="1576" t="s">
        <v>457</v>
      </c>
      <c r="B13" s="1578">
        <v>2000</v>
      </c>
      <c r="C13" s="1742">
        <f>'Expenditures 15-22'!K74</f>
        <v>3463620</v>
      </c>
      <c r="D13" s="1742">
        <f>'Expenditures 15-22'!K129</f>
        <v>902655</v>
      </c>
      <c r="E13" s="469" t="s">
        <v>1169</v>
      </c>
      <c r="F13" s="1742">
        <f>'Expenditures 15-22'!K184</f>
        <v>983316</v>
      </c>
      <c r="G13" s="1742">
        <f>'Expenditures 15-22'!K279</f>
        <v>313778</v>
      </c>
      <c r="H13" s="1742">
        <f>'Expenditures 15-22'!K303</f>
        <v>692156</v>
      </c>
      <c r="I13" s="468" t="s">
        <v>1169</v>
      </c>
      <c r="J13" s="1742">
        <f>'Expenditures 15-22'!K330</f>
        <v>709461</v>
      </c>
      <c r="K13" s="1746">
        <f>'Expenditures 15-22'!K352</f>
        <v>814310</v>
      </c>
      <c r="L13" s="347"/>
    </row>
    <row r="14" spans="1:13" ht="15.75" customHeight="1" x14ac:dyDescent="0.2">
      <c r="A14" s="1576" t="s">
        <v>449</v>
      </c>
      <c r="B14" s="1578">
        <v>3000</v>
      </c>
      <c r="C14" s="1742">
        <f>'Expenditures 15-22'!K75</f>
        <v>31192</v>
      </c>
      <c r="D14" s="1742">
        <f>'Expenditures 15-22'!K130</f>
        <v>0</v>
      </c>
      <c r="E14" s="520" t="s">
        <v>1169</v>
      </c>
      <c r="F14" s="1742">
        <f>'Expenditures 15-22'!K185</f>
        <v>0</v>
      </c>
      <c r="G14" s="1742">
        <f>'Expenditures 15-22'!K280</f>
        <v>1073</v>
      </c>
      <c r="H14" s="512"/>
      <c r="I14" s="468" t="s">
        <v>1169</v>
      </c>
      <c r="J14" s="468" t="s">
        <v>1169</v>
      </c>
      <c r="K14" s="512" t="s">
        <v>1169</v>
      </c>
      <c r="L14" s="347"/>
    </row>
    <row r="15" spans="1:13" ht="15.75" customHeight="1" x14ac:dyDescent="0.2">
      <c r="A15" s="1576" t="s">
        <v>107</v>
      </c>
      <c r="B15" s="1578">
        <v>4000</v>
      </c>
      <c r="C15" s="1742">
        <f>'Expenditures 15-22'!K102</f>
        <v>813507</v>
      </c>
      <c r="D15" s="1742">
        <f>'Expenditures 15-22'!K139</f>
        <v>0</v>
      </c>
      <c r="E15" s="1742">
        <f>'Expenditures 15-22'!K160</f>
        <v>0</v>
      </c>
      <c r="F15" s="1742">
        <f>'Expenditures 15-22'!K196</f>
        <v>85850</v>
      </c>
      <c r="G15" s="1742">
        <f>'Expenditures 15-22'!K285</f>
        <v>0</v>
      </c>
      <c r="H15" s="1742">
        <f>'Expenditures 15-22'!K310</f>
        <v>0</v>
      </c>
      <c r="I15" s="468" t="s">
        <v>1169</v>
      </c>
      <c r="J15" s="1834">
        <f>'Expenditures 15-22'!K334</f>
        <v>150000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985293</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12264935</v>
      </c>
      <c r="D17" s="1687">
        <f t="shared" si="2"/>
        <v>902655</v>
      </c>
      <c r="E17" s="1687">
        <f t="shared" si="2"/>
        <v>985293</v>
      </c>
      <c r="F17" s="1687">
        <f t="shared" si="2"/>
        <v>1069166</v>
      </c>
      <c r="G17" s="1687">
        <f t="shared" si="2"/>
        <v>498451</v>
      </c>
      <c r="H17" s="1687">
        <f t="shared" si="2"/>
        <v>692156</v>
      </c>
      <c r="I17" s="468"/>
      <c r="J17" s="1687">
        <f>SUM(J12:J16)</f>
        <v>859461</v>
      </c>
      <c r="K17" s="1687">
        <f>SUM(K12:K16)</f>
        <v>814310</v>
      </c>
      <c r="L17" s="347"/>
    </row>
    <row r="18" spans="1:12" ht="15" customHeight="1" thickTop="1" x14ac:dyDescent="0.2">
      <c r="A18" s="1743" t="s">
        <v>1654</v>
      </c>
      <c r="B18" s="1744">
        <v>4180</v>
      </c>
      <c r="C18" s="1741">
        <f t="shared" ref="C18:H18" si="3">C9</f>
        <v>4695486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16960421</v>
      </c>
      <c r="D19" s="1687">
        <f t="shared" si="4"/>
        <v>902655</v>
      </c>
      <c r="E19" s="1687">
        <f t="shared" si="4"/>
        <v>985293</v>
      </c>
      <c r="F19" s="1687">
        <f t="shared" si="4"/>
        <v>1069166</v>
      </c>
      <c r="G19" s="1687">
        <f t="shared" si="4"/>
        <v>498451</v>
      </c>
      <c r="H19" s="1687">
        <f t="shared" si="4"/>
        <v>692156</v>
      </c>
      <c r="I19" s="468"/>
      <c r="J19" s="1687">
        <f>SUM(J17:J18)</f>
        <v>859461</v>
      </c>
      <c r="K19" s="1687">
        <f>SUM(K17:K18)</f>
        <v>814310</v>
      </c>
      <c r="L19" s="347"/>
    </row>
    <row r="20" spans="1:12" ht="16.5" thickTop="1" thickBot="1" x14ac:dyDescent="0.25">
      <c r="A20" s="2125" t="s">
        <v>1655</v>
      </c>
      <c r="B20" s="2126"/>
      <c r="C20" s="1745">
        <f>C8-C17</f>
        <v>1924811</v>
      </c>
      <c r="D20" s="1745">
        <f t="shared" ref="D20:K20" si="5">D8-D17</f>
        <v>86075</v>
      </c>
      <c r="E20" s="1745">
        <f t="shared" si="5"/>
        <v>-82552</v>
      </c>
      <c r="F20" s="1745">
        <f t="shared" si="5"/>
        <v>210865</v>
      </c>
      <c r="G20" s="1745">
        <f t="shared" si="5"/>
        <v>-206476</v>
      </c>
      <c r="H20" s="1745">
        <f t="shared" si="5"/>
        <v>-61440</v>
      </c>
      <c r="I20" s="1745">
        <f t="shared" si="5"/>
        <v>90714</v>
      </c>
      <c r="J20" s="1745">
        <f t="shared" si="5"/>
        <v>-134290</v>
      </c>
      <c r="K20" s="1745">
        <f t="shared" si="5"/>
        <v>-740489</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v>25085</v>
      </c>
      <c r="F25" s="467"/>
      <c r="G25" s="467"/>
      <c r="H25" s="467">
        <v>634000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1978000</v>
      </c>
      <c r="J33" s="467"/>
      <c r="K33" s="467"/>
      <c r="L33" s="524"/>
    </row>
    <row r="34" spans="1:12" s="485" customFormat="1" x14ac:dyDescent="0.2">
      <c r="A34" s="1489" t="s">
        <v>1001</v>
      </c>
      <c r="B34" s="525">
        <v>7220</v>
      </c>
      <c r="C34" s="467"/>
      <c r="D34" s="467"/>
      <c r="E34" s="467"/>
      <c r="F34" s="467"/>
      <c r="G34" s="477"/>
      <c r="H34" s="478"/>
      <c r="I34" s="478">
        <v>30080</v>
      </c>
      <c r="J34" s="478"/>
      <c r="K34" s="478"/>
      <c r="L34" s="524"/>
    </row>
    <row r="35" spans="1:12" s="485" customFormat="1" x14ac:dyDescent="0.2">
      <c r="A35" s="1489" t="s">
        <v>990</v>
      </c>
      <c r="B35" s="525">
        <v>7230</v>
      </c>
      <c r="C35" s="467"/>
      <c r="D35" s="467"/>
      <c r="E35" s="467">
        <v>207</v>
      </c>
      <c r="F35" s="467"/>
      <c r="G35" s="480"/>
      <c r="H35" s="467"/>
      <c r="I35" s="467"/>
      <c r="J35" s="467"/>
      <c r="K35" s="467"/>
      <c r="L35" s="524"/>
    </row>
    <row r="36" spans="1:12" s="485" customFormat="1" ht="15" x14ac:dyDescent="0.2">
      <c r="A36" s="1489" t="s">
        <v>1658</v>
      </c>
      <c r="B36" s="525">
        <v>7300</v>
      </c>
      <c r="C36" s="467"/>
      <c r="D36" s="467"/>
      <c r="E36" s="467"/>
      <c r="F36" s="467">
        <v>11584</v>
      </c>
      <c r="G36" s="467"/>
      <c r="H36" s="467"/>
      <c r="I36" s="475"/>
      <c r="J36" s="467"/>
      <c r="K36" s="467"/>
      <c r="L36" s="524"/>
    </row>
    <row r="37" spans="1:12" s="485" customFormat="1" x14ac:dyDescent="0.2">
      <c r="A37" s="1489" t="s">
        <v>441</v>
      </c>
      <c r="B37" s="525">
        <v>7400</v>
      </c>
      <c r="C37" s="475"/>
      <c r="D37" s="475"/>
      <c r="E37" s="1742">
        <f>SUM(C54:D57,H54:H57)</f>
        <v>46000</v>
      </c>
      <c r="F37" s="475"/>
      <c r="G37" s="475"/>
      <c r="H37" s="475"/>
      <c r="I37" s="477"/>
      <c r="J37" s="475"/>
      <c r="K37" s="475"/>
      <c r="L37" s="524"/>
    </row>
    <row r="38" spans="1:12" s="485" customFormat="1" x14ac:dyDescent="0.2">
      <c r="A38" s="1489" t="s">
        <v>442</v>
      </c>
      <c r="B38" s="525">
        <v>7500</v>
      </c>
      <c r="C38" s="477"/>
      <c r="D38" s="477"/>
      <c r="E38" s="1742">
        <f>SUM(C58:D61,H58:H61)</f>
        <v>9133</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2">
        <f>SUM(C24:C43)</f>
        <v>0</v>
      </c>
      <c r="D44" s="1702">
        <f t="shared" ref="D44:K44" si="6">SUM(D24:D43)</f>
        <v>0</v>
      </c>
      <c r="E44" s="1702">
        <f t="shared" si="6"/>
        <v>80425</v>
      </c>
      <c r="F44" s="1702">
        <f t="shared" si="6"/>
        <v>11584</v>
      </c>
      <c r="G44" s="1702">
        <f t="shared" si="6"/>
        <v>0</v>
      </c>
      <c r="H44" s="1702">
        <f t="shared" si="6"/>
        <v>634000</v>
      </c>
      <c r="I44" s="1702">
        <f t="shared" si="6"/>
        <v>2008080</v>
      </c>
      <c r="J44" s="1702">
        <f t="shared" si="6"/>
        <v>0</v>
      </c>
      <c r="K44" s="1702">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659085</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2">
        <f>D30</f>
        <v>0</v>
      </c>
      <c r="L52" s="524"/>
    </row>
    <row r="53" spans="1:12" s="485" customFormat="1" ht="26.25" x14ac:dyDescent="0.2">
      <c r="A53" s="1490" t="s">
        <v>1793</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v>46000</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v>9133</v>
      </c>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2">
        <f t="shared" ref="C76:K76" si="7">SUM(C47:C75)</f>
        <v>55133</v>
      </c>
      <c r="D76" s="1702">
        <f t="shared" si="7"/>
        <v>0</v>
      </c>
      <c r="E76" s="1702">
        <f t="shared" si="7"/>
        <v>0</v>
      </c>
      <c r="F76" s="1702">
        <f t="shared" si="7"/>
        <v>0</v>
      </c>
      <c r="G76" s="1702">
        <f t="shared" si="7"/>
        <v>0</v>
      </c>
      <c r="H76" s="1702">
        <f t="shared" si="7"/>
        <v>0</v>
      </c>
      <c r="I76" s="1702">
        <f t="shared" si="7"/>
        <v>659085</v>
      </c>
      <c r="J76" s="1702">
        <f t="shared" si="7"/>
        <v>0</v>
      </c>
      <c r="K76" s="1702">
        <f t="shared" si="7"/>
        <v>0</v>
      </c>
      <c r="L76" s="524"/>
    </row>
    <row r="77" spans="1:12" ht="14.25" thickTop="1" thickBot="1" x14ac:dyDescent="0.25">
      <c r="A77" s="2117" t="s">
        <v>1177</v>
      </c>
      <c r="B77" s="2118"/>
      <c r="C77" s="1702">
        <f t="shared" ref="C77:K77" si="8">C44-C76</f>
        <v>-55133</v>
      </c>
      <c r="D77" s="1702">
        <f t="shared" si="8"/>
        <v>0</v>
      </c>
      <c r="E77" s="1702">
        <f t="shared" si="8"/>
        <v>80425</v>
      </c>
      <c r="F77" s="1702">
        <f t="shared" si="8"/>
        <v>11584</v>
      </c>
      <c r="G77" s="1702">
        <f t="shared" si="8"/>
        <v>0</v>
      </c>
      <c r="H77" s="1702">
        <f t="shared" si="8"/>
        <v>634000</v>
      </c>
      <c r="I77" s="1702">
        <f t="shared" si="8"/>
        <v>1348995</v>
      </c>
      <c r="J77" s="1702">
        <f t="shared" si="8"/>
        <v>0</v>
      </c>
      <c r="K77" s="1702">
        <f t="shared" si="8"/>
        <v>0</v>
      </c>
      <c r="L77" s="347"/>
    </row>
    <row r="78" spans="1:12" ht="21.75" customHeight="1" thickTop="1" thickBot="1" x14ac:dyDescent="0.25">
      <c r="A78" s="2121" t="s">
        <v>597</v>
      </c>
      <c r="B78" s="2122"/>
      <c r="C78" s="1701">
        <f t="shared" ref="C78:K78" si="9">C20+C77</f>
        <v>1869678</v>
      </c>
      <c r="D78" s="1701">
        <f t="shared" si="9"/>
        <v>86075</v>
      </c>
      <c r="E78" s="1701">
        <f t="shared" si="9"/>
        <v>-2127</v>
      </c>
      <c r="F78" s="1701">
        <f t="shared" si="9"/>
        <v>222449</v>
      </c>
      <c r="G78" s="1701">
        <f t="shared" si="9"/>
        <v>-206476</v>
      </c>
      <c r="H78" s="1701">
        <f t="shared" si="9"/>
        <v>572560</v>
      </c>
      <c r="I78" s="1701">
        <f t="shared" si="9"/>
        <v>1439709</v>
      </c>
      <c r="J78" s="1701">
        <f t="shared" si="9"/>
        <v>-134290</v>
      </c>
      <c r="K78" s="1701">
        <f t="shared" si="9"/>
        <v>-740489</v>
      </c>
      <c r="L78" s="533"/>
    </row>
    <row r="79" spans="1:12" ht="13.5" thickTop="1" x14ac:dyDescent="0.2">
      <c r="A79" s="1494" t="s">
        <v>1944</v>
      </c>
      <c r="B79" s="534"/>
      <c r="C79" s="478">
        <v>5928081</v>
      </c>
      <c r="D79" s="535">
        <v>1069673</v>
      </c>
      <c r="E79" s="535">
        <v>-6272</v>
      </c>
      <c r="F79" s="535">
        <v>1191095</v>
      </c>
      <c r="G79" s="535">
        <v>744820</v>
      </c>
      <c r="H79" s="535">
        <v>147217</v>
      </c>
      <c r="I79" s="535">
        <v>2089275</v>
      </c>
      <c r="J79" s="535">
        <v>141402</v>
      </c>
      <c r="K79" s="535">
        <v>1545348</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1945</v>
      </c>
      <c r="B81" s="2120"/>
      <c r="C81" s="1687">
        <f>(SUM(C78:C80))</f>
        <v>7797759</v>
      </c>
      <c r="D81" s="1687">
        <f>SUM(D78:D80)</f>
        <v>1155748</v>
      </c>
      <c r="E81" s="1687">
        <f t="shared" ref="E81:K81" si="10">SUM(E78:E80)</f>
        <v>-8399</v>
      </c>
      <c r="F81" s="1687">
        <f t="shared" si="10"/>
        <v>1413544</v>
      </c>
      <c r="G81" s="1687">
        <f t="shared" si="10"/>
        <v>538344</v>
      </c>
      <c r="H81" s="1687">
        <f t="shared" si="10"/>
        <v>719777</v>
      </c>
      <c r="I81" s="1687">
        <f t="shared" si="10"/>
        <v>3528984</v>
      </c>
      <c r="J81" s="1687">
        <f t="shared" si="10"/>
        <v>7112</v>
      </c>
      <c r="K81" s="1687">
        <f t="shared" si="10"/>
        <v>804859</v>
      </c>
      <c r="L81" s="347"/>
    </row>
    <row r="82" spans="1:12" ht="0.75" customHeight="1" thickTop="1" thickBot="1" x14ac:dyDescent="0.25">
      <c r="A82" s="536" t="s">
        <v>343</v>
      </c>
      <c r="B82" s="537"/>
      <c r="C82" s="538">
        <f>(C81-C79)</f>
        <v>1869678</v>
      </c>
      <c r="D82" s="538">
        <f t="shared" ref="D82:K82" si="11">(D81-D79)</f>
        <v>86075</v>
      </c>
      <c r="E82" s="538">
        <f t="shared" si="11"/>
        <v>-2127</v>
      </c>
      <c r="F82" s="538">
        <f t="shared" si="11"/>
        <v>222449</v>
      </c>
      <c r="G82" s="538">
        <f t="shared" si="11"/>
        <v>-206476</v>
      </c>
      <c r="H82" s="538">
        <f t="shared" si="11"/>
        <v>572560</v>
      </c>
      <c r="I82" s="538">
        <f t="shared" si="11"/>
        <v>1439709</v>
      </c>
      <c r="J82" s="538">
        <f t="shared" si="11"/>
        <v>-134290</v>
      </c>
      <c r="K82" s="538">
        <f t="shared" si="11"/>
        <v>-740489</v>
      </c>
    </row>
    <row r="83" spans="1:12" ht="14.25" hidden="1" thickTop="1" thickBot="1" x14ac:dyDescent="0.25">
      <c r="A83" s="539" t="s">
        <v>344</v>
      </c>
      <c r="B83" s="464"/>
      <c r="C83" s="540">
        <f>C82/C81</f>
        <v>0.23977119580125519</v>
      </c>
      <c r="D83" s="540">
        <f t="shared" ref="D83:K83" si="12">D82/D81</f>
        <v>7.4475577721094907E-2</v>
      </c>
      <c r="E83" s="540">
        <f t="shared" si="12"/>
        <v>0.25324443386117396</v>
      </c>
      <c r="F83" s="540">
        <f t="shared" si="12"/>
        <v>0.15736970338383524</v>
      </c>
      <c r="G83" s="540">
        <f t="shared" si="12"/>
        <v>-0.38353914968867492</v>
      </c>
      <c r="H83" s="540">
        <f t="shared" si="12"/>
        <v>0.79546859652364554</v>
      </c>
      <c r="I83" s="540">
        <f t="shared" si="12"/>
        <v>0.40796699559986671</v>
      </c>
      <c r="J83" s="540">
        <f t="shared" si="12"/>
        <v>-18.88217097862767</v>
      </c>
      <c r="K83" s="540">
        <f t="shared" si="12"/>
        <v>-0.92002325873227486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 &amp;CThe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3" activePane="bottomLeft" state="frozen"/>
      <selection activeCell="W46" sqref="W46"/>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2966642</v>
      </c>
      <c r="D5" s="481">
        <v>922955</v>
      </c>
      <c r="E5" s="466">
        <v>900527</v>
      </c>
      <c r="F5" s="548">
        <v>263701</v>
      </c>
      <c r="G5" s="466">
        <v>74720</v>
      </c>
      <c r="H5" s="466"/>
      <c r="I5" s="466">
        <v>65925</v>
      </c>
      <c r="J5" s="467">
        <v>722344</v>
      </c>
      <c r="K5" s="466">
        <v>65925</v>
      </c>
    </row>
    <row r="6" spans="1:12" ht="15" x14ac:dyDescent="0.2">
      <c r="A6" s="463" t="s">
        <v>1662</v>
      </c>
      <c r="B6" s="470">
        <v>1130</v>
      </c>
      <c r="C6" s="466">
        <v>65925</v>
      </c>
      <c r="D6" s="466"/>
      <c r="E6" s="475"/>
      <c r="F6" s="475"/>
      <c r="G6" s="468"/>
      <c r="H6" s="468"/>
      <c r="I6" s="468"/>
      <c r="J6" s="468"/>
      <c r="K6" s="468"/>
    </row>
    <row r="7" spans="1:12" x14ac:dyDescent="0.2">
      <c r="A7" s="463" t="s">
        <v>110</v>
      </c>
      <c r="B7" s="549">
        <v>1140</v>
      </c>
      <c r="C7" s="466">
        <v>52740</v>
      </c>
      <c r="D7" s="466"/>
      <c r="E7" s="468"/>
      <c r="F7" s="467"/>
      <c r="G7" s="467"/>
      <c r="H7" s="467"/>
      <c r="I7" s="468"/>
      <c r="J7" s="468"/>
      <c r="K7" s="468"/>
    </row>
    <row r="8" spans="1:12" x14ac:dyDescent="0.2">
      <c r="A8" s="463" t="s">
        <v>413</v>
      </c>
      <c r="B8" s="470">
        <v>1150</v>
      </c>
      <c r="C8" s="475"/>
      <c r="D8" s="475"/>
      <c r="E8" s="477"/>
      <c r="F8" s="477"/>
      <c r="G8" s="481">
        <v>149453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3085307</v>
      </c>
      <c r="D12" s="1706">
        <f t="shared" si="0"/>
        <v>922955</v>
      </c>
      <c r="E12" s="1706">
        <f t="shared" si="0"/>
        <v>900527</v>
      </c>
      <c r="F12" s="1706">
        <f t="shared" si="0"/>
        <v>263701</v>
      </c>
      <c r="G12" s="1706">
        <f t="shared" si="0"/>
        <v>224173</v>
      </c>
      <c r="H12" s="1706">
        <f t="shared" si="0"/>
        <v>0</v>
      </c>
      <c r="I12" s="1706">
        <f t="shared" si="0"/>
        <v>65925</v>
      </c>
      <c r="J12" s="1706">
        <f t="shared" si="0"/>
        <v>722344</v>
      </c>
      <c r="K12" s="1687">
        <f t="shared" si="0"/>
        <v>65925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1052</v>
      </c>
      <c r="D14" s="466"/>
      <c r="E14" s="466"/>
      <c r="F14" s="466"/>
      <c r="G14" s="466"/>
      <c r="H14" s="466"/>
      <c r="I14" s="466"/>
      <c r="J14" s="467"/>
      <c r="K14" s="466"/>
    </row>
    <row r="15" spans="1:12" ht="12.75" customHeight="1" x14ac:dyDescent="0.2">
      <c r="A15" s="463" t="s">
        <v>95</v>
      </c>
      <c r="B15" s="470">
        <v>1220</v>
      </c>
      <c r="C15" s="551">
        <v>20845</v>
      </c>
      <c r="D15" s="466"/>
      <c r="E15" s="466"/>
      <c r="F15" s="466"/>
      <c r="G15" s="466"/>
      <c r="H15" s="466"/>
      <c r="I15" s="466"/>
      <c r="J15" s="467"/>
      <c r="K15" s="466"/>
    </row>
    <row r="16" spans="1:12" ht="15" customHeight="1" x14ac:dyDescent="0.2">
      <c r="A16" s="463" t="s">
        <v>1663</v>
      </c>
      <c r="B16" s="549">
        <v>1230</v>
      </c>
      <c r="C16" s="551">
        <v>47588</v>
      </c>
      <c r="D16" s="466"/>
      <c r="E16" s="466"/>
      <c r="F16" s="466">
        <v>268000</v>
      </c>
      <c r="G16" s="466">
        <v>20000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69485</v>
      </c>
      <c r="D18" s="1709">
        <f t="shared" ref="D18:K18" si="1">SUM(D14:D17)</f>
        <v>0</v>
      </c>
      <c r="E18" s="1709">
        <f t="shared" si="1"/>
        <v>0</v>
      </c>
      <c r="F18" s="1709">
        <f t="shared" si="1"/>
        <v>268000</v>
      </c>
      <c r="G18" s="1709">
        <f t="shared" si="1"/>
        <v>20000</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3560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3560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3716</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3716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58796</v>
      </c>
      <c r="D65" s="466">
        <v>11057</v>
      </c>
      <c r="E65" s="466">
        <v>2214</v>
      </c>
      <c r="F65" s="467">
        <v>7644</v>
      </c>
      <c r="G65" s="466">
        <v>5716</v>
      </c>
      <c r="H65" s="466">
        <v>2515</v>
      </c>
      <c r="I65" s="466">
        <v>24789</v>
      </c>
      <c r="J65" s="467">
        <v>2827</v>
      </c>
      <c r="K65" s="466">
        <v>7896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58796</v>
      </c>
      <c r="D67" s="1687">
        <f t="shared" ref="D67:K67" si="2">SUM(D65:D66)</f>
        <v>11057</v>
      </c>
      <c r="E67" s="1687">
        <f t="shared" si="2"/>
        <v>2214</v>
      </c>
      <c r="F67" s="1687">
        <f t="shared" si="2"/>
        <v>7644</v>
      </c>
      <c r="G67" s="1687">
        <f t="shared" si="2"/>
        <v>5716</v>
      </c>
      <c r="H67" s="1687">
        <f t="shared" si="2"/>
        <v>2515</v>
      </c>
      <c r="I67" s="1687">
        <f t="shared" si="2"/>
        <v>24789</v>
      </c>
      <c r="J67" s="1687">
        <f t="shared" si="2"/>
        <v>2827</v>
      </c>
      <c r="K67" s="1687">
        <f t="shared" si="2"/>
        <v>7896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3807</v>
      </c>
      <c r="D69" s="468"/>
      <c r="E69" s="468"/>
      <c r="F69" s="468"/>
      <c r="G69" s="468"/>
      <c r="H69" s="468"/>
      <c r="I69" s="468"/>
      <c r="J69" s="468"/>
      <c r="K69" s="468"/>
    </row>
    <row r="70" spans="1:11" ht="12.75" customHeight="1" x14ac:dyDescent="0.2">
      <c r="A70" s="463" t="s">
        <v>997</v>
      </c>
      <c r="B70" s="470">
        <v>1612</v>
      </c>
      <c r="C70" s="551">
        <v>130</v>
      </c>
      <c r="D70" s="468"/>
      <c r="E70" s="468"/>
      <c r="F70" s="468"/>
      <c r="G70" s="468"/>
      <c r="H70" s="468"/>
      <c r="I70" s="468"/>
      <c r="J70" s="468"/>
      <c r="K70" s="468"/>
    </row>
    <row r="71" spans="1:11" ht="12.75" customHeight="1" x14ac:dyDescent="0.2">
      <c r="A71" s="463" t="s">
        <v>273</v>
      </c>
      <c r="B71" s="470">
        <v>1613</v>
      </c>
      <c r="C71" s="551">
        <v>621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786</v>
      </c>
      <c r="D73" s="468"/>
      <c r="E73" s="468"/>
      <c r="F73" s="468"/>
      <c r="G73" s="468"/>
      <c r="H73" s="468"/>
      <c r="I73" s="468"/>
      <c r="J73" s="468"/>
      <c r="K73" s="468"/>
    </row>
    <row r="74" spans="1:11" ht="12.75" customHeight="1" x14ac:dyDescent="0.2">
      <c r="A74" s="463" t="s">
        <v>25</v>
      </c>
      <c r="B74" s="470">
        <v>1690</v>
      </c>
      <c r="C74" s="551">
        <v>21761</v>
      </c>
      <c r="D74" s="468"/>
      <c r="E74" s="468"/>
      <c r="F74" s="468"/>
      <c r="G74" s="468"/>
      <c r="H74" s="468"/>
      <c r="I74" s="468"/>
      <c r="J74" s="468"/>
      <c r="K74" s="468"/>
    </row>
    <row r="75" spans="1:11" ht="12.75" customHeight="1" thickBot="1" x14ac:dyDescent="0.25">
      <c r="A75" s="1707" t="s">
        <v>548</v>
      </c>
      <c r="B75" s="1708"/>
      <c r="C75" s="1687">
        <f>SUM(C69:C74)</f>
        <v>27105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22301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120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50</v>
      </c>
      <c r="D81" s="466"/>
      <c r="E81" s="468"/>
      <c r="F81" s="468"/>
      <c r="G81" s="468"/>
      <c r="H81" s="468"/>
      <c r="I81" s="468"/>
      <c r="J81" s="468"/>
      <c r="K81" s="468"/>
    </row>
    <row r="82" spans="1:11" ht="12.75" customHeight="1" thickBot="1" x14ac:dyDescent="0.25">
      <c r="A82" s="1707" t="s">
        <v>241</v>
      </c>
      <c r="B82" s="1708"/>
      <c r="C82" s="1706">
        <f>SUM(C77:C81)</f>
        <v>22471</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21085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2116</v>
      </c>
      <c r="D92" s="468"/>
      <c r="E92" s="468"/>
      <c r="F92" s="468"/>
      <c r="G92" s="468"/>
      <c r="H92" s="468"/>
      <c r="I92" s="468"/>
      <c r="J92" s="468"/>
      <c r="K92" s="468"/>
    </row>
    <row r="93" spans="1:11" ht="12.75" customHeight="1" thickBot="1" x14ac:dyDescent="0.25">
      <c r="A93" s="1707" t="s">
        <v>243</v>
      </c>
      <c r="B93" s="1708"/>
      <c r="C93" s="1687">
        <f>SUM(C84:C92)</f>
        <v>23201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52805</v>
      </c>
      <c r="E95" s="521"/>
      <c r="F95" s="521"/>
      <c r="G95" s="521"/>
      <c r="H95" s="521"/>
      <c r="I95" s="521"/>
      <c r="J95" s="521"/>
      <c r="K95" s="521"/>
    </row>
    <row r="96" spans="1:11" ht="12.75" customHeight="1" x14ac:dyDescent="0.2">
      <c r="A96" s="463" t="s">
        <v>391</v>
      </c>
      <c r="B96" s="470">
        <v>1920</v>
      </c>
      <c r="C96" s="551"/>
      <c r="D96" s="551">
        <v>1000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629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2800</v>
      </c>
      <c r="D101" s="526"/>
      <c r="E101" s="480"/>
      <c r="F101" s="526"/>
      <c r="G101" s="475"/>
      <c r="H101" s="526"/>
      <c r="I101" s="468"/>
      <c r="J101" s="475"/>
      <c r="K101" s="475"/>
    </row>
    <row r="102" spans="1:12" ht="12.75" customHeight="1" x14ac:dyDescent="0.2">
      <c r="A102" s="463" t="s">
        <v>247</v>
      </c>
      <c r="B102" s="470">
        <v>1980</v>
      </c>
      <c r="C102" s="489">
        <v>2000</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628201</v>
      </c>
      <c r="I103" s="468"/>
      <c r="J103" s="510"/>
      <c r="K103" s="510"/>
    </row>
    <row r="104" spans="1:12" ht="12.75" customHeight="1" x14ac:dyDescent="0.2">
      <c r="A104" s="463" t="s">
        <v>830</v>
      </c>
      <c r="B104" s="470">
        <v>1991</v>
      </c>
      <c r="C104" s="489">
        <v>30942</v>
      </c>
      <c r="D104" s="466"/>
      <c r="E104" s="481"/>
      <c r="F104" s="467">
        <v>640</v>
      </c>
      <c r="G104" s="467">
        <v>58</v>
      </c>
      <c r="H104" s="466">
        <v>0</v>
      </c>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8576</v>
      </c>
      <c r="D107" s="466">
        <v>913</v>
      </c>
      <c r="E107" s="466"/>
      <c r="F107" s="466">
        <v>400</v>
      </c>
      <c r="G107" s="466"/>
      <c r="H107" s="466"/>
      <c r="I107" s="466"/>
      <c r="J107" s="467"/>
      <c r="K107" s="466"/>
    </row>
    <row r="108" spans="1:12" ht="12.75" customHeight="1" thickBot="1" x14ac:dyDescent="0.25">
      <c r="A108" s="1707" t="s">
        <v>487</v>
      </c>
      <c r="B108" s="1711"/>
      <c r="C108" s="1706">
        <f>SUM(C95:C107)</f>
        <v>44947</v>
      </c>
      <c r="D108" s="1706">
        <f t="shared" ref="D108:K108" si="3">SUM(D95:D107)</f>
        <v>54718</v>
      </c>
      <c r="E108" s="1706">
        <f t="shared" si="3"/>
        <v>0</v>
      </c>
      <c r="F108" s="1706">
        <f t="shared" si="3"/>
        <v>1040</v>
      </c>
      <c r="G108" s="1706">
        <f t="shared" si="3"/>
        <v>58</v>
      </c>
      <c r="H108" s="1706">
        <f t="shared" si="3"/>
        <v>628201</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3334872</v>
      </c>
      <c r="D109" s="1714">
        <f t="shared" si="4"/>
        <v>988730</v>
      </c>
      <c r="E109" s="1714">
        <f t="shared" si="4"/>
        <v>902741</v>
      </c>
      <c r="F109" s="1714">
        <f t="shared" si="4"/>
        <v>544101</v>
      </c>
      <c r="G109" s="1714">
        <f t="shared" si="4"/>
        <v>249947</v>
      </c>
      <c r="H109" s="1714">
        <f t="shared" si="4"/>
        <v>630716</v>
      </c>
      <c r="I109" s="1714">
        <f t="shared" si="4"/>
        <v>90714</v>
      </c>
      <c r="J109" s="1714">
        <f t="shared" si="4"/>
        <v>725171</v>
      </c>
      <c r="K109" s="1701">
        <f t="shared" si="4"/>
        <v>73821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8897256</v>
      </c>
      <c r="D117" s="481"/>
      <c r="E117" s="466"/>
      <c r="F117" s="481">
        <v>148000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9"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8897256</v>
      </c>
      <c r="D122" s="1706">
        <f t="shared" si="5"/>
        <v>0</v>
      </c>
      <c r="E122" s="1706">
        <f t="shared" si="5"/>
        <v>0</v>
      </c>
      <c r="F122" s="1706">
        <f t="shared" si="5"/>
        <v>148000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77375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77375</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22186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19005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41191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13721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32123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295723</v>
      </c>
      <c r="G152" s="467"/>
      <c r="H152" s="468"/>
      <c r="I152" s="468"/>
      <c r="J152" s="468"/>
      <c r="K152" s="468"/>
    </row>
    <row r="153" spans="1:11" ht="12.75" customHeight="1" x14ac:dyDescent="0.2">
      <c r="A153" s="463" t="s">
        <v>1057</v>
      </c>
      <c r="B153" s="562">
        <v>3510</v>
      </c>
      <c r="C153" s="551"/>
      <c r="D153" s="466"/>
      <c r="E153" s="561"/>
      <c r="F153" s="466">
        <v>174119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469842</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339417</v>
      </c>
      <c r="D159" s="578"/>
      <c r="E159" s="561"/>
      <c r="F159" s="576">
        <v>102722</v>
      </c>
      <c r="G159" s="576">
        <v>30164</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45981</v>
      </c>
      <c r="D168" s="580"/>
      <c r="E168" s="580"/>
      <c r="F168" s="580"/>
      <c r="G168" s="581"/>
      <c r="H168" s="582"/>
      <c r="I168" s="581"/>
      <c r="J168" s="581"/>
      <c r="K168" s="582"/>
    </row>
    <row r="169" spans="1:11" ht="12.75" customHeight="1" thickTop="1" thickBot="1" x14ac:dyDescent="0.25">
      <c r="A169" s="2143" t="s">
        <v>398</v>
      </c>
      <c r="B169" s="2144"/>
      <c r="C169" s="1721">
        <f t="shared" ref="C169:K169" si="6">SUM(C132,C141,C145,C146:C150,C155,C156:C167,C168)</f>
        <v>549808</v>
      </c>
      <c r="D169" s="1721">
        <f t="shared" si="6"/>
        <v>0</v>
      </c>
      <c r="E169" s="1721">
        <f t="shared" si="6"/>
        <v>0</v>
      </c>
      <c r="F169" s="1721">
        <f t="shared" si="6"/>
        <v>572564</v>
      </c>
      <c r="G169" s="1721">
        <f t="shared" si="6"/>
        <v>30164</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9447064</v>
      </c>
      <c r="D170" s="1714">
        <f t="shared" si="7"/>
        <v>0</v>
      </c>
      <c r="E170" s="1714">
        <f t="shared" si="7"/>
        <v>0</v>
      </c>
      <c r="F170" s="1714">
        <f t="shared" si="7"/>
        <v>720564</v>
      </c>
      <c r="G170" s="1714">
        <f t="shared" si="7"/>
        <v>30164</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17301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17301</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518094</v>
      </c>
      <c r="D191" s="468"/>
      <c r="E191" s="561"/>
      <c r="F191" s="468"/>
      <c r="G191" s="585"/>
      <c r="H191" s="468"/>
      <c r="I191" s="468"/>
      <c r="J191" s="468"/>
      <c r="K191" s="468"/>
    </row>
    <row r="192" spans="1:11" ht="12.75" customHeight="1" x14ac:dyDescent="0.2">
      <c r="A192" s="463" t="s">
        <v>1047</v>
      </c>
      <c r="B192" s="470">
        <v>4215</v>
      </c>
      <c r="C192" s="551">
        <v>1023</v>
      </c>
      <c r="D192" s="468"/>
      <c r="E192" s="561"/>
      <c r="F192" s="468"/>
      <c r="G192" s="585"/>
      <c r="H192" s="468"/>
      <c r="I192" s="468"/>
      <c r="J192" s="468"/>
      <c r="K192" s="468"/>
    </row>
    <row r="193" spans="1:11" ht="12.75" customHeight="1" x14ac:dyDescent="0.2">
      <c r="A193" s="463" t="s">
        <v>1059</v>
      </c>
      <c r="B193" s="470">
        <v>4220</v>
      </c>
      <c r="C193" s="551">
        <v>171005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690122</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550534</v>
      </c>
      <c r="D200" s="466"/>
      <c r="E200" s="468"/>
      <c r="F200" s="466"/>
      <c r="G200" s="466">
        <v>11158</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8347</v>
      </c>
      <c r="D203" s="466"/>
      <c r="E203" s="468"/>
      <c r="F203" s="466"/>
      <c r="G203" s="466">
        <v>149</v>
      </c>
      <c r="H203" s="468"/>
      <c r="I203" s="468"/>
      <c r="J203" s="468"/>
      <c r="K203" s="468"/>
    </row>
    <row r="204" spans="1:11" ht="12.75" customHeight="1" thickBot="1" x14ac:dyDescent="0.25">
      <c r="A204" s="1707" t="s">
        <v>400</v>
      </c>
      <c r="B204" s="1708"/>
      <c r="C204" s="1706">
        <f>SUM(C200:C203)</f>
        <v>558881</v>
      </c>
      <c r="D204" s="1706">
        <f>SUM(D200:D203)</f>
        <v>0</v>
      </c>
      <c r="E204" s="468"/>
      <c r="F204" s="1706">
        <f>SUM(F200:F203)</f>
        <v>0</v>
      </c>
      <c r="G204" s="1706">
        <f>SUM(G200:G203)</f>
        <v>11307</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32962</v>
      </c>
      <c r="D206" s="466"/>
      <c r="E206" s="468"/>
      <c r="F206" s="466"/>
      <c r="G206" s="466"/>
      <c r="H206" s="468"/>
      <c r="I206" s="468"/>
      <c r="J206" s="468"/>
      <c r="K206" s="468"/>
    </row>
    <row r="207" spans="1:11" ht="12.75" customHeight="1" x14ac:dyDescent="0.2">
      <c r="A207" s="463" t="s">
        <v>1453</v>
      </c>
      <c r="B207" s="470">
        <v>4421</v>
      </c>
      <c r="C207" s="551"/>
      <c r="D207" s="466"/>
      <c r="E207" s="468"/>
      <c r="F207" s="466">
        <v>10060</v>
      </c>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32962</v>
      </c>
      <c r="D209" s="1706">
        <f>SUM(D206:D208)</f>
        <v>0</v>
      </c>
      <c r="E209" s="468" t="s">
        <v>1169</v>
      </c>
      <c r="F209" s="1706">
        <f>SUM(F206:F208)</f>
        <v>10060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12795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12795</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315</v>
      </c>
      <c r="D220" s="466"/>
      <c r="E220" s="468"/>
      <c r="F220" s="468"/>
      <c r="G220" s="466"/>
      <c r="H220" s="468"/>
      <c r="I220" s="468"/>
      <c r="J220" s="468"/>
      <c r="K220" s="468"/>
    </row>
    <row r="221" spans="1:11" ht="12.75" customHeight="1" thickBot="1" x14ac:dyDescent="0.25">
      <c r="A221" s="1722" t="s">
        <v>1085</v>
      </c>
      <c r="B221" s="1723"/>
      <c r="C221" s="1706">
        <f>SUM(C219:C220)</f>
        <v>315</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131</v>
      </c>
      <c r="D255" s="468"/>
      <c r="E255" s="468"/>
      <c r="F255" s="578"/>
      <c r="G255" s="573"/>
      <c r="H255" s="468"/>
      <c r="I255" s="468"/>
      <c r="J255" s="468"/>
      <c r="K255" s="468"/>
    </row>
    <row r="256" spans="1:11" ht="12.75" customHeight="1" thickTop="1" thickBot="1" x14ac:dyDescent="0.25">
      <c r="A256" s="463" t="s">
        <v>1457</v>
      </c>
      <c r="B256" s="470">
        <v>4909</v>
      </c>
      <c r="C256" s="576">
        <v>24476</v>
      </c>
      <c r="D256" s="468"/>
      <c r="E256" s="468"/>
      <c r="F256" s="576"/>
      <c r="G256" s="576">
        <v>557</v>
      </c>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70827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1932</v>
      </c>
      <c r="B261" s="470">
        <v>4981</v>
      </c>
      <c r="C261" s="575"/>
      <c r="D261" s="576"/>
      <c r="E261" s="468"/>
      <c r="F261" s="576"/>
      <c r="G261" s="576"/>
      <c r="H261" s="468"/>
      <c r="I261" s="468"/>
      <c r="J261" s="468"/>
      <c r="K261" s="468"/>
    </row>
    <row r="262" spans="1:11" ht="12.75" customHeight="1" thickTop="1" thickBot="1" x14ac:dyDescent="0.25">
      <c r="A262" s="1930"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v>3866</v>
      </c>
      <c r="G263" s="576"/>
      <c r="H263" s="468"/>
      <c r="I263" s="468"/>
      <c r="J263" s="468"/>
      <c r="K263" s="468"/>
    </row>
    <row r="264" spans="1:11" ht="12.75" customHeight="1" thickTop="1" thickBot="1" x14ac:dyDescent="0.25">
      <c r="A264" s="463" t="s">
        <v>377</v>
      </c>
      <c r="B264" s="470">
        <v>4992</v>
      </c>
      <c r="C264" s="575"/>
      <c r="D264" s="576"/>
      <c r="E264" s="468"/>
      <c r="F264" s="576">
        <v>1440</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1407810</v>
      </c>
      <c r="D266" s="1714">
        <f t="shared" si="10"/>
        <v>0</v>
      </c>
      <c r="E266" s="1714">
        <f t="shared" si="10"/>
        <v>0</v>
      </c>
      <c r="F266" s="1714">
        <f t="shared" si="10"/>
        <v>15366</v>
      </c>
      <c r="G266" s="1714">
        <f t="shared" si="10"/>
        <v>11864</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1407810</v>
      </c>
      <c r="D267" s="1714">
        <f>SUM(D175,D181,D266)</f>
        <v>0</v>
      </c>
      <c r="E267" s="1714">
        <f>SUM(E175,E266)</f>
        <v>0</v>
      </c>
      <c r="F267" s="1714">
        <f t="shared" ref="F267:K267" si="11">SUM(F175,F181,F266)</f>
        <v>15366</v>
      </c>
      <c r="G267" s="1714">
        <f t="shared" si="11"/>
        <v>11864</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14189746</v>
      </c>
      <c r="D268" s="1714">
        <f t="shared" si="12"/>
        <v>988730</v>
      </c>
      <c r="E268" s="1714">
        <f t="shared" si="12"/>
        <v>902741</v>
      </c>
      <c r="F268" s="1714">
        <f t="shared" si="12"/>
        <v>1280031</v>
      </c>
      <c r="G268" s="1714">
        <f t="shared" si="12"/>
        <v>291975</v>
      </c>
      <c r="H268" s="1714">
        <f t="shared" si="12"/>
        <v>630716</v>
      </c>
      <c r="I268" s="1714">
        <f t="shared" si="12"/>
        <v>90714</v>
      </c>
      <c r="J268" s="1714">
        <f t="shared" si="12"/>
        <v>725171</v>
      </c>
      <c r="K268" s="1701">
        <f t="shared" si="12"/>
        <v>73821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 &amp;CThe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20" activePane="bottomLeft" state="frozen"/>
      <selection activeCell="W46" sqref="W46"/>
      <selection pane="bottomLeft" activeCell="W46" sqref="W4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4182463</v>
      </c>
      <c r="D5" s="466">
        <v>568239</v>
      </c>
      <c r="E5" s="466">
        <v>92536</v>
      </c>
      <c r="F5" s="466">
        <v>263828</v>
      </c>
      <c r="G5" s="466">
        <v>18769</v>
      </c>
      <c r="H5" s="466">
        <v>2037</v>
      </c>
      <c r="I5" s="467"/>
      <c r="J5" s="467"/>
      <c r="K5" s="1670">
        <f>SUM(C5:J5)</f>
        <v>5127872</v>
      </c>
      <c r="L5" s="466">
        <v>5920223</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v>292692</v>
      </c>
      <c r="D7" s="467">
        <v>27744</v>
      </c>
      <c r="E7" s="467">
        <v>790</v>
      </c>
      <c r="F7" s="467">
        <v>29064</v>
      </c>
      <c r="G7" s="467">
        <v>34737</v>
      </c>
      <c r="H7" s="467"/>
      <c r="I7" s="467"/>
      <c r="J7" s="467"/>
      <c r="K7" s="1670">
        <f t="shared" ref="K7:K32" si="0">SUM(C7:J7)</f>
        <v>385027</v>
      </c>
      <c r="L7" s="466">
        <v>381736</v>
      </c>
    </row>
    <row r="8" spans="1:14" x14ac:dyDescent="0.2">
      <c r="A8" s="1504" t="s">
        <v>164</v>
      </c>
      <c r="B8" s="614">
        <v>1200</v>
      </c>
      <c r="C8" s="466">
        <v>552422</v>
      </c>
      <c r="D8" s="466">
        <v>54305</v>
      </c>
      <c r="E8" s="466">
        <v>7244</v>
      </c>
      <c r="F8" s="466">
        <v>29907</v>
      </c>
      <c r="G8" s="466"/>
      <c r="H8" s="466"/>
      <c r="I8" s="467"/>
      <c r="J8" s="467"/>
      <c r="K8" s="1670">
        <f t="shared" si="0"/>
        <v>643878</v>
      </c>
      <c r="L8" s="466">
        <v>761838</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209779</v>
      </c>
      <c r="D10" s="466">
        <v>53726</v>
      </c>
      <c r="E10" s="466">
        <v>55590</v>
      </c>
      <c r="F10" s="466">
        <v>54687</v>
      </c>
      <c r="G10" s="466">
        <v>18012</v>
      </c>
      <c r="H10" s="466"/>
      <c r="I10" s="467"/>
      <c r="J10" s="467"/>
      <c r="K10" s="1670">
        <f t="shared" si="0"/>
        <v>391794</v>
      </c>
      <c r="L10" s="466">
        <v>376245</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v>247838</v>
      </c>
      <c r="D13" s="466">
        <v>34262</v>
      </c>
      <c r="E13" s="466"/>
      <c r="F13" s="466"/>
      <c r="G13" s="466"/>
      <c r="H13" s="466"/>
      <c r="I13" s="467"/>
      <c r="J13" s="467"/>
      <c r="K13" s="1670">
        <f t="shared" si="0"/>
        <v>282100</v>
      </c>
      <c r="L13" s="466">
        <v>293811</v>
      </c>
    </row>
    <row r="14" spans="1:14" x14ac:dyDescent="0.2">
      <c r="A14" s="1504" t="s">
        <v>963</v>
      </c>
      <c r="B14" s="614">
        <v>1500</v>
      </c>
      <c r="C14" s="466">
        <v>239484</v>
      </c>
      <c r="D14" s="466">
        <v>2558</v>
      </c>
      <c r="E14" s="466">
        <v>51199</v>
      </c>
      <c r="F14" s="466">
        <v>51030</v>
      </c>
      <c r="G14" s="466"/>
      <c r="H14" s="466">
        <v>19948</v>
      </c>
      <c r="I14" s="467"/>
      <c r="J14" s="467"/>
      <c r="K14" s="1670">
        <f t="shared" si="0"/>
        <v>364219</v>
      </c>
      <c r="L14" s="466">
        <v>405840</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v>38004</v>
      </c>
      <c r="D17" s="467">
        <v>4177</v>
      </c>
      <c r="E17" s="467"/>
      <c r="F17" s="467">
        <v>844</v>
      </c>
      <c r="G17" s="467"/>
      <c r="H17" s="467"/>
      <c r="I17" s="467"/>
      <c r="J17" s="467"/>
      <c r="K17" s="1670">
        <f t="shared" si="0"/>
        <v>43025</v>
      </c>
      <c r="L17" s="466">
        <v>47657</v>
      </c>
    </row>
    <row r="18" spans="1:12" x14ac:dyDescent="0.2">
      <c r="A18" s="1504" t="s">
        <v>1087</v>
      </c>
      <c r="B18" s="614">
        <v>1800</v>
      </c>
      <c r="C18" s="466">
        <v>436882</v>
      </c>
      <c r="D18" s="466">
        <v>71114</v>
      </c>
      <c r="E18" s="466"/>
      <c r="F18" s="466">
        <v>12328</v>
      </c>
      <c r="G18" s="466"/>
      <c r="H18" s="466"/>
      <c r="I18" s="467"/>
      <c r="J18" s="467"/>
      <c r="K18" s="1670">
        <f t="shared" si="0"/>
        <v>520324</v>
      </c>
      <c r="L18" s="466">
        <v>13807</v>
      </c>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v>198377</v>
      </c>
      <c r="I22" s="616"/>
      <c r="J22" s="477"/>
      <c r="K22" s="1670">
        <f t="shared" si="0"/>
        <v>198377</v>
      </c>
      <c r="L22" s="471">
        <v>200000</v>
      </c>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6199564</v>
      </c>
      <c r="D33" s="1669">
        <f t="shared" ref="D33:L33" si="1">SUM(D5:D32)</f>
        <v>816125</v>
      </c>
      <c r="E33" s="1669">
        <f t="shared" si="1"/>
        <v>207359</v>
      </c>
      <c r="F33" s="1669">
        <f t="shared" si="1"/>
        <v>441688</v>
      </c>
      <c r="G33" s="1669">
        <f t="shared" si="1"/>
        <v>71518</v>
      </c>
      <c r="H33" s="1669">
        <f t="shared" si="1"/>
        <v>220362</v>
      </c>
      <c r="I33" s="1669">
        <f t="shared" si="1"/>
        <v>0</v>
      </c>
      <c r="J33" s="1669">
        <f t="shared" si="1"/>
        <v>0</v>
      </c>
      <c r="K33" s="1669">
        <f t="shared" si="1"/>
        <v>7956616</v>
      </c>
      <c r="L33" s="1669">
        <f t="shared" si="1"/>
        <v>8401157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62520</v>
      </c>
      <c r="D36" s="481">
        <v>7638</v>
      </c>
      <c r="E36" s="481">
        <v>252</v>
      </c>
      <c r="F36" s="481"/>
      <c r="G36" s="481"/>
      <c r="H36" s="481"/>
      <c r="I36" s="467"/>
      <c r="J36" s="467"/>
      <c r="K36" s="1670">
        <f t="shared" ref="K36:K41" si="2">SUM(C36:J36)</f>
        <v>70410</v>
      </c>
      <c r="L36" s="466">
        <v>75982</v>
      </c>
    </row>
    <row r="37" spans="1:14" x14ac:dyDescent="0.2">
      <c r="A37" s="1504" t="s">
        <v>1090</v>
      </c>
      <c r="B37" s="614">
        <v>2120</v>
      </c>
      <c r="C37" s="466">
        <v>308431</v>
      </c>
      <c r="D37" s="466">
        <v>54875</v>
      </c>
      <c r="E37" s="466"/>
      <c r="F37" s="466"/>
      <c r="G37" s="466"/>
      <c r="H37" s="466"/>
      <c r="I37" s="467"/>
      <c r="J37" s="467"/>
      <c r="K37" s="1670">
        <f t="shared" si="2"/>
        <v>363306</v>
      </c>
      <c r="L37" s="466">
        <v>355051</v>
      </c>
    </row>
    <row r="38" spans="1:14" x14ac:dyDescent="0.2">
      <c r="A38" s="1504" t="s">
        <v>198</v>
      </c>
      <c r="B38" s="614">
        <v>2130</v>
      </c>
      <c r="C38" s="466">
        <v>30850</v>
      </c>
      <c r="D38" s="466">
        <v>3415</v>
      </c>
      <c r="E38" s="466">
        <v>823</v>
      </c>
      <c r="F38" s="466">
        <v>4300</v>
      </c>
      <c r="G38" s="466"/>
      <c r="H38" s="466"/>
      <c r="I38" s="467"/>
      <c r="J38" s="467"/>
      <c r="K38" s="1670">
        <f t="shared" si="2"/>
        <v>39388</v>
      </c>
      <c r="L38" s="466">
        <v>39627</v>
      </c>
    </row>
    <row r="39" spans="1:14" x14ac:dyDescent="0.2">
      <c r="A39" s="1504" t="s">
        <v>199</v>
      </c>
      <c r="B39" s="614">
        <v>2140</v>
      </c>
      <c r="C39" s="466"/>
      <c r="D39" s="466"/>
      <c r="E39" s="466"/>
      <c r="F39" s="466"/>
      <c r="G39" s="466"/>
      <c r="H39" s="466"/>
      <c r="I39" s="467"/>
      <c r="J39" s="467"/>
      <c r="K39" s="1670">
        <f t="shared" si="2"/>
        <v>0</v>
      </c>
      <c r="L39" s="466"/>
    </row>
    <row r="40" spans="1:14" x14ac:dyDescent="0.2">
      <c r="A40" s="1504" t="s">
        <v>200</v>
      </c>
      <c r="B40" s="614">
        <v>2150</v>
      </c>
      <c r="C40" s="466"/>
      <c r="D40" s="466"/>
      <c r="E40" s="466"/>
      <c r="F40" s="466"/>
      <c r="G40" s="466"/>
      <c r="H40" s="466"/>
      <c r="I40" s="467"/>
      <c r="J40" s="467"/>
      <c r="K40" s="1670">
        <f t="shared" si="2"/>
        <v>0</v>
      </c>
      <c r="L40" s="466"/>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401801</v>
      </c>
      <c r="D42" s="1669">
        <f t="shared" ref="D42:L42" si="3">SUM(D36:D41)</f>
        <v>65928</v>
      </c>
      <c r="E42" s="1669">
        <f t="shared" si="3"/>
        <v>1075</v>
      </c>
      <c r="F42" s="1669">
        <f t="shared" si="3"/>
        <v>4300</v>
      </c>
      <c r="G42" s="1669">
        <f t="shared" si="3"/>
        <v>0</v>
      </c>
      <c r="H42" s="1669">
        <f t="shared" si="3"/>
        <v>0</v>
      </c>
      <c r="I42" s="1669">
        <f t="shared" si="3"/>
        <v>0</v>
      </c>
      <c r="J42" s="1669">
        <f t="shared" si="3"/>
        <v>0</v>
      </c>
      <c r="K42" s="1669">
        <f t="shared" si="3"/>
        <v>473104</v>
      </c>
      <c r="L42" s="1669">
        <f t="shared" si="3"/>
        <v>470660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17778</v>
      </c>
      <c r="D44" s="481">
        <v>356</v>
      </c>
      <c r="E44" s="481">
        <v>110577</v>
      </c>
      <c r="F44" s="481">
        <v>2294</v>
      </c>
      <c r="G44" s="481"/>
      <c r="H44" s="481">
        <v>6542</v>
      </c>
      <c r="I44" s="467"/>
      <c r="J44" s="467"/>
      <c r="K44" s="1671">
        <f>SUM(C44:J44)</f>
        <v>137547</v>
      </c>
      <c r="L44" s="481">
        <v>174269</v>
      </c>
    </row>
    <row r="45" spans="1:14" x14ac:dyDescent="0.2">
      <c r="A45" s="1504" t="s">
        <v>815</v>
      </c>
      <c r="B45" s="614">
        <v>2220</v>
      </c>
      <c r="C45" s="466"/>
      <c r="D45" s="466"/>
      <c r="E45" s="466">
        <v>58279</v>
      </c>
      <c r="F45" s="466">
        <v>92438</v>
      </c>
      <c r="G45" s="466">
        <v>58635</v>
      </c>
      <c r="H45" s="466"/>
      <c r="I45" s="467"/>
      <c r="J45" s="467"/>
      <c r="K45" s="1671">
        <f>SUM(C45:J45)</f>
        <v>209352</v>
      </c>
      <c r="L45" s="466">
        <v>222300</v>
      </c>
    </row>
    <row r="46" spans="1:14" x14ac:dyDescent="0.2">
      <c r="A46" s="1504" t="s">
        <v>816</v>
      </c>
      <c r="B46" s="614">
        <v>2230</v>
      </c>
      <c r="C46" s="466">
        <v>711</v>
      </c>
      <c r="D46" s="466"/>
      <c r="E46" s="466"/>
      <c r="F46" s="466"/>
      <c r="G46" s="466"/>
      <c r="H46" s="466"/>
      <c r="I46" s="467"/>
      <c r="J46" s="467"/>
      <c r="K46" s="1671">
        <f>SUM(C46:J46)</f>
        <v>711</v>
      </c>
      <c r="L46" s="466">
        <v>114</v>
      </c>
    </row>
    <row r="47" spans="1:14" ht="12.75" customHeight="1" thickBot="1" x14ac:dyDescent="0.25">
      <c r="A47" s="1667" t="s">
        <v>561</v>
      </c>
      <c r="B47" s="1668" t="s">
        <v>32</v>
      </c>
      <c r="C47" s="1669">
        <f>SUM(C44:C46)</f>
        <v>18489</v>
      </c>
      <c r="D47" s="1669">
        <f t="shared" ref="D47:K47" si="4">SUM(D44:D46)</f>
        <v>356</v>
      </c>
      <c r="E47" s="1669">
        <f t="shared" si="4"/>
        <v>168856</v>
      </c>
      <c r="F47" s="1669">
        <f t="shared" si="4"/>
        <v>94732</v>
      </c>
      <c r="G47" s="1669">
        <f t="shared" si="4"/>
        <v>58635</v>
      </c>
      <c r="H47" s="1669">
        <f t="shared" si="4"/>
        <v>6542</v>
      </c>
      <c r="I47" s="1669">
        <f t="shared" si="4"/>
        <v>0</v>
      </c>
      <c r="J47" s="1669">
        <f t="shared" si="4"/>
        <v>0</v>
      </c>
      <c r="K47" s="1669">
        <f t="shared" si="4"/>
        <v>347610</v>
      </c>
      <c r="L47" s="1669">
        <f>SUM(L44:L46)</f>
        <v>396683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9472</v>
      </c>
      <c r="D49" s="481">
        <v>18367</v>
      </c>
      <c r="E49" s="481">
        <v>41663</v>
      </c>
      <c r="F49" s="481">
        <v>11311</v>
      </c>
      <c r="G49" s="481"/>
      <c r="H49" s="481">
        <v>7486</v>
      </c>
      <c r="I49" s="467"/>
      <c r="J49" s="467"/>
      <c r="K49" s="1671">
        <f>SUM(C49:J49)</f>
        <v>88299</v>
      </c>
      <c r="L49" s="481">
        <v>85200</v>
      </c>
    </row>
    <row r="50" spans="1:14" x14ac:dyDescent="0.2">
      <c r="A50" s="1504" t="s">
        <v>818</v>
      </c>
      <c r="B50" s="614">
        <v>2320</v>
      </c>
      <c r="C50" s="466">
        <v>218074</v>
      </c>
      <c r="D50" s="466">
        <v>27058</v>
      </c>
      <c r="E50" s="466">
        <v>10462</v>
      </c>
      <c r="F50" s="466">
        <v>9338</v>
      </c>
      <c r="G50" s="466"/>
      <c r="H50" s="466">
        <v>3875</v>
      </c>
      <c r="I50" s="467"/>
      <c r="J50" s="467"/>
      <c r="K50" s="1671">
        <f>SUM(C50:J50)</f>
        <v>268807</v>
      </c>
      <c r="L50" s="466">
        <v>273905</v>
      </c>
    </row>
    <row r="51" spans="1:14" x14ac:dyDescent="0.2">
      <c r="A51" s="1504" t="s">
        <v>42</v>
      </c>
      <c r="B51" s="614">
        <v>2330</v>
      </c>
      <c r="C51" s="466"/>
      <c r="D51" s="466"/>
      <c r="E51" s="466">
        <v>500</v>
      </c>
      <c r="F51" s="466">
        <v>100</v>
      </c>
      <c r="G51" s="466"/>
      <c r="H51" s="466"/>
      <c r="I51" s="467"/>
      <c r="J51" s="467"/>
      <c r="K51" s="1671">
        <f>SUM(C51:J51)</f>
        <v>600</v>
      </c>
      <c r="L51" s="466">
        <v>1000</v>
      </c>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227546</v>
      </c>
      <c r="D53" s="1669">
        <f t="shared" ref="D53:L53" si="5">SUM(D49:D52)</f>
        <v>45425</v>
      </c>
      <c r="E53" s="1669">
        <f t="shared" si="5"/>
        <v>52625</v>
      </c>
      <c r="F53" s="1669">
        <f t="shared" si="5"/>
        <v>20749</v>
      </c>
      <c r="G53" s="1669">
        <f t="shared" si="5"/>
        <v>0</v>
      </c>
      <c r="H53" s="1669">
        <f t="shared" si="5"/>
        <v>11361</v>
      </c>
      <c r="I53" s="1669">
        <f t="shared" si="5"/>
        <v>0</v>
      </c>
      <c r="J53" s="1669">
        <f t="shared" si="5"/>
        <v>0</v>
      </c>
      <c r="K53" s="1669">
        <f t="shared" si="5"/>
        <v>357706</v>
      </c>
      <c r="L53" s="1669">
        <f t="shared" si="5"/>
        <v>360105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909671</v>
      </c>
      <c r="D55" s="481">
        <v>94084</v>
      </c>
      <c r="E55" s="481">
        <v>4422</v>
      </c>
      <c r="F55" s="481">
        <v>33711</v>
      </c>
      <c r="G55" s="481"/>
      <c r="H55" s="481">
        <v>984</v>
      </c>
      <c r="I55" s="467"/>
      <c r="J55" s="467"/>
      <c r="K55" s="1671">
        <f>SUM(C55:J55)</f>
        <v>1042872</v>
      </c>
      <c r="L55" s="481">
        <v>1066636</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909671</v>
      </c>
      <c r="D57" s="1673">
        <f t="shared" ref="D57:K57" si="6">SUM(D55:D56)</f>
        <v>94084</v>
      </c>
      <c r="E57" s="1673">
        <f t="shared" si="6"/>
        <v>4422</v>
      </c>
      <c r="F57" s="1673">
        <f t="shared" si="6"/>
        <v>33711</v>
      </c>
      <c r="G57" s="1673">
        <f t="shared" si="6"/>
        <v>0</v>
      </c>
      <c r="H57" s="1673">
        <f t="shared" si="6"/>
        <v>984</v>
      </c>
      <c r="I57" s="1673">
        <f t="shared" si="6"/>
        <v>0</v>
      </c>
      <c r="J57" s="1673">
        <f t="shared" si="6"/>
        <v>0</v>
      </c>
      <c r="K57" s="1673">
        <f t="shared" si="6"/>
        <v>1042872</v>
      </c>
      <c r="L57" s="1669">
        <f>SUM(L55:L56)</f>
        <v>1066636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79005</v>
      </c>
      <c r="D60" s="466">
        <v>7643</v>
      </c>
      <c r="E60" s="466">
        <v>3547</v>
      </c>
      <c r="F60" s="466">
        <v>1082</v>
      </c>
      <c r="G60" s="466"/>
      <c r="H60" s="466"/>
      <c r="I60" s="467"/>
      <c r="J60" s="467"/>
      <c r="K60" s="1671">
        <f t="shared" si="7"/>
        <v>91277</v>
      </c>
      <c r="L60" s="466">
        <v>91182</v>
      </c>
      <c r="M60" s="609"/>
      <c r="N60" s="609"/>
    </row>
    <row r="61" spans="1:14" s="343" customFormat="1" x14ac:dyDescent="0.2">
      <c r="A61" s="1504" t="s">
        <v>197</v>
      </c>
      <c r="B61" s="614">
        <v>2540</v>
      </c>
      <c r="C61" s="466">
        <v>289619</v>
      </c>
      <c r="D61" s="466">
        <v>39069</v>
      </c>
      <c r="E61" s="466">
        <v>4052</v>
      </c>
      <c r="F61" s="466"/>
      <c r="G61" s="466">
        <v>10124</v>
      </c>
      <c r="H61" s="466"/>
      <c r="I61" s="467"/>
      <c r="J61" s="467"/>
      <c r="K61" s="1671">
        <f t="shared" si="7"/>
        <v>342864</v>
      </c>
      <c r="L61" s="466">
        <v>340922</v>
      </c>
      <c r="M61" s="609"/>
      <c r="N61" s="609"/>
    </row>
    <row r="62" spans="1:14" s="343" customFormat="1" x14ac:dyDescent="0.2">
      <c r="A62" s="1504" t="s">
        <v>953</v>
      </c>
      <c r="B62" s="614">
        <v>2550</v>
      </c>
      <c r="C62" s="466"/>
      <c r="D62" s="466"/>
      <c r="E62" s="466">
        <v>1860</v>
      </c>
      <c r="F62" s="466"/>
      <c r="G62" s="466"/>
      <c r="H62" s="466"/>
      <c r="I62" s="467"/>
      <c r="J62" s="467"/>
      <c r="K62" s="1671">
        <f t="shared" si="7"/>
        <v>1860</v>
      </c>
      <c r="L62" s="466">
        <v>3951</v>
      </c>
      <c r="M62" s="609"/>
      <c r="N62" s="609"/>
    </row>
    <row r="63" spans="1:14" s="609" customFormat="1" x14ac:dyDescent="0.2">
      <c r="A63" s="1504" t="s">
        <v>100</v>
      </c>
      <c r="B63" s="614">
        <v>2560</v>
      </c>
      <c r="C63" s="466">
        <v>303778</v>
      </c>
      <c r="D63" s="466">
        <v>15814</v>
      </c>
      <c r="E63" s="466">
        <v>13817</v>
      </c>
      <c r="F63" s="466">
        <v>353328</v>
      </c>
      <c r="G63" s="466">
        <v>20841</v>
      </c>
      <c r="H63" s="466">
        <v>666</v>
      </c>
      <c r="I63" s="467"/>
      <c r="J63" s="467"/>
      <c r="K63" s="1671">
        <f t="shared" si="7"/>
        <v>708244</v>
      </c>
      <c r="L63" s="466">
        <v>771618</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672402</v>
      </c>
      <c r="D65" s="1669">
        <f t="shared" ref="D65:L65" si="8">SUM(D59:D64)</f>
        <v>62526</v>
      </c>
      <c r="E65" s="1669">
        <f t="shared" si="8"/>
        <v>23276</v>
      </c>
      <c r="F65" s="1669">
        <f t="shared" si="8"/>
        <v>354410</v>
      </c>
      <c r="G65" s="1669">
        <f t="shared" si="8"/>
        <v>30965</v>
      </c>
      <c r="H65" s="1669">
        <f t="shared" si="8"/>
        <v>666</v>
      </c>
      <c r="I65" s="1669">
        <f t="shared" si="8"/>
        <v>0</v>
      </c>
      <c r="J65" s="1669">
        <f t="shared" si="8"/>
        <v>0</v>
      </c>
      <c r="K65" s="1669">
        <f t="shared" si="8"/>
        <v>1144245</v>
      </c>
      <c r="L65" s="1669">
        <f t="shared" si="8"/>
        <v>1207673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v>1000</v>
      </c>
      <c r="F70" s="466"/>
      <c r="G70" s="466"/>
      <c r="H70" s="466"/>
      <c r="I70" s="467"/>
      <c r="J70" s="467"/>
      <c r="K70" s="1671">
        <f>SUM(C70:J70)</f>
        <v>1000</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1000</v>
      </c>
      <c r="F72" s="1669">
        <f t="shared" si="9"/>
        <v>0</v>
      </c>
      <c r="G72" s="1669">
        <f t="shared" si="9"/>
        <v>0</v>
      </c>
      <c r="H72" s="1669">
        <f t="shared" si="9"/>
        <v>0</v>
      </c>
      <c r="I72" s="1669">
        <f t="shared" si="9"/>
        <v>0</v>
      </c>
      <c r="J72" s="1669">
        <f t="shared" si="9"/>
        <v>0</v>
      </c>
      <c r="K72" s="1669">
        <f t="shared" si="9"/>
        <v>1000</v>
      </c>
      <c r="L72" s="1669">
        <f>SUM(L67:L71)</f>
        <v>0</v>
      </c>
      <c r="M72" s="609"/>
      <c r="N72" s="609"/>
    </row>
    <row r="73" spans="1:14" s="343" customFormat="1" ht="14.25" thickTop="1" thickBot="1" x14ac:dyDescent="0.25">
      <c r="A73" s="1510" t="s">
        <v>980</v>
      </c>
      <c r="B73" s="632" t="s">
        <v>574</v>
      </c>
      <c r="C73" s="573">
        <v>87399</v>
      </c>
      <c r="D73" s="573">
        <v>7643</v>
      </c>
      <c r="E73" s="573">
        <v>172</v>
      </c>
      <c r="F73" s="573">
        <v>1869</v>
      </c>
      <c r="G73" s="573"/>
      <c r="H73" s="573"/>
      <c r="I73" s="531"/>
      <c r="J73" s="531"/>
      <c r="K73" s="1669">
        <f>SUM(C73:J73)</f>
        <v>97083</v>
      </c>
      <c r="L73" s="576">
        <v>104932</v>
      </c>
      <c r="M73" s="609"/>
      <c r="N73" s="609"/>
    </row>
    <row r="74" spans="1:14" ht="12.75" customHeight="1" thickTop="1" thickBot="1" x14ac:dyDescent="0.25">
      <c r="A74" s="1667" t="s">
        <v>811</v>
      </c>
      <c r="B74" s="1675">
        <v>2000</v>
      </c>
      <c r="C74" s="1676">
        <f>SUM(C42,C47,C53,C57,C65,C72,C73)</f>
        <v>2317308</v>
      </c>
      <c r="D74" s="1676">
        <f t="shared" ref="D74:K74" si="10">SUM(D42,D47,D53,D57,D65,D72,D73)</f>
        <v>275962</v>
      </c>
      <c r="E74" s="1676">
        <f t="shared" si="10"/>
        <v>251426</v>
      </c>
      <c r="F74" s="1676">
        <f t="shared" si="10"/>
        <v>509771</v>
      </c>
      <c r="G74" s="1676">
        <f t="shared" si="10"/>
        <v>89600</v>
      </c>
      <c r="H74" s="1676">
        <f t="shared" si="10"/>
        <v>19553</v>
      </c>
      <c r="I74" s="1676">
        <f t="shared" si="10"/>
        <v>0</v>
      </c>
      <c r="J74" s="1676">
        <f t="shared" si="10"/>
        <v>0</v>
      </c>
      <c r="K74" s="1676">
        <f t="shared" si="10"/>
        <v>3463620</v>
      </c>
      <c r="L74" s="1676">
        <f>SUM(L42,L47,L53,L57,L65,L72,L73)</f>
        <v>3606689</v>
      </c>
    </row>
    <row r="75" spans="1:14" s="259" customFormat="1" ht="15.75" customHeight="1" thickTop="1" thickBot="1" x14ac:dyDescent="0.25">
      <c r="A75" s="1610" t="s">
        <v>47</v>
      </c>
      <c r="B75" s="1611" t="s">
        <v>575</v>
      </c>
      <c r="C75" s="573">
        <v>8952</v>
      </c>
      <c r="D75" s="573"/>
      <c r="E75" s="573">
        <v>11986</v>
      </c>
      <c r="F75" s="573">
        <v>7754</v>
      </c>
      <c r="G75" s="573">
        <v>2500</v>
      </c>
      <c r="H75" s="573"/>
      <c r="I75" s="531"/>
      <c r="J75" s="531"/>
      <c r="K75" s="1669">
        <f>SUM(C75:J75)</f>
        <v>31192</v>
      </c>
      <c r="L75" s="576">
        <v>41234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16830</v>
      </c>
      <c r="F78" s="616"/>
      <c r="G78" s="616"/>
      <c r="H78" s="634">
        <v>5000</v>
      </c>
      <c r="I78" s="477"/>
      <c r="J78" s="477"/>
      <c r="K78" s="1670">
        <f t="shared" ref="K78:K83" si="11">SUM(C78:J78)</f>
        <v>21830</v>
      </c>
      <c r="L78" s="481">
        <v>26030</v>
      </c>
    </row>
    <row r="79" spans="1:14" x14ac:dyDescent="0.2">
      <c r="A79" s="1504" t="s">
        <v>304</v>
      </c>
      <c r="B79" s="614">
        <v>4120</v>
      </c>
      <c r="C79" s="616"/>
      <c r="D79" s="616"/>
      <c r="E79" s="466">
        <v>723917</v>
      </c>
      <c r="F79" s="616"/>
      <c r="G79" s="616"/>
      <c r="H79" s="466">
        <v>2250</v>
      </c>
      <c r="I79" s="477"/>
      <c r="J79" s="477"/>
      <c r="K79" s="1670">
        <f t="shared" si="11"/>
        <v>726167</v>
      </c>
      <c r="L79" s="466">
        <v>798000</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v>47557</v>
      </c>
      <c r="F82" s="616"/>
      <c r="G82" s="616"/>
      <c r="H82" s="466"/>
      <c r="I82" s="477"/>
      <c r="J82" s="477"/>
      <c r="K82" s="1670">
        <f t="shared" si="11"/>
        <v>47557</v>
      </c>
      <c r="L82" s="466">
        <v>48498</v>
      </c>
    </row>
    <row r="83" spans="1:12" x14ac:dyDescent="0.2">
      <c r="A83" s="1508" t="s">
        <v>698</v>
      </c>
      <c r="B83" s="628">
        <v>4190</v>
      </c>
      <c r="C83" s="616"/>
      <c r="D83" s="616"/>
      <c r="E83" s="466"/>
      <c r="F83" s="616"/>
      <c r="G83" s="616"/>
      <c r="H83" s="466">
        <v>5355</v>
      </c>
      <c r="I83" s="477"/>
      <c r="J83" s="477"/>
      <c r="K83" s="1670">
        <f t="shared" si="11"/>
        <v>5355</v>
      </c>
      <c r="L83" s="466">
        <v>5000</v>
      </c>
    </row>
    <row r="84" spans="1:12" ht="13.5" thickBot="1" x14ac:dyDescent="0.25">
      <c r="A84" s="1667" t="s">
        <v>1485</v>
      </c>
      <c r="B84" s="1677">
        <v>4100</v>
      </c>
      <c r="C84" s="616"/>
      <c r="D84" s="616"/>
      <c r="E84" s="1669">
        <f>SUM(E78:E83)</f>
        <v>788304</v>
      </c>
      <c r="F84" s="616"/>
      <c r="G84" s="616"/>
      <c r="H84" s="1669">
        <f>SUM(H78:H83)</f>
        <v>12605</v>
      </c>
      <c r="I84" s="477"/>
      <c r="J84" s="477"/>
      <c r="K84" s="1669">
        <f>SUM(K78:K83)</f>
        <v>800909</v>
      </c>
      <c r="L84" s="1669">
        <f>SUM(L78:L83)</f>
        <v>877528</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v>12598</v>
      </c>
      <c r="I88" s="477"/>
      <c r="J88" s="477"/>
      <c r="K88" s="1676">
        <f t="shared" si="12"/>
        <v>12598</v>
      </c>
      <c r="L88" s="530">
        <v>14500</v>
      </c>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12598</v>
      </c>
      <c r="I92" s="477"/>
      <c r="J92" s="477"/>
      <c r="K92" s="1676">
        <f t="shared" si="12"/>
        <v>12598</v>
      </c>
      <c r="L92" s="1669">
        <f>SUM(L85:L91)</f>
        <v>14500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788304</v>
      </c>
      <c r="F102" s="616"/>
      <c r="G102" s="616"/>
      <c r="H102" s="1676">
        <f>SUM(H84,H92,H100,H101)</f>
        <v>25203</v>
      </c>
      <c r="I102" s="477"/>
      <c r="J102" s="477"/>
      <c r="K102" s="1676">
        <f>SUM(K84,K92,K100,K101)</f>
        <v>813507</v>
      </c>
      <c r="L102" s="1676">
        <f>SUM(L84,L92,L100,L101)</f>
        <v>892028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45000</v>
      </c>
      <c r="M113" s="613"/>
      <c r="N113" s="613"/>
    </row>
    <row r="114" spans="1:14" ht="12.75" customHeight="1" thickTop="1" thickBot="1" x14ac:dyDescent="0.25">
      <c r="A114" s="1667" t="s">
        <v>48</v>
      </c>
      <c r="B114" s="1681"/>
      <c r="C114" s="1669">
        <f>SUM(C33,C74,C75,C102,C112,C113)</f>
        <v>8525824</v>
      </c>
      <c r="D114" s="1669">
        <f t="shared" ref="D114:K114" si="13">SUM(D33,D74,D75,D102,D112,D113)</f>
        <v>1092087</v>
      </c>
      <c r="E114" s="1669">
        <f t="shared" si="13"/>
        <v>1259075</v>
      </c>
      <c r="F114" s="1669">
        <f t="shared" si="13"/>
        <v>959213</v>
      </c>
      <c r="G114" s="1669">
        <f t="shared" si="13"/>
        <v>163618</v>
      </c>
      <c r="H114" s="1669">
        <f>SUM(H33,H74,H75,H102,H112,H113)</f>
        <v>265118</v>
      </c>
      <c r="I114" s="1669">
        <f t="shared" si="13"/>
        <v>0</v>
      </c>
      <c r="J114" s="1669">
        <f t="shared" si="13"/>
        <v>0</v>
      </c>
      <c r="K114" s="1669">
        <f t="shared" si="13"/>
        <v>12264935</v>
      </c>
      <c r="L114" s="1669">
        <f>SUM(L33,L74,L75,L102,L112,L113)</f>
        <v>12986108</v>
      </c>
    </row>
    <row r="115" spans="1:14" ht="13.5" thickTop="1" x14ac:dyDescent="0.2">
      <c r="A115" s="2180" t="s">
        <v>996</v>
      </c>
      <c r="B115" s="2181"/>
      <c r="C115" s="618"/>
      <c r="D115" s="618"/>
      <c r="E115" s="618"/>
      <c r="F115" s="618"/>
      <c r="G115" s="618"/>
      <c r="H115" s="618"/>
      <c r="I115" s="618"/>
      <c r="J115" s="618"/>
      <c r="K115" s="1683">
        <f>'Revenues 9-14'!C268-'Expenditures 15-22'!K114</f>
        <v>1924811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43519</v>
      </c>
      <c r="D124" s="466">
        <v>6071</v>
      </c>
      <c r="E124" s="466">
        <v>332179</v>
      </c>
      <c r="F124" s="466">
        <v>403441</v>
      </c>
      <c r="G124" s="466">
        <v>115443</v>
      </c>
      <c r="H124" s="466">
        <v>450</v>
      </c>
      <c r="I124" s="467"/>
      <c r="J124" s="467"/>
      <c r="K124" s="1669">
        <f>SUM(C124:J124)</f>
        <v>901103</v>
      </c>
      <c r="L124" s="466">
        <v>950116</v>
      </c>
    </row>
    <row r="125" spans="1:14" ht="14.25" thickTop="1" thickBot="1" x14ac:dyDescent="0.25">
      <c r="A125" s="1504" t="s">
        <v>953</v>
      </c>
      <c r="B125" s="614">
        <v>2550</v>
      </c>
      <c r="C125" s="466"/>
      <c r="D125" s="466"/>
      <c r="E125" s="466">
        <v>1552</v>
      </c>
      <c r="F125" s="466"/>
      <c r="G125" s="466"/>
      <c r="H125" s="466"/>
      <c r="I125" s="467"/>
      <c r="J125" s="467"/>
      <c r="K125" s="1669">
        <f>SUM(C125:J125)</f>
        <v>1552</v>
      </c>
      <c r="L125" s="466">
        <v>1925</v>
      </c>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43519</v>
      </c>
      <c r="D127" s="1669">
        <f t="shared" ref="D127:L127" si="14">SUM(D122:D126)</f>
        <v>6071</v>
      </c>
      <c r="E127" s="1669">
        <f t="shared" si="14"/>
        <v>333731</v>
      </c>
      <c r="F127" s="1669">
        <f t="shared" si="14"/>
        <v>403441</v>
      </c>
      <c r="G127" s="1669">
        <f t="shared" si="14"/>
        <v>115443</v>
      </c>
      <c r="H127" s="1669">
        <f t="shared" si="14"/>
        <v>450</v>
      </c>
      <c r="I127" s="1669">
        <f t="shared" si="14"/>
        <v>0</v>
      </c>
      <c r="J127" s="1669">
        <f t="shared" si="14"/>
        <v>0</v>
      </c>
      <c r="K127" s="1669">
        <f t="shared" si="14"/>
        <v>902655</v>
      </c>
      <c r="L127" s="1669">
        <f t="shared" si="14"/>
        <v>952041</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43519</v>
      </c>
      <c r="D129" s="1676">
        <f t="shared" ref="D129:L129" si="15">SUM(D120,D127,D128)</f>
        <v>6071</v>
      </c>
      <c r="E129" s="1676">
        <f t="shared" si="15"/>
        <v>333731</v>
      </c>
      <c r="F129" s="1676">
        <f t="shared" si="15"/>
        <v>403441</v>
      </c>
      <c r="G129" s="1676">
        <f t="shared" si="15"/>
        <v>115443</v>
      </c>
      <c r="H129" s="1676">
        <f t="shared" si="15"/>
        <v>450</v>
      </c>
      <c r="I129" s="1676">
        <f t="shared" si="15"/>
        <v>0</v>
      </c>
      <c r="J129" s="1676">
        <f t="shared" si="15"/>
        <v>0</v>
      </c>
      <c r="K129" s="1676">
        <f t="shared" si="15"/>
        <v>902655</v>
      </c>
      <c r="L129" s="1676">
        <f t="shared" si="15"/>
        <v>952041</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1841</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v>
      </c>
    </row>
    <row r="151" spans="1:14" ht="12.75" customHeight="1" thickTop="1" thickBot="1" x14ac:dyDescent="0.25">
      <c r="A151" s="2170" t="s">
        <v>620</v>
      </c>
      <c r="B151" s="2152"/>
      <c r="C151" s="1669">
        <f>SUM(C129,C130,C139,C149,C150)</f>
        <v>43519</v>
      </c>
      <c r="D151" s="1669">
        <f t="shared" ref="D151:K151" si="16">SUM(D129,D130,D139,D149,D150)</f>
        <v>6071</v>
      </c>
      <c r="E151" s="1669">
        <f t="shared" si="16"/>
        <v>333731</v>
      </c>
      <c r="F151" s="1669">
        <f t="shared" si="16"/>
        <v>403441</v>
      </c>
      <c r="G151" s="1669">
        <f t="shared" si="16"/>
        <v>115443</v>
      </c>
      <c r="H151" s="1669">
        <f t="shared" si="16"/>
        <v>450</v>
      </c>
      <c r="I151" s="1669">
        <f t="shared" si="16"/>
        <v>0</v>
      </c>
      <c r="J151" s="1669">
        <f t="shared" si="16"/>
        <v>0</v>
      </c>
      <c r="K151" s="1669">
        <f t="shared" si="16"/>
        <v>902655</v>
      </c>
      <c r="L151" s="1669">
        <f>SUM(L129,L130,L139,L149,L150)</f>
        <v>957041</v>
      </c>
    </row>
    <row r="152" spans="1:14" ht="12.75" customHeight="1" thickTop="1" x14ac:dyDescent="0.2">
      <c r="A152" s="2173" t="s">
        <v>1178</v>
      </c>
      <c r="B152" s="2174"/>
      <c r="C152" s="618"/>
      <c r="D152" s="618"/>
      <c r="E152" s="618"/>
      <c r="F152" s="618"/>
      <c r="G152" s="618"/>
      <c r="H152" s="618"/>
      <c r="I152" s="618"/>
      <c r="J152" s="616"/>
      <c r="K152" s="1683">
        <f>'Revenues 9-14'!D268-'Expenditures 15-22'!K151</f>
        <v>86075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1841</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1843</v>
      </c>
      <c r="C158" s="616"/>
      <c r="D158" s="616"/>
      <c r="E158" s="616"/>
      <c r="F158" s="616"/>
      <c r="G158" s="616"/>
      <c r="H158" s="467"/>
      <c r="I158" s="616"/>
      <c r="J158" s="616"/>
      <c r="K158" s="1670">
        <f>H158</f>
        <v>0</v>
      </c>
      <c r="L158" s="467"/>
      <c r="M158" s="619"/>
      <c r="N158" s="619"/>
    </row>
    <row r="159" spans="1:14" s="620" customFormat="1" ht="12" x14ac:dyDescent="0.2">
      <c r="A159" s="1825" t="s">
        <v>1844</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1845</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177982</v>
      </c>
      <c r="I169" s="616"/>
      <c r="J169" s="616"/>
      <c r="K169" s="1670">
        <f>SUM(C169:H169)</f>
        <v>177982</v>
      </c>
      <c r="L169" s="656">
        <v>95375</v>
      </c>
    </row>
    <row r="170" spans="1:14" ht="33.75" customHeight="1" x14ac:dyDescent="0.2">
      <c r="A170" s="669" t="s">
        <v>1670</v>
      </c>
      <c r="B170" s="671" t="s">
        <v>31</v>
      </c>
      <c r="C170" s="616"/>
      <c r="D170" s="616"/>
      <c r="E170" s="616"/>
      <c r="F170" s="616"/>
      <c r="G170" s="616"/>
      <c r="H170" s="569">
        <v>781000</v>
      </c>
      <c r="I170" s="616"/>
      <c r="J170" s="616"/>
      <c r="K170" s="1670">
        <f>SUM(C170:J170)</f>
        <v>781000</v>
      </c>
      <c r="L170" s="569">
        <v>781000</v>
      </c>
    </row>
    <row r="171" spans="1:14" ht="15.75" customHeight="1" x14ac:dyDescent="0.2">
      <c r="A171" s="621" t="s">
        <v>766</v>
      </c>
      <c r="B171" s="672" t="s">
        <v>84</v>
      </c>
      <c r="C171" s="616"/>
      <c r="D171" s="616"/>
      <c r="E171" s="466"/>
      <c r="F171" s="616"/>
      <c r="G171" s="616"/>
      <c r="H171" s="569">
        <v>26311</v>
      </c>
      <c r="I171" s="477"/>
      <c r="J171" s="616"/>
      <c r="K171" s="1670">
        <f>SUM(C171:J171)</f>
        <v>26311</v>
      </c>
      <c r="L171" s="569">
        <v>27100</v>
      </c>
    </row>
    <row r="172" spans="1:14" ht="12.75" customHeight="1" thickBot="1" x14ac:dyDescent="0.25">
      <c r="A172" s="1667" t="s">
        <v>638</v>
      </c>
      <c r="B172" s="1668" t="s">
        <v>492</v>
      </c>
      <c r="C172" s="616"/>
      <c r="D172" s="616"/>
      <c r="E172" s="1676">
        <f>SUM(E168,E169,E170,E171)</f>
        <v>0</v>
      </c>
      <c r="F172" s="616"/>
      <c r="G172" s="616"/>
      <c r="H172" s="1676">
        <f>SUM(H168,H169,H170,H171)</f>
        <v>985293</v>
      </c>
      <c r="I172" s="638"/>
      <c r="J172" s="616"/>
      <c r="K172" s="1676">
        <f>SUM(K168,K169,K170,K171)</f>
        <v>985293</v>
      </c>
      <c r="L172" s="1676">
        <f>SUM(L168,L169,L170,L171)</f>
        <v>903475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985293</v>
      </c>
      <c r="I174" s="638"/>
      <c r="J174" s="616"/>
      <c r="K174" s="1676">
        <f>SUM(K160,K172,K173)</f>
        <v>985293</v>
      </c>
      <c r="L174" s="1676">
        <f>SUM(L160,L172,L173)</f>
        <v>903475</v>
      </c>
    </row>
    <row r="175" spans="1:14" ht="13.5" thickTop="1" x14ac:dyDescent="0.2">
      <c r="A175" s="2180" t="s">
        <v>996</v>
      </c>
      <c r="B175" s="2181"/>
      <c r="C175" s="616"/>
      <c r="D175" s="616"/>
      <c r="E175" s="616"/>
      <c r="F175" s="616"/>
      <c r="G175" s="616"/>
      <c r="H175" s="618"/>
      <c r="I175" s="616"/>
      <c r="J175" s="616"/>
      <c r="K175" s="1683">
        <f>'Revenues 9-14'!E268-'Expenditures 15-22'!K174</f>
        <v>-82552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460768</v>
      </c>
      <c r="D182" s="466">
        <v>19731</v>
      </c>
      <c r="E182" s="466">
        <v>365247</v>
      </c>
      <c r="F182" s="466">
        <v>137298</v>
      </c>
      <c r="G182" s="466"/>
      <c r="H182" s="466"/>
      <c r="I182" s="467"/>
      <c r="J182" s="467"/>
      <c r="K182" s="1670">
        <f>SUM(C182:J182)</f>
        <v>983044</v>
      </c>
      <c r="L182" s="466">
        <v>982703</v>
      </c>
    </row>
    <row r="183" spans="1:14" ht="12.75" customHeight="1" thickBot="1" x14ac:dyDescent="0.25">
      <c r="A183" s="1509" t="s">
        <v>980</v>
      </c>
      <c r="B183" s="677">
        <v>2900</v>
      </c>
      <c r="C183" s="573"/>
      <c r="D183" s="573"/>
      <c r="E183" s="573">
        <v>272</v>
      </c>
      <c r="F183" s="573"/>
      <c r="G183" s="573"/>
      <c r="H183" s="573"/>
      <c r="I183" s="532"/>
      <c r="J183" s="532"/>
      <c r="K183" s="1676">
        <f>SUM(C183:J183)</f>
        <v>272</v>
      </c>
      <c r="L183" s="573">
        <v>341</v>
      </c>
    </row>
    <row r="184" spans="1:14" ht="12.75" customHeight="1" thickTop="1" thickBot="1" x14ac:dyDescent="0.25">
      <c r="A184" s="1690" t="s">
        <v>811</v>
      </c>
      <c r="B184" s="1668" t="s">
        <v>569</v>
      </c>
      <c r="C184" s="1676">
        <f>SUM(C180,C182,C183)</f>
        <v>460768</v>
      </c>
      <c r="D184" s="1676">
        <f t="shared" ref="D184:J184" si="17">SUM(D180,D182,D183)</f>
        <v>19731</v>
      </c>
      <c r="E184" s="1676">
        <f t="shared" si="17"/>
        <v>365519</v>
      </c>
      <c r="F184" s="1676">
        <f t="shared" si="17"/>
        <v>137298</v>
      </c>
      <c r="G184" s="1676">
        <f t="shared" si="17"/>
        <v>0</v>
      </c>
      <c r="H184" s="1676">
        <f t="shared" si="17"/>
        <v>0</v>
      </c>
      <c r="I184" s="1676">
        <f t="shared" si="17"/>
        <v>0</v>
      </c>
      <c r="J184" s="1676">
        <f t="shared" si="17"/>
        <v>0</v>
      </c>
      <c r="K184" s="1676">
        <f>SUM(K180,K182,K183)</f>
        <v>983316</v>
      </c>
      <c r="L184" s="1676">
        <f>SUM(L180, L182:L183)</f>
        <v>983044</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v>85850</v>
      </c>
      <c r="F189" s="616"/>
      <c r="G189" s="616"/>
      <c r="H189" s="466"/>
      <c r="I189" s="477"/>
      <c r="J189" s="616"/>
      <c r="K189" s="1670">
        <f t="shared" si="18"/>
        <v>85850</v>
      </c>
      <c r="L189" s="466">
        <v>75000</v>
      </c>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85850</v>
      </c>
      <c r="F194" s="616"/>
      <c r="G194" s="616"/>
      <c r="H194" s="1669">
        <f>SUM(H188:H193)</f>
        <v>0</v>
      </c>
      <c r="I194" s="477"/>
      <c r="J194" s="616"/>
      <c r="K194" s="1669">
        <f>SUM(K188:K193)</f>
        <v>85850</v>
      </c>
      <c r="L194" s="1669">
        <f>SUM(L188:L193)</f>
        <v>75000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85850</v>
      </c>
      <c r="F196" s="616"/>
      <c r="G196" s="616"/>
      <c r="H196" s="1676">
        <f>SUM(H194,H195)</f>
        <v>0</v>
      </c>
      <c r="I196" s="477"/>
      <c r="J196" s="616"/>
      <c r="K196" s="1676">
        <f>SUM(K194,K195)</f>
        <v>85850</v>
      </c>
      <c r="L196" s="1676">
        <f>SUM(L194,L195)</f>
        <v>75000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10000</v>
      </c>
    </row>
    <row r="210" spans="1:14" ht="12.75" customHeight="1" thickTop="1" thickBot="1" x14ac:dyDescent="0.25">
      <c r="A210" s="1691" t="s">
        <v>277</v>
      </c>
      <c r="B210" s="1692"/>
      <c r="C210" s="1669">
        <f>SUM(C184,C185)</f>
        <v>460768</v>
      </c>
      <c r="D210" s="1669">
        <f>SUM(D184,D185)</f>
        <v>19731</v>
      </c>
      <c r="E210" s="1669">
        <f>SUM(E184,E185,E196)</f>
        <v>451369</v>
      </c>
      <c r="F210" s="1669">
        <f>SUM(F184,F185)</f>
        <v>137298</v>
      </c>
      <c r="G210" s="1669">
        <f>SUM(G184,G185)</f>
        <v>0</v>
      </c>
      <c r="H210" s="1669">
        <f>SUM(H184,H185,H196,H208,H209)</f>
        <v>0</v>
      </c>
      <c r="I210" s="1669">
        <f>SUM(I184,I185)</f>
        <v>0</v>
      </c>
      <c r="J210" s="1669">
        <f>SUM(J184,J185)</f>
        <v>0</v>
      </c>
      <c r="K210" s="1670">
        <f>SUM(K184,K185,K196,K208,K209)</f>
        <v>1069166</v>
      </c>
      <c r="L210" s="1669">
        <f>SUM(L184,L185,L196,L208,L209)</f>
        <v>1068044</v>
      </c>
    </row>
    <row r="211" spans="1:14" ht="13.5" thickTop="1" x14ac:dyDescent="0.2">
      <c r="A211" s="2180" t="s">
        <v>996</v>
      </c>
      <c r="B211" s="2181"/>
      <c r="C211" s="618"/>
      <c r="D211" s="618"/>
      <c r="E211" s="618"/>
      <c r="F211" s="618"/>
      <c r="G211" s="618"/>
      <c r="H211" s="618"/>
      <c r="I211" s="616"/>
      <c r="J211" s="616"/>
      <c r="K211" s="1683">
        <f>'Revenues 9-14'!F268-'Expenditures 15-22'!K210</f>
        <v>210865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79778</v>
      </c>
      <c r="E215" s="616"/>
      <c r="F215" s="616"/>
      <c r="G215" s="616"/>
      <c r="H215" s="616"/>
      <c r="I215" s="616"/>
      <c r="J215" s="616"/>
      <c r="K215" s="1670">
        <f>D215</f>
        <v>79778</v>
      </c>
      <c r="L215" s="466">
        <v>94791</v>
      </c>
    </row>
    <row r="216" spans="1:14" x14ac:dyDescent="0.2">
      <c r="A216" s="1504" t="s">
        <v>163</v>
      </c>
      <c r="B216" s="614" t="s">
        <v>967</v>
      </c>
      <c r="C216" s="616"/>
      <c r="D216" s="467">
        <v>15371</v>
      </c>
      <c r="E216" s="616"/>
      <c r="F216" s="616"/>
      <c r="G216" s="616"/>
      <c r="H216" s="616"/>
      <c r="I216" s="616"/>
      <c r="J216" s="616"/>
      <c r="K216" s="1670">
        <f t="shared" ref="K216:K228" si="19">D216</f>
        <v>15371</v>
      </c>
      <c r="L216" s="466">
        <v>16649</v>
      </c>
    </row>
    <row r="217" spans="1:14" x14ac:dyDescent="0.2">
      <c r="A217" s="1504" t="s">
        <v>164</v>
      </c>
      <c r="B217" s="614">
        <v>1200</v>
      </c>
      <c r="C217" s="616"/>
      <c r="D217" s="466">
        <v>66177</v>
      </c>
      <c r="E217" s="616"/>
      <c r="F217" s="616"/>
      <c r="G217" s="616"/>
      <c r="H217" s="616"/>
      <c r="I217" s="616"/>
      <c r="J217" s="616"/>
      <c r="K217" s="1670">
        <f t="shared" si="19"/>
        <v>66177</v>
      </c>
      <c r="L217" s="466">
        <v>51114</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3059</v>
      </c>
      <c r="E219" s="616"/>
      <c r="F219" s="616"/>
      <c r="G219" s="616"/>
      <c r="H219" s="616"/>
      <c r="I219" s="616"/>
      <c r="J219" s="616"/>
      <c r="K219" s="1670">
        <f t="shared" si="19"/>
        <v>3059</v>
      </c>
      <c r="L219" s="466">
        <v>3621</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v>3545</v>
      </c>
      <c r="E222" s="616"/>
      <c r="F222" s="616"/>
      <c r="G222" s="616"/>
      <c r="H222" s="616"/>
      <c r="I222" s="616"/>
      <c r="J222" s="616"/>
      <c r="K222" s="1670">
        <f t="shared" si="19"/>
        <v>3545</v>
      </c>
      <c r="L222" s="466">
        <v>3215</v>
      </c>
    </row>
    <row r="223" spans="1:14" x14ac:dyDescent="0.2">
      <c r="A223" s="1504" t="s">
        <v>963</v>
      </c>
      <c r="B223" s="614">
        <v>1500</v>
      </c>
      <c r="C223" s="616"/>
      <c r="D223" s="466">
        <v>8360</v>
      </c>
      <c r="E223" s="616"/>
      <c r="F223" s="616"/>
      <c r="G223" s="616"/>
      <c r="H223" s="616"/>
      <c r="I223" s="616"/>
      <c r="J223" s="616"/>
      <c r="K223" s="1670">
        <f t="shared" si="19"/>
        <v>8360</v>
      </c>
      <c r="L223" s="466">
        <v>8450</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v>545</v>
      </c>
      <c r="E226" s="616"/>
      <c r="F226" s="616"/>
      <c r="G226" s="616"/>
      <c r="H226" s="616"/>
      <c r="I226" s="616"/>
      <c r="J226" s="616"/>
      <c r="K226" s="1670">
        <f t="shared" si="19"/>
        <v>545</v>
      </c>
      <c r="L226" s="466">
        <v>600</v>
      </c>
    </row>
    <row r="227" spans="1:12" x14ac:dyDescent="0.2">
      <c r="A227" s="1504" t="s">
        <v>1087</v>
      </c>
      <c r="B227" s="614">
        <v>1800</v>
      </c>
      <c r="C227" s="616"/>
      <c r="D227" s="466">
        <v>6765</v>
      </c>
      <c r="E227" s="616"/>
      <c r="F227" s="616"/>
      <c r="G227" s="616"/>
      <c r="H227" s="616"/>
      <c r="I227" s="616"/>
      <c r="J227" s="616"/>
      <c r="K227" s="1670">
        <f t="shared" si="19"/>
        <v>6765</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183600</v>
      </c>
      <c r="E229" s="616"/>
      <c r="F229" s="616"/>
      <c r="G229" s="616"/>
      <c r="H229" s="616"/>
      <c r="I229" s="616"/>
      <c r="J229" s="616"/>
      <c r="K229" s="1669">
        <f>SUM(K215:K228)</f>
        <v>183600</v>
      </c>
      <c r="L229" s="1669">
        <f>SUM(L215:L228)</f>
        <v>178440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10222</v>
      </c>
      <c r="E232" s="616"/>
      <c r="F232" s="616"/>
      <c r="G232" s="616"/>
      <c r="H232" s="616"/>
      <c r="I232" s="616"/>
      <c r="J232" s="616"/>
      <c r="K232" s="1670">
        <f t="shared" ref="K232:K237" si="20">D232</f>
        <v>10222</v>
      </c>
      <c r="L232" s="466">
        <v>11321</v>
      </c>
    </row>
    <row r="233" spans="1:12" x14ac:dyDescent="0.2">
      <c r="A233" s="1504" t="s">
        <v>1090</v>
      </c>
      <c r="B233" s="614">
        <v>2120</v>
      </c>
      <c r="C233" s="616"/>
      <c r="D233" s="466">
        <v>4381</v>
      </c>
      <c r="E233" s="616"/>
      <c r="F233" s="616"/>
      <c r="G233" s="616"/>
      <c r="H233" s="616"/>
      <c r="I233" s="616"/>
      <c r="J233" s="616"/>
      <c r="K233" s="1670">
        <f t="shared" si="20"/>
        <v>4381</v>
      </c>
      <c r="L233" s="466">
        <v>4400</v>
      </c>
    </row>
    <row r="234" spans="1:12" x14ac:dyDescent="0.2">
      <c r="A234" s="1504" t="s">
        <v>198</v>
      </c>
      <c r="B234" s="614">
        <v>2130</v>
      </c>
      <c r="C234" s="616"/>
      <c r="D234" s="466">
        <v>3174</v>
      </c>
      <c r="E234" s="616"/>
      <c r="F234" s="616"/>
      <c r="G234" s="616"/>
      <c r="H234" s="616"/>
      <c r="I234" s="616"/>
      <c r="J234" s="616"/>
      <c r="K234" s="1670">
        <f t="shared" si="20"/>
        <v>3174</v>
      </c>
      <c r="L234" s="466">
        <v>3341</v>
      </c>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17777</v>
      </c>
      <c r="E238" s="616"/>
      <c r="F238" s="616"/>
      <c r="G238" s="616"/>
      <c r="H238" s="616"/>
      <c r="I238" s="616"/>
      <c r="J238" s="616"/>
      <c r="K238" s="1669">
        <f>SUM(K232:K237)</f>
        <v>17777</v>
      </c>
      <c r="L238" s="1669">
        <f>SUM(L232:L237)</f>
        <v>19062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258</v>
      </c>
      <c r="E240" s="616"/>
      <c r="F240" s="616"/>
      <c r="G240" s="616"/>
      <c r="H240" s="616"/>
      <c r="I240" s="616"/>
      <c r="J240" s="616"/>
      <c r="K240" s="1671">
        <f>D240</f>
        <v>258</v>
      </c>
      <c r="L240" s="481">
        <v>319</v>
      </c>
    </row>
    <row r="241" spans="1:12" x14ac:dyDescent="0.2">
      <c r="A241" s="1504" t="s">
        <v>815</v>
      </c>
      <c r="B241" s="614">
        <v>2220</v>
      </c>
      <c r="C241" s="616"/>
      <c r="D241" s="466"/>
      <c r="E241" s="616"/>
      <c r="F241" s="616"/>
      <c r="G241" s="616"/>
      <c r="H241" s="616"/>
      <c r="I241" s="616"/>
      <c r="J241" s="616"/>
      <c r="K241" s="1671">
        <f>D241</f>
        <v>0</v>
      </c>
      <c r="L241" s="466"/>
    </row>
    <row r="242" spans="1:12" x14ac:dyDescent="0.2">
      <c r="A242" s="1504" t="s">
        <v>816</v>
      </c>
      <c r="B242" s="614">
        <v>2230</v>
      </c>
      <c r="C242" s="616"/>
      <c r="D242" s="466">
        <v>54</v>
      </c>
      <c r="E242" s="616"/>
      <c r="F242" s="616"/>
      <c r="G242" s="616"/>
      <c r="H242" s="616"/>
      <c r="I242" s="616"/>
      <c r="J242" s="616"/>
      <c r="K242" s="1671">
        <f>D242</f>
        <v>54</v>
      </c>
      <c r="L242" s="466"/>
    </row>
    <row r="243" spans="1:12" ht="12.75" customHeight="1" thickBot="1" x14ac:dyDescent="0.25">
      <c r="A243" s="1693" t="s">
        <v>561</v>
      </c>
      <c r="B243" s="1694">
        <v>2200</v>
      </c>
      <c r="C243" s="616"/>
      <c r="D243" s="1669">
        <f>SUM(D240:D242)</f>
        <v>312</v>
      </c>
      <c r="E243" s="616"/>
      <c r="F243" s="616"/>
      <c r="G243" s="616"/>
      <c r="H243" s="616"/>
      <c r="I243" s="616"/>
      <c r="J243" s="616"/>
      <c r="K243" s="1669">
        <f>SUM(K240:K242)</f>
        <v>312</v>
      </c>
      <c r="L243" s="1669">
        <f>SUM(L240:L242)</f>
        <v>319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1300</v>
      </c>
      <c r="E245" s="616"/>
      <c r="F245" s="616"/>
      <c r="G245" s="616"/>
      <c r="H245" s="616"/>
      <c r="I245" s="616"/>
      <c r="J245" s="616"/>
      <c r="K245" s="1671">
        <f>D245</f>
        <v>1300</v>
      </c>
      <c r="L245" s="481">
        <v>1425</v>
      </c>
    </row>
    <row r="246" spans="1:12" x14ac:dyDescent="0.2">
      <c r="A246" s="1504" t="s">
        <v>818</v>
      </c>
      <c r="B246" s="614">
        <v>2320</v>
      </c>
      <c r="C246" s="616"/>
      <c r="D246" s="466">
        <v>11759</v>
      </c>
      <c r="E246" s="616"/>
      <c r="F246" s="616"/>
      <c r="G246" s="616"/>
      <c r="H246" s="616"/>
      <c r="I246" s="616"/>
      <c r="J246" s="616"/>
      <c r="K246" s="1671">
        <f t="shared" ref="K246:K256" si="21">D246</f>
        <v>11759</v>
      </c>
      <c r="L246" s="466">
        <v>12558</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1802</v>
      </c>
      <c r="B249" s="683" t="s">
        <v>282</v>
      </c>
      <c r="C249" s="616"/>
      <c r="D249" s="474"/>
      <c r="E249" s="616"/>
      <c r="F249" s="616"/>
      <c r="G249" s="616"/>
      <c r="H249" s="616"/>
      <c r="I249" s="616"/>
      <c r="J249" s="616"/>
      <c r="K249" s="1671">
        <f t="shared" si="21"/>
        <v>0</v>
      </c>
      <c r="L249" s="466"/>
    </row>
    <row r="250" spans="1:12" x14ac:dyDescent="0.2">
      <c r="A250" s="1505" t="s">
        <v>1803</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v>50629</v>
      </c>
      <c r="E254" s="616"/>
      <c r="F254" s="616"/>
      <c r="G254" s="616"/>
      <c r="H254" s="616"/>
      <c r="I254" s="616"/>
      <c r="J254" s="616"/>
      <c r="K254" s="1671">
        <f t="shared" si="21"/>
        <v>50629</v>
      </c>
      <c r="L254" s="466">
        <v>54235</v>
      </c>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63688</v>
      </c>
      <c r="E257" s="616"/>
      <c r="F257" s="616"/>
      <c r="G257" s="616"/>
      <c r="H257" s="616"/>
      <c r="I257" s="616"/>
      <c r="J257" s="616"/>
      <c r="K257" s="1669">
        <f>SUM(K245:K256)</f>
        <v>63688</v>
      </c>
      <c r="L257" s="1669">
        <f>SUM(L245:L256)</f>
        <v>68218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45177</v>
      </c>
      <c r="E259" s="616"/>
      <c r="F259" s="616"/>
      <c r="G259" s="616"/>
      <c r="H259" s="616"/>
      <c r="I259" s="616"/>
      <c r="J259" s="616"/>
      <c r="K259" s="1671">
        <f>D259</f>
        <v>45177</v>
      </c>
      <c r="L259" s="481">
        <v>51045</v>
      </c>
    </row>
    <row r="260" spans="1:14" s="597" customFormat="1" x14ac:dyDescent="0.2">
      <c r="A260" s="1522" t="s">
        <v>1801</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45177</v>
      </c>
      <c r="E261" s="616"/>
      <c r="F261" s="616"/>
      <c r="G261" s="616"/>
      <c r="H261" s="616"/>
      <c r="I261" s="616"/>
      <c r="J261" s="616"/>
      <c r="K261" s="1669">
        <f>SUM(K259:K260)</f>
        <v>45177</v>
      </c>
      <c r="L261" s="1669">
        <f>SUM(L259:L260)</f>
        <v>51045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12962</v>
      </c>
      <c r="E264" s="616"/>
      <c r="F264" s="616"/>
      <c r="G264" s="616"/>
      <c r="H264" s="616"/>
      <c r="I264" s="616"/>
      <c r="J264" s="616"/>
      <c r="K264" s="1671">
        <f t="shared" ref="K264:K269" si="22">D264</f>
        <v>12962</v>
      </c>
      <c r="L264" s="466">
        <v>13725</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50787</v>
      </c>
      <c r="E266" s="616"/>
      <c r="F266" s="616"/>
      <c r="G266" s="616"/>
      <c r="H266" s="616"/>
      <c r="I266" s="616"/>
      <c r="J266" s="616"/>
      <c r="K266" s="1671">
        <f t="shared" si="22"/>
        <v>50787</v>
      </c>
      <c r="L266" s="466">
        <v>54471</v>
      </c>
    </row>
    <row r="267" spans="1:14" x14ac:dyDescent="0.2">
      <c r="A267" s="1504" t="s">
        <v>953</v>
      </c>
      <c r="B267" s="614">
        <v>2550</v>
      </c>
      <c r="C267" s="616"/>
      <c r="D267" s="466">
        <v>62697</v>
      </c>
      <c r="E267" s="616"/>
      <c r="F267" s="616"/>
      <c r="G267" s="616"/>
      <c r="H267" s="616"/>
      <c r="I267" s="616"/>
      <c r="J267" s="616"/>
      <c r="K267" s="1671">
        <f t="shared" si="22"/>
        <v>62697</v>
      </c>
      <c r="L267" s="466">
        <v>69274</v>
      </c>
    </row>
    <row r="268" spans="1:14" x14ac:dyDescent="0.2">
      <c r="A268" s="1504" t="s">
        <v>100</v>
      </c>
      <c r="B268" s="614">
        <v>2560</v>
      </c>
      <c r="C268" s="616"/>
      <c r="D268" s="466">
        <v>46035</v>
      </c>
      <c r="E268" s="616"/>
      <c r="F268" s="616"/>
      <c r="G268" s="616"/>
      <c r="H268" s="616"/>
      <c r="I268" s="616"/>
      <c r="J268" s="616"/>
      <c r="K268" s="1671">
        <f t="shared" si="22"/>
        <v>46035</v>
      </c>
      <c r="L268" s="466">
        <v>43105</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172481</v>
      </c>
      <c r="E270" s="616"/>
      <c r="F270" s="616"/>
      <c r="G270" s="616"/>
      <c r="H270" s="616"/>
      <c r="I270" s="616"/>
      <c r="J270" s="616"/>
      <c r="K270" s="1669">
        <f>SUM(K263:K269)</f>
        <v>172481</v>
      </c>
      <c r="L270" s="1669">
        <f>SUM(L263:L269)</f>
        <v>180575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v>14343</v>
      </c>
      <c r="E278" s="616"/>
      <c r="F278" s="616"/>
      <c r="G278" s="616"/>
      <c r="H278" s="616"/>
      <c r="I278" s="616"/>
      <c r="J278" s="616"/>
      <c r="K278" s="1684">
        <f>D278</f>
        <v>14343</v>
      </c>
      <c r="L278" s="656">
        <v>15825</v>
      </c>
    </row>
    <row r="279" spans="1:12" ht="12.75" customHeight="1" thickBot="1" x14ac:dyDescent="0.25">
      <c r="A279" s="1697" t="s">
        <v>811</v>
      </c>
      <c r="B279" s="1680">
        <v>2000</v>
      </c>
      <c r="C279" s="616"/>
      <c r="D279" s="1676">
        <f>SUM(D238,D243,D257,D261,D270,D277,D278)</f>
        <v>313778</v>
      </c>
      <c r="E279" s="616"/>
      <c r="F279" s="616"/>
      <c r="G279" s="616"/>
      <c r="H279" s="616"/>
      <c r="I279" s="616"/>
      <c r="J279" s="616"/>
      <c r="K279" s="1676">
        <f>SUM(K238,K243,K257,K261,K270,K277,K278)</f>
        <v>313778</v>
      </c>
      <c r="L279" s="1676">
        <f>SUM(L238,L243,L257,L261,L270,L277,L278)</f>
        <v>335044</v>
      </c>
    </row>
    <row r="280" spans="1:12" ht="15.75" customHeight="1" thickTop="1" thickBot="1" x14ac:dyDescent="0.25">
      <c r="A280" s="1624" t="s">
        <v>875</v>
      </c>
      <c r="B280" s="1613">
        <v>3000</v>
      </c>
      <c r="C280" s="616"/>
      <c r="D280" s="576">
        <v>1073</v>
      </c>
      <c r="E280" s="616"/>
      <c r="F280" s="616"/>
      <c r="G280" s="616"/>
      <c r="H280" s="616"/>
      <c r="I280" s="616"/>
      <c r="J280" s="616"/>
      <c r="K280" s="1678">
        <f>D280</f>
        <v>1073</v>
      </c>
      <c r="L280" s="576">
        <v>402</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1841</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9">
        <f>SUM(D229,D279,D280,D285)</f>
        <v>498451</v>
      </c>
      <c r="E295" s="616"/>
      <c r="F295" s="616"/>
      <c r="G295" s="616"/>
      <c r="H295" s="1669">
        <f>H293</f>
        <v>0</v>
      </c>
      <c r="I295" s="616"/>
      <c r="J295" s="616"/>
      <c r="K295" s="1669">
        <f>SUM(K229,K279,K280,K285,K293,K294)</f>
        <v>498451</v>
      </c>
      <c r="L295" s="1669">
        <f>SUM(L229,L279,L280,L285,L293,L294)</f>
        <v>513886</v>
      </c>
    </row>
    <row r="296" spans="1:14" ht="13.5" thickTop="1" x14ac:dyDescent="0.2">
      <c r="A296" s="2180" t="s">
        <v>996</v>
      </c>
      <c r="B296" s="2181"/>
      <c r="C296" s="616"/>
      <c r="D296" s="618"/>
      <c r="E296" s="616"/>
      <c r="F296" s="616"/>
      <c r="G296" s="616"/>
      <c r="H296" s="687"/>
      <c r="I296" s="616"/>
      <c r="J296" s="616"/>
      <c r="K296" s="1683">
        <f>'Revenues 9-14'!G268-'Expenditures 15-22'!K295</f>
        <v>-206476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692156</v>
      </c>
      <c r="H301" s="466"/>
      <c r="I301" s="467"/>
      <c r="J301" s="467"/>
      <c r="K301" s="1670">
        <f>SUM(C301:J301)</f>
        <v>692156</v>
      </c>
      <c r="L301" s="467">
        <v>500000</v>
      </c>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692156</v>
      </c>
      <c r="H303" s="1676">
        <f t="shared" si="23"/>
        <v>0</v>
      </c>
      <c r="I303" s="1676">
        <f t="shared" si="23"/>
        <v>0</v>
      </c>
      <c r="J303" s="1676">
        <f t="shared" si="23"/>
        <v>0</v>
      </c>
      <c r="K303" s="1676">
        <f t="shared" si="23"/>
        <v>692156</v>
      </c>
      <c r="L303" s="1676">
        <f t="shared" si="23"/>
        <v>500000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9">
        <f>SUM(C303)</f>
        <v>0</v>
      </c>
      <c r="D312" s="1669">
        <f>SUM(D303)</f>
        <v>0</v>
      </c>
      <c r="E312" s="1669">
        <f>SUM(E303,E310)</f>
        <v>0</v>
      </c>
      <c r="F312" s="1669">
        <f>SUM(F303)</f>
        <v>0</v>
      </c>
      <c r="G312" s="1669">
        <f>SUM(G303)</f>
        <v>692156</v>
      </c>
      <c r="H312" s="1669">
        <f>SUM(H303,H310)</f>
        <v>0</v>
      </c>
      <c r="I312" s="1669">
        <f>SUM(I303)</f>
        <v>0</v>
      </c>
      <c r="J312" s="1669">
        <f>SUM(J303)</f>
        <v>0</v>
      </c>
      <c r="K312" s="1669">
        <f>SUM(K303,K310,K311)</f>
        <v>692156</v>
      </c>
      <c r="L312" s="1669">
        <f>SUM(L303,L310,L311)</f>
        <v>500000</v>
      </c>
      <c r="M312" s="665"/>
      <c r="N312" s="665"/>
    </row>
    <row r="313" spans="1:14" ht="13.5" thickTop="1" x14ac:dyDescent="0.2">
      <c r="A313" s="2164" t="s">
        <v>996</v>
      </c>
      <c r="B313" s="2165"/>
      <c r="C313" s="626"/>
      <c r="D313" s="626"/>
      <c r="E313" s="626"/>
      <c r="F313" s="626"/>
      <c r="G313" s="626"/>
      <c r="H313" s="626"/>
      <c r="I313" s="626"/>
      <c r="J313" s="626"/>
      <c r="K313" s="1684">
        <f>'Revenues 9-14'!H268-'Expenditures 15-22'!K312</f>
        <v>-61440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v>93098</v>
      </c>
      <c r="F319" s="467"/>
      <c r="G319" s="467"/>
      <c r="H319" s="467"/>
      <c r="I319" s="467"/>
      <c r="J319" s="467"/>
      <c r="K319" s="1670">
        <f>SUM(C319:J319)</f>
        <v>93098</v>
      </c>
      <c r="L319" s="467"/>
      <c r="M319" s="665"/>
      <c r="N319" s="665"/>
    </row>
    <row r="320" spans="1:14" s="674" customFormat="1" x14ac:dyDescent="0.2">
      <c r="A320" s="1523" t="s">
        <v>1802</v>
      </c>
      <c r="B320" s="698" t="s">
        <v>282</v>
      </c>
      <c r="C320" s="467"/>
      <c r="D320" s="467"/>
      <c r="E320" s="467"/>
      <c r="F320" s="467"/>
      <c r="G320" s="467"/>
      <c r="H320" s="467"/>
      <c r="I320" s="467"/>
      <c r="J320" s="467"/>
      <c r="K320" s="1670">
        <f t="shared" ref="K320:K327" si="24">SUM(C320:J320)</f>
        <v>0</v>
      </c>
      <c r="L320" s="467">
        <v>60000</v>
      </c>
      <c r="M320" s="665"/>
      <c r="N320" s="665"/>
    </row>
    <row r="321" spans="1:14" s="674" customFormat="1" x14ac:dyDescent="0.2">
      <c r="A321" s="1519" t="s">
        <v>300</v>
      </c>
      <c r="B321" s="697" t="s">
        <v>283</v>
      </c>
      <c r="C321" s="467"/>
      <c r="D321" s="467"/>
      <c r="E321" s="467">
        <v>5560</v>
      </c>
      <c r="F321" s="467"/>
      <c r="G321" s="467"/>
      <c r="H321" s="467"/>
      <c r="I321" s="467"/>
      <c r="J321" s="467"/>
      <c r="K321" s="1670">
        <f t="shared" si="24"/>
        <v>5560</v>
      </c>
      <c r="L321" s="467">
        <v>3500</v>
      </c>
      <c r="M321" s="665"/>
      <c r="N321" s="665"/>
    </row>
    <row r="322" spans="1:14" s="674" customFormat="1" x14ac:dyDescent="0.2">
      <c r="A322" s="1519" t="s">
        <v>238</v>
      </c>
      <c r="B322" s="697" t="s">
        <v>284</v>
      </c>
      <c r="C322" s="467"/>
      <c r="D322" s="467"/>
      <c r="E322" s="467">
        <v>80025</v>
      </c>
      <c r="F322" s="467"/>
      <c r="G322" s="467"/>
      <c r="H322" s="467"/>
      <c r="I322" s="467"/>
      <c r="J322" s="467"/>
      <c r="K322" s="1670">
        <f t="shared" si="24"/>
        <v>80025</v>
      </c>
      <c r="L322" s="467">
        <v>84000</v>
      </c>
      <c r="M322" s="665"/>
      <c r="N322" s="665"/>
    </row>
    <row r="323" spans="1:14" s="674" customFormat="1" x14ac:dyDescent="0.2">
      <c r="A323" s="1519" t="s">
        <v>702</v>
      </c>
      <c r="B323" s="697" t="s">
        <v>285</v>
      </c>
      <c r="C323" s="467"/>
      <c r="D323" s="467"/>
      <c r="E323" s="467">
        <v>19090</v>
      </c>
      <c r="F323" s="467"/>
      <c r="G323" s="467"/>
      <c r="H323" s="467"/>
      <c r="I323" s="467"/>
      <c r="J323" s="467"/>
      <c r="K323" s="1670">
        <f t="shared" si="24"/>
        <v>19090</v>
      </c>
      <c r="L323" s="467">
        <v>20100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v>429314</v>
      </c>
      <c r="D325" s="467">
        <v>39744</v>
      </c>
      <c r="E325" s="467">
        <v>777</v>
      </c>
      <c r="F325" s="467"/>
      <c r="G325" s="467">
        <v>4815</v>
      </c>
      <c r="H325" s="467"/>
      <c r="I325" s="467"/>
      <c r="J325" s="467"/>
      <c r="K325" s="1670">
        <f t="shared" si="24"/>
        <v>474650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458223</v>
      </c>
      <c r="M326" s="665"/>
      <c r="N326" s="665"/>
    </row>
    <row r="327" spans="1:14" s="674" customFormat="1" x14ac:dyDescent="0.2">
      <c r="A327" s="1519" t="s">
        <v>971</v>
      </c>
      <c r="B327" s="697" t="s">
        <v>289</v>
      </c>
      <c r="C327" s="467"/>
      <c r="D327" s="467"/>
      <c r="E327" s="467">
        <v>31458</v>
      </c>
      <c r="F327" s="467"/>
      <c r="G327" s="467"/>
      <c r="H327" s="467"/>
      <c r="I327" s="467"/>
      <c r="J327" s="467"/>
      <c r="K327" s="1670">
        <f t="shared" si="24"/>
        <v>31458</v>
      </c>
      <c r="L327" s="467"/>
      <c r="M327" s="665"/>
      <c r="N327" s="665"/>
    </row>
    <row r="328" spans="1:14" s="674" customFormat="1" x14ac:dyDescent="0.2">
      <c r="A328" s="1520" t="s">
        <v>472</v>
      </c>
      <c r="B328" s="690" t="s">
        <v>1132</v>
      </c>
      <c r="C328" s="474"/>
      <c r="D328" s="474"/>
      <c r="E328" s="474">
        <v>5580</v>
      </c>
      <c r="F328" s="474"/>
      <c r="G328" s="474"/>
      <c r="H328" s="474"/>
      <c r="I328" s="474"/>
      <c r="J328" s="474"/>
      <c r="K328" s="1698">
        <f>SUM(C328:J328)</f>
        <v>5580</v>
      </c>
      <c r="L328" s="474">
        <v>42700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14545</v>
      </c>
      <c r="M329" s="665"/>
      <c r="N329" s="665"/>
    </row>
    <row r="330" spans="1:14" s="674" customFormat="1" ht="12.75" customHeight="1" thickBot="1" x14ac:dyDescent="0.25">
      <c r="A330" s="1699" t="s">
        <v>717</v>
      </c>
      <c r="B330" s="1668" t="s">
        <v>569</v>
      </c>
      <c r="C330" s="1669">
        <f>SUM(C319:C329)</f>
        <v>429314</v>
      </c>
      <c r="D330" s="1669">
        <f t="shared" ref="D330:J330" si="25">SUM(D319:D329)</f>
        <v>39744</v>
      </c>
      <c r="E330" s="1669">
        <f t="shared" si="25"/>
        <v>235588</v>
      </c>
      <c r="F330" s="1669">
        <f t="shared" si="25"/>
        <v>0</v>
      </c>
      <c r="G330" s="1669">
        <f t="shared" si="25"/>
        <v>4815</v>
      </c>
      <c r="H330" s="1669">
        <f t="shared" si="25"/>
        <v>0</v>
      </c>
      <c r="I330" s="1669">
        <f t="shared" si="25"/>
        <v>0</v>
      </c>
      <c r="J330" s="1669">
        <f t="shared" si="25"/>
        <v>0</v>
      </c>
      <c r="K330" s="1669">
        <f>SUM(K319:K329)</f>
        <v>709461</v>
      </c>
      <c r="L330" s="1669">
        <f>SUM(L319:L329)</f>
        <v>683068</v>
      </c>
      <c r="M330" s="665"/>
      <c r="N330" s="665"/>
    </row>
    <row r="331" spans="1:14" s="674" customFormat="1" ht="12.75" customHeight="1" thickTop="1" x14ac:dyDescent="0.2">
      <c r="A331" s="1830" t="s">
        <v>1847</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1841</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1843</v>
      </c>
      <c r="C333" s="1832"/>
      <c r="D333" s="1832"/>
      <c r="E333" s="1832"/>
      <c r="F333" s="1832"/>
      <c r="G333" s="1832"/>
      <c r="H333" s="467">
        <v>150000</v>
      </c>
      <c r="I333" s="1832"/>
      <c r="J333" s="1832"/>
      <c r="K333" s="1670">
        <f>H333</f>
        <v>150000</v>
      </c>
      <c r="L333" s="467">
        <v>150000</v>
      </c>
      <c r="M333" s="665"/>
      <c r="N333" s="665"/>
    </row>
    <row r="334" spans="1:14" s="674" customFormat="1" ht="12.75" customHeight="1" thickBot="1" x14ac:dyDescent="0.25">
      <c r="A334" s="1831" t="s">
        <v>1848</v>
      </c>
      <c r="B334" s="1826" t="s">
        <v>860</v>
      </c>
      <c r="C334" s="1832"/>
      <c r="D334" s="1832"/>
      <c r="E334" s="1832"/>
      <c r="F334" s="1832"/>
      <c r="G334" s="1832"/>
      <c r="H334" s="1669">
        <f>SUM(H332:H333)</f>
        <v>150000</v>
      </c>
      <c r="I334" s="1832"/>
      <c r="J334" s="1832"/>
      <c r="K334" s="1669">
        <f>SUM(K332:K333)</f>
        <v>150000</v>
      </c>
      <c r="L334" s="1669">
        <f>SUM(L332:L333)</f>
        <v>150000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429314</v>
      </c>
      <c r="D342" s="1669">
        <f>SUM(D330)</f>
        <v>39744</v>
      </c>
      <c r="E342" s="1669">
        <f>SUM(E330)</f>
        <v>235588</v>
      </c>
      <c r="F342" s="1669">
        <f>SUM(F330)</f>
        <v>0</v>
      </c>
      <c r="G342" s="1669">
        <f>SUM(G330)</f>
        <v>4815</v>
      </c>
      <c r="H342" s="1669">
        <f>SUM(H330,H334,H340)</f>
        <v>150000</v>
      </c>
      <c r="I342" s="1669">
        <f>SUM(I330)</f>
        <v>0</v>
      </c>
      <c r="J342" s="1669">
        <f>SUM(J330)</f>
        <v>0</v>
      </c>
      <c r="K342" s="1669">
        <f>SUM(K330,K334,K340)</f>
        <v>859461</v>
      </c>
      <c r="L342" s="1676">
        <f>SUM(L330,L340,L334,L341)</f>
        <v>833068</v>
      </c>
    </row>
    <row r="343" spans="1:14" ht="12.75" customHeight="1" thickTop="1" x14ac:dyDescent="0.2">
      <c r="A343" s="2166" t="s">
        <v>996</v>
      </c>
      <c r="B343" s="2167"/>
      <c r="C343" s="616"/>
      <c r="D343" s="616"/>
      <c r="E343" s="616"/>
      <c r="F343" s="616"/>
      <c r="G343" s="616"/>
      <c r="H343" s="616"/>
      <c r="I343" s="616"/>
      <c r="J343" s="616"/>
      <c r="K343" s="1683">
        <f>'Revenues 9-14'!J268-'Expenditures 15-22'!K342</f>
        <v>-134290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v>814310</v>
      </c>
      <c r="H349" s="466"/>
      <c r="I349" s="467"/>
      <c r="J349" s="467"/>
      <c r="K349" s="1670">
        <f>SUM(C349:J349)</f>
        <v>814310</v>
      </c>
      <c r="L349" s="466">
        <v>1472075</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814310</v>
      </c>
      <c r="H350" s="1669">
        <f t="shared" si="26"/>
        <v>0</v>
      </c>
      <c r="I350" s="1669">
        <f t="shared" si="26"/>
        <v>0</v>
      </c>
      <c r="J350" s="1669">
        <f t="shared" si="26"/>
        <v>0</v>
      </c>
      <c r="K350" s="1669">
        <f t="shared" si="26"/>
        <v>814310</v>
      </c>
      <c r="L350" s="1669">
        <f t="shared" si="26"/>
        <v>1472075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814310</v>
      </c>
      <c r="H352" s="1669">
        <f t="shared" si="27"/>
        <v>0</v>
      </c>
      <c r="I352" s="1669">
        <f t="shared" si="27"/>
        <v>0</v>
      </c>
      <c r="J352" s="1669">
        <f t="shared" si="27"/>
        <v>0</v>
      </c>
      <c r="K352" s="1669">
        <f t="shared" si="27"/>
        <v>814310</v>
      </c>
      <c r="L352" s="1669">
        <f t="shared" si="27"/>
        <v>1472075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row>
    <row r="355" spans="1:14" ht="12.75" customHeight="1" x14ac:dyDescent="0.2">
      <c r="A355" s="1513" t="s">
        <v>1850</v>
      </c>
      <c r="B355" s="690" t="s">
        <v>1843</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814310</v>
      </c>
      <c r="H367" s="1669">
        <f t="shared" si="28"/>
        <v>0</v>
      </c>
      <c r="I367" s="1669">
        <f t="shared" si="28"/>
        <v>0</v>
      </c>
      <c r="J367" s="1669">
        <f t="shared" si="28"/>
        <v>0</v>
      </c>
      <c r="K367" s="1669">
        <f t="shared" si="28"/>
        <v>814310</v>
      </c>
      <c r="L367" s="1669">
        <f t="shared" si="28"/>
        <v>1472075</v>
      </c>
    </row>
    <row r="368" spans="1:14" ht="13.5" thickTop="1" x14ac:dyDescent="0.2">
      <c r="A368" s="2180" t="s">
        <v>996</v>
      </c>
      <c r="B368" s="2181"/>
      <c r="C368" s="654"/>
      <c r="D368" s="654"/>
      <c r="E368" s="626"/>
      <c r="F368" s="626"/>
      <c r="G368" s="626"/>
      <c r="H368" s="626"/>
      <c r="I368" s="626"/>
      <c r="J368" s="623"/>
      <c r="K368" s="1670">
        <f>'Revenues 9-14'!K268-'Expenditures 15-22'!K367</f>
        <v>-740489</v>
      </c>
      <c r="L368" s="654"/>
    </row>
  </sheetData>
  <sheetProtection algorithmName="SHA-512" hashValue="C0yyAt9CLZ0ZQmCOh9BCdvRyvWdeiQzyBoBY+Gb5J8KA8VXhVErsEDTvvFSgXcIuXMN+Hna0y1ld0896h0J1IA==" saltValue="BN+WKi3GgCQRCkkBFe5aA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 &amp;CThe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6ce3111e-7420-4802-b50a-75d4e9a0b980"/>
    <ds:schemaRef ds:uri="http://schemas.microsoft.com/sharepoint/v3"/>
    <ds:schemaRef ds:uri="4d435f69-8686-490b-bd6d-b153bf22ab50"/>
    <ds:schemaRef ds:uri="http://purl.org/dc/dcmitype/"/>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(2)</vt:lpstr>
      <vt:lpstr> SEFA</vt:lpstr>
      <vt:lpstr>SEFA NOTES</vt:lpstr>
      <vt:lpstr>SF&amp;QC Sec-1</vt:lpstr>
      <vt:lpstr>SF&amp;QC Sec-2</vt:lpstr>
      <vt:lpstr>SF&amp;QC Sec-2 (2)</vt:lpstr>
      <vt:lpstr>SF&amp;QC Sec-2 (3)</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2019-09-30T15:22:34Z</cp:lastPrinted>
  <dcterms:created xsi:type="dcterms:W3CDTF">2003-10-29T19:06:34Z</dcterms:created>
  <dcterms:modified xsi:type="dcterms:W3CDTF">2019-11-19T22:15:41Z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