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A596567-DBF8-48C8-9406-416FB4228C2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3" r:id="rId29"/>
    <sheet name="SEFA NOTES" sheetId="173" r:id="rId30"/>
    <sheet name="SF&amp;QC Sec-1" sheetId="174" r:id="rId31"/>
    <sheet name="Finding 2019-001" sheetId="184" r:id="rId32"/>
    <sheet name="SF&amp;QC Sec-2" sheetId="175" r:id="rId33"/>
    <sheet name="SF&amp;QC Sec-3" sheetId="176" r:id="rId34"/>
    <sheet name="Finding 2019-002" sheetId="186" r:id="rId35"/>
    <sheet name="SSPAF" sheetId="177" r:id="rId36"/>
    <sheet name="CAP 2019-001" sheetId="188" r:id="rId37"/>
    <sheet name="CAP 2019-002" sheetId="187" r:id="rId38"/>
  </sheets>
  <definedNames>
    <definedName name="goof" localSheetId="31">#REF!</definedName>
    <definedName name="goof" localSheetId="34">#REF!</definedName>
    <definedName name="goof">#REF!</definedName>
    <definedName name="oops" localSheetId="31">#REF!</definedName>
    <definedName name="oops">#REF!</definedName>
    <definedName name="pass" localSheetId="37">#REF!</definedName>
    <definedName name="pass">#REF!</definedName>
    <definedName name="pass1" localSheetId="37">#REF!</definedName>
    <definedName name="pass1">#REF!</definedName>
    <definedName name="pass2" localSheetId="37">#REF!</definedName>
    <definedName name="pass2">#REF!</definedName>
    <definedName name="pass3" localSheetId="37">#REF!</definedName>
    <definedName name="pass3">#REF!</definedName>
    <definedName name="pass4" localSheetId="37">#REF!</definedName>
    <definedName name="pass4">#REF!</definedName>
    <definedName name="_xlnm.Print_Area" localSheetId="27">' SEFA'!$B$1:$M$46</definedName>
    <definedName name="_xlnm.Print_Area" localSheetId="34">'Finding 2019-002'!$A$1:$K$52</definedName>
    <definedName name="_xlnm.Print_Area" localSheetId="28">'SEFA 19'!$A$15:$W$148</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Print_Area_MI" localSheetId="28">'SEFA 19'!$B$17:$W$111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19'!$A:$C,'SEFA 19'!$1:$14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21">#REF!</definedName>
    <definedName name="SCHADDRS" localSheetId="4">#REF!</definedName>
    <definedName name="SCHADDRS" localSheetId="31">#REF!</definedName>
    <definedName name="SCHADDRS" localSheetId="34">#REF!</definedName>
    <definedName name="SCHADDRS" localSheetId="28">#REF!</definedName>
    <definedName name="SCHADDRS" localSheetId="29">#REF!</definedName>
    <definedName name="SCHADDRS" localSheetId="26">#REF!</definedName>
    <definedName name="SCHADDRS" localSheetId="30">#REF!</definedName>
    <definedName name="SCHADDRS" localSheetId="32">#REF!</definedName>
    <definedName name="SCHADDRS" localSheetId="33">#REF!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21">#REF!</definedName>
    <definedName name="SCHCTY" localSheetId="4">#REF!</definedName>
    <definedName name="SCHCTY" localSheetId="31">#REF!</definedName>
    <definedName name="SCHCTY" localSheetId="34">#REF!</definedName>
    <definedName name="SCHCTY" localSheetId="28">#REF!</definedName>
    <definedName name="SCHCTY" localSheetId="29">#REF!</definedName>
    <definedName name="SCHCTY" localSheetId="26">#REF!</definedName>
    <definedName name="SCHCTY" localSheetId="30">#REF!</definedName>
    <definedName name="SCHCTY" localSheetId="32">#REF!</definedName>
    <definedName name="SCHCTY" localSheetId="33">#REF!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21">#REF!</definedName>
    <definedName name="SCHNMBR" localSheetId="4">#REF!</definedName>
    <definedName name="SCHNMBR" localSheetId="31">#REF!</definedName>
    <definedName name="SCHNMBR" localSheetId="34">#REF!</definedName>
    <definedName name="SCHNMBR" localSheetId="28">#REF!</definedName>
    <definedName name="SCHNMBR" localSheetId="29">#REF!</definedName>
    <definedName name="SCHNMBR" localSheetId="26">#REF!</definedName>
    <definedName name="SCHNMBR" localSheetId="30">#REF!</definedName>
    <definedName name="SCHNMBR" localSheetId="32">#REF!</definedName>
    <definedName name="SCHNMBR" localSheetId="33">#REF!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21">#REF!</definedName>
    <definedName name="SCHNME" localSheetId="4">#REF!</definedName>
    <definedName name="SCHNME" localSheetId="31">#REF!</definedName>
    <definedName name="SCHNME" localSheetId="34">#REF!</definedName>
    <definedName name="SCHNME" localSheetId="28">#REF!</definedName>
    <definedName name="SCHNME" localSheetId="29">#REF!</definedName>
    <definedName name="SCHNME" localSheetId="26">#REF!</definedName>
    <definedName name="SCHNME" localSheetId="30">#REF!</definedName>
    <definedName name="SCHNME" localSheetId="32">#REF!</definedName>
    <definedName name="SCHNME" localSheetId="33">#REF!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36">#REF!</definedName>
    <definedName name="SUPT" localSheetId="37">#REF!</definedName>
    <definedName name="SUPT" localSheetId="21">#REF!</definedName>
    <definedName name="SUPT" localSheetId="4">#REF!</definedName>
    <definedName name="SUPT" localSheetId="31">#REF!</definedName>
    <definedName name="SUPT" localSheetId="34">#REF!</definedName>
    <definedName name="SUPT" localSheetId="28">#REF!</definedName>
    <definedName name="SUPT" localSheetId="29">#REF!</definedName>
    <definedName name="SUPT" localSheetId="26">#REF!</definedName>
    <definedName name="SUPT" localSheetId="30">#REF!</definedName>
    <definedName name="SUPT" localSheetId="32">#REF!</definedName>
    <definedName name="SUPT" localSheetId="33">#REF!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7" i="8" l="1"/>
  <c r="J8" i="12" l="1"/>
  <c r="S120" i="183" l="1"/>
  <c r="S127" i="183" s="1"/>
  <c r="S140" i="183" s="1"/>
  <c r="O120" i="183"/>
  <c r="O127" i="183" s="1"/>
  <c r="O140" i="183" s="1"/>
  <c r="K120" i="183"/>
  <c r="K127" i="183" s="1"/>
  <c r="K140" i="183" s="1"/>
  <c r="I120" i="183"/>
  <c r="I127" i="183" s="1"/>
  <c r="G120" i="183"/>
  <c r="G140" i="183" s="1"/>
  <c r="S109" i="183"/>
  <c r="O109" i="183"/>
  <c r="K109" i="183"/>
  <c r="G109" i="183"/>
  <c r="S69" i="183"/>
  <c r="O69" i="183"/>
  <c r="K69" i="183"/>
  <c r="I69" i="183"/>
  <c r="G69" i="183"/>
  <c r="S59" i="183"/>
  <c r="O59" i="183"/>
  <c r="K59" i="183"/>
  <c r="G59" i="183"/>
  <c r="S55" i="183"/>
  <c r="O55" i="183"/>
  <c r="K55" i="183"/>
  <c r="S34" i="183"/>
  <c r="O34" i="183"/>
  <c r="K34" i="183"/>
  <c r="I34" i="183"/>
  <c r="G34" i="183"/>
  <c r="S30" i="183"/>
  <c r="O30" i="183"/>
  <c r="K30" i="183"/>
  <c r="K39" i="183" s="1"/>
  <c r="I30" i="183"/>
  <c r="I39" i="183" s="1"/>
  <c r="G30" i="183"/>
  <c r="G39" i="183" s="1"/>
  <c r="G127" i="183" l="1"/>
  <c r="O111" i="183"/>
  <c r="K138" i="183"/>
  <c r="S138" i="183"/>
  <c r="S111" i="183"/>
  <c r="K111" i="183"/>
  <c r="O39" i="183"/>
  <c r="O138" i="183" s="1"/>
  <c r="M10" i="183" l="1"/>
  <c r="O11" i="183"/>
  <c r="Q10" i="183" s="1"/>
  <c r="K12" i="183"/>
  <c r="M11" i="183" s="1"/>
  <c r="O12" i="183"/>
  <c r="Q11" i="183" s="1"/>
  <c r="U19" i="183"/>
  <c r="U20" i="183"/>
  <c r="U22" i="183"/>
  <c r="U23" i="183"/>
  <c r="U25" i="183"/>
  <c r="U28" i="183"/>
  <c r="U29" i="183"/>
  <c r="U32" i="183"/>
  <c r="U33" i="183"/>
  <c r="U36" i="183"/>
  <c r="U37" i="183"/>
  <c r="U45" i="183"/>
  <c r="U46" i="183"/>
  <c r="U48" i="183"/>
  <c r="U49" i="183"/>
  <c r="G51" i="183"/>
  <c r="G55" i="183" s="1"/>
  <c r="U51" i="183"/>
  <c r="I52" i="183"/>
  <c r="I55" i="183" s="1"/>
  <c r="U52" i="183"/>
  <c r="U54" i="183"/>
  <c r="U55" i="183" s="1"/>
  <c r="U57" i="183"/>
  <c r="I58" i="183"/>
  <c r="I59" i="183" s="1"/>
  <c r="U58" i="183"/>
  <c r="U61" i="183"/>
  <c r="U62" i="183"/>
  <c r="U64" i="183"/>
  <c r="U67" i="183"/>
  <c r="U68" i="183"/>
  <c r="U71" i="183"/>
  <c r="U73" i="183"/>
  <c r="U74" i="183"/>
  <c r="U76" i="183"/>
  <c r="U77" i="183"/>
  <c r="U79" i="183"/>
  <c r="U80" i="183"/>
  <c r="U82" i="183"/>
  <c r="U83" i="183"/>
  <c r="U85" i="183"/>
  <c r="U86" i="183"/>
  <c r="U91" i="183"/>
  <c r="U96" i="183"/>
  <c r="U97" i="183"/>
  <c r="U102" i="183"/>
  <c r="U103" i="183"/>
  <c r="U105" i="183"/>
  <c r="U106" i="183"/>
  <c r="U107" i="183"/>
  <c r="I108" i="183"/>
  <c r="U108" i="183"/>
  <c r="W108" i="183"/>
  <c r="U118" i="183"/>
  <c r="U119" i="183"/>
  <c r="U124" i="183"/>
  <c r="U125" i="183"/>
  <c r="U131" i="183"/>
  <c r="U132" i="183" s="1"/>
  <c r="G132" i="183"/>
  <c r="I132" i="183"/>
  <c r="K132" i="183"/>
  <c r="O132" i="183"/>
  <c r="S132" i="183"/>
  <c r="I138" i="183" l="1"/>
  <c r="U120" i="183"/>
  <c r="U127" i="183" s="1"/>
  <c r="U140" i="183" s="1"/>
  <c r="G111" i="183"/>
  <c r="G135" i="183" s="1"/>
  <c r="G138" i="183"/>
  <c r="U69" i="183"/>
  <c r="I109" i="183"/>
  <c r="I111" i="183" s="1"/>
  <c r="I135" i="183" s="1"/>
  <c r="I140" i="183"/>
  <c r="I142" i="183" s="1"/>
  <c r="U34" i="183"/>
  <c r="U59" i="183"/>
  <c r="U109" i="183"/>
  <c r="U30" i="183"/>
  <c r="G142" i="183"/>
  <c r="K142" i="183"/>
  <c r="S142" i="183"/>
  <c r="K135" i="183"/>
  <c r="S135" i="183"/>
  <c r="U39" i="183" l="1"/>
  <c r="U138" i="183" s="1"/>
  <c r="U142" i="183" s="1"/>
  <c r="U111" i="183"/>
  <c r="U135"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6" i="106"/>
  <c r="D4356" i="106" s="1"/>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B6381" i="106"/>
  <c r="D6381"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F115" i="34"/>
  <c r="C116" i="34"/>
  <c r="D116" i="34"/>
  <c r="F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5" i="5"/>
  <c r="B4373" i="106" s="1"/>
  <c r="D4373" i="106" s="1"/>
  <c r="J252" i="5"/>
  <c r="J266" i="5" s="1"/>
  <c r="B7041" i="106" s="1"/>
  <c r="D7041" i="106" s="1"/>
  <c r="K252" i="5"/>
  <c r="D7" i="118"/>
  <c r="D8" i="118"/>
  <c r="D9" i="118"/>
  <c r="J22" i="37"/>
  <c r="J49" i="8" l="1"/>
  <c r="B4172" i="106" s="1"/>
  <c r="D4172" i="106" s="1"/>
  <c r="D22" i="37"/>
  <c r="B7727" i="106"/>
  <c r="D7727" i="106" s="1"/>
  <c r="D24" i="37"/>
  <c r="B4270" i="106" s="1"/>
  <c r="D4270" i="106" s="1"/>
  <c r="H28" i="118"/>
  <c r="L5" i="11"/>
  <c r="B2056" i="106" s="1"/>
  <c r="D2056" i="106" s="1"/>
  <c r="L15" i="11"/>
  <c r="B3459" i="106" s="1"/>
  <c r="D3459" i="106" s="1"/>
  <c r="H33" i="118"/>
  <c r="D54" i="36"/>
  <c r="D11" i="37"/>
  <c r="D31" i="36"/>
  <c r="F19" i="7"/>
  <c r="B1807" i="106" s="1"/>
  <c r="D1807" i="106" s="1"/>
  <c r="H29" i="118"/>
  <c r="K28" i="118" s="1"/>
  <c r="O27" i="118" s="1"/>
  <c r="O29" i="118" s="1"/>
  <c r="N22" i="3"/>
  <c r="B283" i="106" s="1"/>
  <c r="D283" i="106" s="1"/>
  <c r="L22" i="37"/>
  <c r="L13" i="11"/>
  <c r="B2060" i="106" s="1"/>
  <c r="D2060" i="106" s="1"/>
  <c r="I24" i="12"/>
  <c r="F21" i="8"/>
  <c r="K24" i="12"/>
  <c r="I267" i="5"/>
  <c r="B4435" i="106" s="1"/>
  <c r="D4435" i="106" s="1"/>
  <c r="J90" i="28"/>
  <c r="B79" i="36"/>
  <c r="B77" i="36"/>
  <c r="B6840" i="106"/>
  <c r="D6840" i="106" s="1"/>
  <c r="B6839" i="106"/>
  <c r="D6839" i="106" s="1"/>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I7" i="4" l="1"/>
  <c r="B4444" i="106" s="1"/>
  <c r="D4444" i="106" s="1"/>
  <c r="L16" i="11"/>
  <c r="B2061" i="106" s="1"/>
  <c r="D2061" i="106" s="1"/>
  <c r="B2031" i="106"/>
  <c r="D203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5" i="106" l="1"/>
  <c r="D7815" i="106" s="1"/>
  <c r="B7811" i="106"/>
  <c r="D7811" i="106" s="1"/>
  <c r="B7814" i="106"/>
  <c r="D7814" i="106" s="1"/>
  <c r="B7810" i="106"/>
  <c r="D7810" i="106" s="1"/>
  <c r="B7813" i="106"/>
  <c r="D7813" i="106" s="1"/>
  <c r="B7809" i="106"/>
  <c r="D7809" i="106" s="1"/>
  <c r="F166" i="34" l="1"/>
  <c r="B7812" i="106"/>
  <c r="D7812" i="106" s="1"/>
  <c r="F167" i="34"/>
  <c r="B7816" i="106"/>
  <c r="D7816" i="106" s="1"/>
  <c r="L334" i="29" l="1"/>
  <c r="K133" i="29"/>
  <c r="B7774" i="106"/>
  <c r="D7774" i="106" s="1"/>
  <c r="B7775" i="106"/>
  <c r="D7775" i="106" s="1"/>
  <c r="K158" i="29"/>
  <c r="B7780" i="106" s="1"/>
  <c r="D7780" i="106" s="1"/>
  <c r="B7779" i="106"/>
  <c r="D7779" i="106" s="1"/>
  <c r="K159" i="29"/>
  <c r="B7782" i="106" s="1"/>
  <c r="D7782" i="106" s="1"/>
  <c r="B7781" i="106"/>
  <c r="D7781" i="106" s="1"/>
  <c r="K282" i="29"/>
  <c r="B7783" i="106"/>
  <c r="D7783" i="106" s="1"/>
  <c r="K332" i="29"/>
  <c r="H334" i="29"/>
  <c r="B7789" i="106" s="1"/>
  <c r="D7789" i="106" s="1"/>
  <c r="B7785" i="106"/>
  <c r="D7785" i="106" s="1"/>
  <c r="K333" i="29"/>
  <c r="B7788" i="106" s="1"/>
  <c r="D7788" i="106" s="1"/>
  <c r="B7787" i="106"/>
  <c r="D7787" i="106" s="1"/>
  <c r="K355" i="29"/>
  <c r="B7793" i="106"/>
  <c r="D7793" i="106" s="1"/>
  <c r="B7237" i="106"/>
  <c r="D7237" i="106" s="1"/>
  <c r="K354" i="29"/>
  <c r="B7791" i="106"/>
  <c r="D7791" i="106" s="1"/>
  <c r="B7236" i="106"/>
  <c r="D7236" i="106" s="1"/>
  <c r="B7776" i="106" l="1"/>
  <c r="D7776" i="106" s="1"/>
  <c r="B7784" i="106"/>
  <c r="D7784" i="106" s="1"/>
  <c r="B7786" i="106"/>
  <c r="D7786" i="106" s="1"/>
  <c r="K334" i="29"/>
  <c r="B7792" i="106"/>
  <c r="D7792" i="106" s="1"/>
  <c r="B3673" i="106"/>
  <c r="D3673" i="106" s="1"/>
  <c r="B7794" i="106"/>
  <c r="D7794" i="106" s="1"/>
  <c r="B3674" i="106"/>
  <c r="D3674" i="106" s="1"/>
  <c r="F74" i="34" l="1"/>
  <c r="B7790" i="106"/>
  <c r="D7790" i="106" s="1"/>
  <c r="J15" i="4"/>
  <c r="B7796" i="106" s="1"/>
  <c r="D7796"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6" i="106"/>
  <c r="D5556"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5765" i="106"/>
  <c r="D5765" i="106" s="1"/>
  <c r="B4796" i="106"/>
  <c r="D4796" i="106" s="1"/>
  <c r="B4947" i="106"/>
  <c r="D4947" i="106" s="1"/>
  <c r="B4813" i="106"/>
  <c r="D4813" i="106" s="1"/>
  <c r="B4378" i="106"/>
  <c r="D4378" i="106" s="1"/>
  <c r="B4382" i="106"/>
  <c r="D4382" i="106" s="1"/>
  <c r="B4394" i="106"/>
  <c r="D4394" i="106" s="1"/>
  <c r="B5791" i="106"/>
  <c r="D5791"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B3585" i="106"/>
  <c r="D3585" i="106" s="1"/>
  <c r="B5026" i="106"/>
  <c r="D5026"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1033" i="106"/>
  <c r="D1033"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5888" i="106"/>
  <c r="D5888" i="106" s="1"/>
  <c r="B7806" i="106"/>
  <c r="D7806"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137" i="29" l="1"/>
  <c r="L139" i="29" s="1"/>
  <c r="L293" i="29"/>
  <c r="L100" i="29"/>
  <c r="B5065" i="106"/>
  <c r="D5065" i="106" s="1"/>
  <c r="B2792" i="106"/>
  <c r="D2792" i="106" s="1"/>
  <c r="K108" i="29"/>
  <c r="B2796" i="106" s="1"/>
  <c r="D2796" i="106" s="1"/>
  <c r="K98" i="29"/>
  <c r="B7007" i="106" s="1"/>
  <c r="D7007" i="106" s="1"/>
  <c r="B7006" i="106"/>
  <c r="D7006" i="106" s="1"/>
  <c r="B6989" i="106"/>
  <c r="D6989" i="106" s="1"/>
  <c r="K89" i="29"/>
  <c r="B6990" i="106" s="1"/>
  <c r="D6990" i="106" s="1"/>
  <c r="K82" i="29"/>
  <c r="B2977" i="106" s="1"/>
  <c r="D2977" i="106" s="1"/>
  <c r="B2953" i="106"/>
  <c r="D2953" i="106" s="1"/>
  <c r="B2949" i="106"/>
  <c r="D2949" i="106" s="1"/>
  <c r="E84" i="29"/>
  <c r="K78" i="29"/>
  <c r="K75" i="29"/>
  <c r="B756" i="106"/>
  <c r="D756" i="106" s="1"/>
  <c r="B754" i="106"/>
  <c r="D754" i="106" s="1"/>
  <c r="K73" i="29"/>
  <c r="B1142" i="106" s="1"/>
  <c r="D1142" i="106" s="1"/>
  <c r="B751" i="106"/>
  <c r="D751" i="106" s="1"/>
  <c r="K71" i="29"/>
  <c r="B1139" i="106" s="1"/>
  <c r="D1139" i="106" s="1"/>
  <c r="B749" i="106"/>
  <c r="D749" i="106" s="1"/>
  <c r="K70" i="29"/>
  <c r="B1137" i="106" s="1"/>
  <c r="D1137" i="106" s="1"/>
  <c r="B748" i="106"/>
  <c r="D748" i="106" s="1"/>
  <c r="K69" i="29"/>
  <c r="B1136" i="106" s="1"/>
  <c r="D1136" i="106" s="1"/>
  <c r="K68" i="29"/>
  <c r="B1135" i="106" s="1"/>
  <c r="D1135" i="106" s="1"/>
  <c r="B747" i="106"/>
  <c r="D747" i="106" s="1"/>
  <c r="K67" i="29"/>
  <c r="E33" i="108" s="1"/>
  <c r="B746" i="106"/>
  <c r="D746" i="106" s="1"/>
  <c r="C72" i="29"/>
  <c r="B753" i="106" s="1"/>
  <c r="D753" i="106" s="1"/>
  <c r="B743" i="106"/>
  <c r="D743" i="106" s="1"/>
  <c r="K64" i="29"/>
  <c r="B742" i="106"/>
  <c r="D742" i="106" s="1"/>
  <c r="K63" i="29"/>
  <c r="B1130" i="106" s="1"/>
  <c r="D1130" i="106" s="1"/>
  <c r="B741" i="106"/>
  <c r="D741" i="106" s="1"/>
  <c r="K62" i="29"/>
  <c r="B1129" i="106" s="1"/>
  <c r="D1129" i="106" s="1"/>
  <c r="B740" i="106"/>
  <c r="D740" i="106" s="1"/>
  <c r="K61" i="29"/>
  <c r="B1128" i="106" s="1"/>
  <c r="D1128" i="106" s="1"/>
  <c r="K60" i="29"/>
  <c r="B1127" i="106" s="1"/>
  <c r="D1127" i="106" s="1"/>
  <c r="B739" i="106"/>
  <c r="D739" i="106" s="1"/>
  <c r="C65" i="29"/>
  <c r="B745" i="106" s="1"/>
  <c r="D745" i="106" s="1"/>
  <c r="K59" i="29"/>
  <c r="D26" i="108" s="1"/>
  <c r="B738" i="106"/>
  <c r="D738" i="106" s="1"/>
  <c r="B736" i="106"/>
  <c r="D736" i="106" s="1"/>
  <c r="K56" i="29"/>
  <c r="K55" i="29"/>
  <c r="B735" i="106"/>
  <c r="D735" i="106" s="1"/>
  <c r="C57" i="29"/>
  <c r="B737" i="106" s="1"/>
  <c r="D737" i="106" s="1"/>
  <c r="B6932" i="106"/>
  <c r="D6932" i="106" s="1"/>
  <c r="K52" i="29"/>
  <c r="B6940" i="106" s="1"/>
  <c r="D6940" i="106" s="1"/>
  <c r="K51" i="29"/>
  <c r="B2718" i="106"/>
  <c r="D2718" i="106" s="1"/>
  <c r="B733" i="106"/>
  <c r="D733" i="106" s="1"/>
  <c r="K50" i="29"/>
  <c r="K49" i="29"/>
  <c r="B732" i="106"/>
  <c r="D732" i="106" s="1"/>
  <c r="C53" i="29"/>
  <c r="B734" i="106" s="1"/>
  <c r="D734" i="106" s="1"/>
  <c r="B730" i="106"/>
  <c r="D730" i="106" s="1"/>
  <c r="K46" i="29"/>
  <c r="B1118" i="106" s="1"/>
  <c r="D1118" i="106" s="1"/>
  <c r="B729" i="106"/>
  <c r="D729" i="106" s="1"/>
  <c r="K45" i="29"/>
  <c r="B1117" i="106" s="1"/>
  <c r="D1117" i="106" s="1"/>
  <c r="C47" i="29"/>
  <c r="B731" i="106" s="1"/>
  <c r="D731" i="106" s="1"/>
  <c r="K44" i="29"/>
  <c r="B728" i="106"/>
  <c r="D728" i="106" s="1"/>
  <c r="B726" i="106"/>
  <c r="D726" i="106" s="1"/>
  <c r="K41" i="29"/>
  <c r="B1114" i="106" s="1"/>
  <c r="D1114" i="106" s="1"/>
  <c r="B725" i="106"/>
  <c r="D725" i="106" s="1"/>
  <c r="K40" i="29"/>
  <c r="B1113" i="106" s="1"/>
  <c r="D1113" i="106" s="1"/>
  <c r="B724" i="106"/>
  <c r="D724" i="106" s="1"/>
  <c r="K39" i="29"/>
  <c r="B1112" i="106" s="1"/>
  <c r="D1112" i="106" s="1"/>
  <c r="B723" i="106"/>
  <c r="D723" i="106" s="1"/>
  <c r="K38" i="29"/>
  <c r="B1111" i="106" s="1"/>
  <c r="D1111" i="106" s="1"/>
  <c r="B722" i="106"/>
  <c r="D722" i="106" s="1"/>
  <c r="K37" i="29"/>
  <c r="B1110" i="106" s="1"/>
  <c r="D1110" i="106" s="1"/>
  <c r="K36" i="29"/>
  <c r="B721" i="106"/>
  <c r="D721" i="106" s="1"/>
  <c r="C42" i="29"/>
  <c r="K25" i="29"/>
  <c r="B6886" i="106"/>
  <c r="D6886" i="106" s="1"/>
  <c r="B995" i="106"/>
  <c r="D995" i="106" s="1"/>
  <c r="H33" i="29"/>
  <c r="F158" i="34"/>
  <c r="B7761" i="106"/>
  <c r="D7761" i="106" s="1"/>
  <c r="B5063" i="106"/>
  <c r="D5063" i="106" s="1"/>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J65" i="29"/>
  <c r="B6962" i="106" s="1"/>
  <c r="D6962" i="106" s="1"/>
  <c r="B6951" i="106"/>
  <c r="D6951" i="106" s="1"/>
  <c r="B6945" i="106"/>
  <c r="D6945" i="106" s="1"/>
  <c r="J57" i="29"/>
  <c r="B6949" i="106" s="1"/>
  <c r="D6949" i="106" s="1"/>
  <c r="J53" i="29"/>
  <c r="B6943" i="106" s="1"/>
  <c r="D6943" i="106" s="1"/>
  <c r="B6927" i="106"/>
  <c r="D6927" i="106" s="1"/>
  <c r="J47" i="29"/>
  <c r="B6925" i="106" s="1"/>
  <c r="D6925" i="106" s="1"/>
  <c r="B6919" i="106"/>
  <c r="D6919" i="106" s="1"/>
  <c r="B6905" i="106"/>
  <c r="D6905" i="106" s="1"/>
  <c r="J42" i="29"/>
  <c r="K32" i="29"/>
  <c r="B6900" i="106"/>
  <c r="D6900" i="106" s="1"/>
  <c r="B6884" i="106"/>
  <c r="D6884" i="106" s="1"/>
  <c r="K24" i="29"/>
  <c r="B5107" i="106"/>
  <c r="D5107" i="106" s="1"/>
  <c r="F98" i="34"/>
  <c r="C34" i="3"/>
  <c r="B6125" i="106"/>
  <c r="D6125" i="106" s="1"/>
  <c r="B6941" i="106"/>
  <c r="D6941" i="106" s="1"/>
  <c r="C76" i="4"/>
  <c r="B3231" i="106" s="1"/>
  <c r="D3231" i="106" s="1"/>
  <c r="B5022" i="106"/>
  <c r="D5022" i="106" s="1"/>
  <c r="B1049" i="106"/>
  <c r="D1049" i="106" s="1"/>
  <c r="K106" i="29"/>
  <c r="B1147" i="106" s="1"/>
  <c r="D1147" i="106" s="1"/>
  <c r="K96" i="29"/>
  <c r="B7003" i="106" s="1"/>
  <c r="D7003" i="106" s="1"/>
  <c r="B7002" i="106"/>
  <c r="D7002" i="106" s="1"/>
  <c r="K87" i="29"/>
  <c r="B6986" i="106" s="1"/>
  <c r="D6986" i="106" s="1"/>
  <c r="B6985" i="106"/>
  <c r="D6985" i="106" s="1"/>
  <c r="K81" i="29"/>
  <c r="B2976" i="106" s="1"/>
  <c r="D2976" i="106" s="1"/>
  <c r="B2952" i="106"/>
  <c r="D2952" i="106" s="1"/>
  <c r="B6963" i="106"/>
  <c r="D6963" i="106" s="1"/>
  <c r="I72" i="29"/>
  <c r="B6973" i="106" s="1"/>
  <c r="D6973" i="106" s="1"/>
  <c r="B6950" i="106"/>
  <c r="D6950" i="106" s="1"/>
  <c r="I65" i="29"/>
  <c r="B6961" i="106" s="1"/>
  <c r="D6961" i="106" s="1"/>
  <c r="B6944" i="106"/>
  <c r="D6944" i="106" s="1"/>
  <c r="I57" i="29"/>
  <c r="B6948" i="106" s="1"/>
  <c r="D6948" i="106" s="1"/>
  <c r="I53" i="29"/>
  <c r="B6942" i="106" s="1"/>
  <c r="D6942" i="106" s="1"/>
  <c r="B6926" i="106"/>
  <c r="D6926" i="106" s="1"/>
  <c r="I47" i="29"/>
  <c r="B6924" i="106" s="1"/>
  <c r="D6924" i="106" s="1"/>
  <c r="B6918" i="106"/>
  <c r="D6918" i="106" s="1"/>
  <c r="I42" i="29"/>
  <c r="B6904" i="106"/>
  <c r="D6904" i="106" s="1"/>
  <c r="B6898" i="106"/>
  <c r="D6898" i="106" s="1"/>
  <c r="K31" i="29"/>
  <c r="B6882" i="106"/>
  <c r="D6882" i="106" s="1"/>
  <c r="K23" i="29"/>
  <c r="B879" i="106"/>
  <c r="D879" i="106" s="1"/>
  <c r="F33" i="29"/>
  <c r="K6" i="29"/>
  <c r="B7763" i="106" s="1"/>
  <c r="D7763" i="106" s="1"/>
  <c r="B7762" i="106"/>
  <c r="D7762" i="106" s="1"/>
  <c r="B1048" i="106"/>
  <c r="D1048" i="106" s="1"/>
  <c r="H110" i="29"/>
  <c r="K105" i="29"/>
  <c r="K95" i="29"/>
  <c r="B7001" i="106" s="1"/>
  <c r="D7001" i="106" s="1"/>
  <c r="B7000" i="106"/>
  <c r="D7000" i="106" s="1"/>
  <c r="B6983" i="106"/>
  <c r="D6983" i="106" s="1"/>
  <c r="K86" i="29"/>
  <c r="B6984" i="106" s="1"/>
  <c r="D6984" i="106" s="1"/>
  <c r="H72" i="29"/>
  <c r="B1043" i="106" s="1"/>
  <c r="D1043" i="106" s="1"/>
  <c r="B1036" i="106"/>
  <c r="D1036" i="106" s="1"/>
  <c r="H65" i="29"/>
  <c r="B1035" i="106" s="1"/>
  <c r="D1035" i="106" s="1"/>
  <c r="B1028" i="106"/>
  <c r="D1028" i="106" s="1"/>
  <c r="B1025" i="106"/>
  <c r="D1025" i="106" s="1"/>
  <c r="H57" i="29"/>
  <c r="B1027" i="106" s="1"/>
  <c r="D1027" i="106" s="1"/>
  <c r="H53" i="29"/>
  <c r="B1024" i="106" s="1"/>
  <c r="D1024" i="106" s="1"/>
  <c r="B1022" i="106"/>
  <c r="D1022" i="106" s="1"/>
  <c r="B1018" i="106"/>
  <c r="D1018" i="106" s="1"/>
  <c r="H47" i="29"/>
  <c r="B1021" i="106" s="1"/>
  <c r="D1021" i="106" s="1"/>
  <c r="H42" i="29"/>
  <c r="B1011" i="106"/>
  <c r="D1011" i="106" s="1"/>
  <c r="B6896" i="106"/>
  <c r="D6896" i="106" s="1"/>
  <c r="K30" i="29"/>
  <c r="B6880" i="106"/>
  <c r="D6880" i="106" s="1"/>
  <c r="K22" i="29"/>
  <c r="E33" i="29"/>
  <c r="B821" i="106"/>
  <c r="D821" i="106" s="1"/>
  <c r="B5072" i="106"/>
  <c r="D5072" i="106" s="1"/>
  <c r="C40" i="5"/>
  <c r="B5087" i="106" s="1"/>
  <c r="D5087" i="106" s="1"/>
  <c r="B7748" i="106"/>
  <c r="D7748" i="106" s="1"/>
  <c r="K94" i="29"/>
  <c r="B6999" i="106" s="1"/>
  <c r="D6999" i="106" s="1"/>
  <c r="B6998" i="106"/>
  <c r="D6998" i="106" s="1"/>
  <c r="H92" i="29"/>
  <c r="B6981" i="106"/>
  <c r="D6981" i="106" s="1"/>
  <c r="K85" i="29"/>
  <c r="B6982" i="106" s="1"/>
  <c r="D6982" i="106" s="1"/>
  <c r="K80" i="29"/>
  <c r="B2975" i="106" s="1"/>
  <c r="D2975" i="106" s="1"/>
  <c r="B2951" i="106"/>
  <c r="D2951" i="106" s="1"/>
  <c r="G72" i="29"/>
  <c r="B985" i="106" s="1"/>
  <c r="D985" i="106" s="1"/>
  <c r="B978" i="106"/>
  <c r="D978" i="106" s="1"/>
  <c r="G65" i="29"/>
  <c r="B977" i="106" s="1"/>
  <c r="D977" i="106" s="1"/>
  <c r="B970" i="106"/>
  <c r="D970" i="106" s="1"/>
  <c r="B967" i="106"/>
  <c r="D967" i="106" s="1"/>
  <c r="G57" i="29"/>
  <c r="B969" i="106" s="1"/>
  <c r="D969" i="106" s="1"/>
  <c r="G53" i="29"/>
  <c r="B966" i="106" s="1"/>
  <c r="D966" i="106" s="1"/>
  <c r="B964" i="106"/>
  <c r="D964" i="106" s="1"/>
  <c r="B960" i="106"/>
  <c r="D960" i="106" s="1"/>
  <c r="G47" i="29"/>
  <c r="B963" i="106" s="1"/>
  <c r="D963" i="106" s="1"/>
  <c r="G42" i="29"/>
  <c r="B953" i="106"/>
  <c r="D953" i="106" s="1"/>
  <c r="K29" i="29"/>
  <c r="B6894" i="106"/>
  <c r="D6894" i="106" s="1"/>
  <c r="K21" i="29"/>
  <c r="B6878" i="106"/>
  <c r="D6878" i="106" s="1"/>
  <c r="B763" i="106"/>
  <c r="D763" i="106" s="1"/>
  <c r="D33" i="29"/>
  <c r="B5163" i="106"/>
  <c r="D5163" i="106" s="1"/>
  <c r="L110" i="29"/>
  <c r="L112" i="29" s="1"/>
  <c r="K101" i="29"/>
  <c r="B7015" i="106" s="1"/>
  <c r="D7015" i="106" s="1"/>
  <c r="B2947" i="106"/>
  <c r="D2947" i="106" s="1"/>
  <c r="H100" i="29"/>
  <c r="B7012" i="106" s="1"/>
  <c r="D7012" i="106" s="1"/>
  <c r="B6996" i="106"/>
  <c r="D6996" i="106" s="1"/>
  <c r="K93" i="29"/>
  <c r="F72" i="29"/>
  <c r="B927" i="106" s="1"/>
  <c r="D927" i="106" s="1"/>
  <c r="B920" i="106"/>
  <c r="D920" i="106" s="1"/>
  <c r="B912" i="106"/>
  <c r="D912" i="106" s="1"/>
  <c r="F65" i="29"/>
  <c r="B919" i="106" s="1"/>
  <c r="D919" i="106" s="1"/>
  <c r="B909" i="106"/>
  <c r="D909" i="106" s="1"/>
  <c r="F57" i="29"/>
  <c r="B911" i="106" s="1"/>
  <c r="D911" i="106" s="1"/>
  <c r="B906" i="106"/>
  <c r="D906" i="106" s="1"/>
  <c r="F53" i="29"/>
  <c r="B908" i="106" s="1"/>
  <c r="D908" i="106" s="1"/>
  <c r="B902" i="106"/>
  <c r="D902" i="106" s="1"/>
  <c r="F47" i="29"/>
  <c r="B905" i="106" s="1"/>
  <c r="D905" i="106" s="1"/>
  <c r="F42" i="29"/>
  <c r="B895" i="106"/>
  <c r="D895" i="106" s="1"/>
  <c r="B6892" i="106"/>
  <c r="D6892" i="106" s="1"/>
  <c r="K28" i="29"/>
  <c r="B6876" i="106"/>
  <c r="D6876" i="106" s="1"/>
  <c r="K20" i="29"/>
  <c r="B3367" i="106"/>
  <c r="D3367" i="106" s="1"/>
  <c r="K19" i="29"/>
  <c r="B3381" i="106" s="1"/>
  <c r="D3381" i="106" s="1"/>
  <c r="K18" i="29"/>
  <c r="B1100" i="106" s="1"/>
  <c r="D1100" i="106" s="1"/>
  <c r="B712" i="106"/>
  <c r="D712" i="106" s="1"/>
  <c r="K17" i="29"/>
  <c r="B6871" i="106" s="1"/>
  <c r="D6871" i="106" s="1"/>
  <c r="B7263" i="106"/>
  <c r="D7263" i="106" s="1"/>
  <c r="B706" i="106"/>
  <c r="D706" i="106" s="1"/>
  <c r="K16" i="29"/>
  <c r="B1094" i="106" s="1"/>
  <c r="D1094" i="106" s="1"/>
  <c r="K15" i="29"/>
  <c r="B719" i="106"/>
  <c r="D719" i="106" s="1"/>
  <c r="K14" i="29"/>
  <c r="B1106" i="106" s="1"/>
  <c r="D1106" i="106" s="1"/>
  <c r="B718" i="106"/>
  <c r="D718" i="106" s="1"/>
  <c r="B717" i="106"/>
  <c r="D717" i="106" s="1"/>
  <c r="K13" i="29"/>
  <c r="B1105" i="106" s="1"/>
  <c r="D1105" i="106" s="1"/>
  <c r="B716" i="106"/>
  <c r="D716" i="106" s="1"/>
  <c r="K12" i="29"/>
  <c r="K11" i="29"/>
  <c r="B7257" i="106"/>
  <c r="D7257" i="106" s="1"/>
  <c r="B3055" i="106"/>
  <c r="D3055" i="106" s="1"/>
  <c r="K10" i="29"/>
  <c r="B3062" i="106" s="1"/>
  <c r="D3062" i="106" s="1"/>
  <c r="B7251" i="106"/>
  <c r="D7251" i="106" s="1"/>
  <c r="K9" i="29"/>
  <c r="B3366" i="106"/>
  <c r="D3366" i="106" s="1"/>
  <c r="K8" i="29"/>
  <c r="B3380" i="106" s="1"/>
  <c r="D3380" i="106" s="1"/>
  <c r="K7" i="29"/>
  <c r="B6727" i="106"/>
  <c r="D6727" i="106" s="1"/>
  <c r="B705" i="106"/>
  <c r="D705" i="106" s="1"/>
  <c r="C33" i="29"/>
  <c r="B6031" i="106"/>
  <c r="D6031" i="106" s="1"/>
  <c r="L92" i="29"/>
  <c r="B7016" i="106"/>
  <c r="D7016" i="106" s="1"/>
  <c r="K111" i="29"/>
  <c r="B7017" i="106" s="1"/>
  <c r="D7017" i="106" s="1"/>
  <c r="K91" i="29"/>
  <c r="B6994" i="106" s="1"/>
  <c r="D6994" i="106" s="1"/>
  <c r="B6993" i="106"/>
  <c r="D6993"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B6890" i="106"/>
  <c r="D6890" i="106" s="1"/>
  <c r="K27" i="29"/>
  <c r="J33" i="29"/>
  <c r="B6845" i="106"/>
  <c r="D6845" i="106" s="1"/>
  <c r="D78" i="36"/>
  <c r="B4113" i="106"/>
  <c r="D4113" i="106" s="1"/>
  <c r="C18" i="4"/>
  <c r="B4131" i="106" s="1"/>
  <c r="D4131" i="106" s="1"/>
  <c r="B5061" i="106"/>
  <c r="D5061" i="106" s="1"/>
  <c r="B4" i="7"/>
  <c r="B5110" i="106"/>
  <c r="D5110" i="106" s="1"/>
  <c r="F99" i="34"/>
  <c r="B5118" i="106"/>
  <c r="D5118" i="106" s="1"/>
  <c r="F104" i="34"/>
  <c r="K109" i="29"/>
  <c r="B1149" i="106" s="1"/>
  <c r="D1149" i="106" s="1"/>
  <c r="B1051" i="106"/>
  <c r="D1051" i="106" s="1"/>
  <c r="E100" i="29"/>
  <c r="B7011" i="106" s="1"/>
  <c r="D7011" i="106" s="1"/>
  <c r="K99" i="29"/>
  <c r="B7010" i="106" s="1"/>
  <c r="D7010"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B793" i="106"/>
  <c r="D793" i="106" s="1"/>
  <c r="D57" i="29"/>
  <c r="B795" i="106" s="1"/>
  <c r="D795" i="106" s="1"/>
  <c r="D53" i="29"/>
  <c r="B792" i="106" s="1"/>
  <c r="D792" i="106" s="1"/>
  <c r="B790" i="106"/>
  <c r="D790" i="106" s="1"/>
  <c r="B786" i="106"/>
  <c r="D786" i="106" s="1"/>
  <c r="D47" i="29"/>
  <c r="B789" i="106" s="1"/>
  <c r="D789" i="106" s="1"/>
  <c r="D42" i="29"/>
  <c r="B779" i="106"/>
  <c r="D779" i="106" s="1"/>
  <c r="B6888" i="106"/>
  <c r="D6888" i="106" s="1"/>
  <c r="K26" i="29"/>
  <c r="I33" i="29"/>
  <c r="B6844" i="106"/>
  <c r="D6844" i="106" s="1"/>
  <c r="B5088" i="106"/>
  <c r="D5088" i="106" s="1"/>
  <c r="B5067" i="106"/>
  <c r="D5067" i="106" s="1"/>
  <c r="C18" i="5"/>
  <c r="B5071" i="106" s="1"/>
  <c r="D5071" i="106" s="1"/>
  <c r="F159" i="34"/>
  <c r="D44" i="4"/>
  <c r="B7749" i="106"/>
  <c r="D7749" i="106" s="1"/>
  <c r="B7025" i="106"/>
  <c r="D7025" i="106" s="1"/>
  <c r="J127" i="29"/>
  <c r="B7034" i="106" s="1"/>
  <c r="D7034" i="106" s="1"/>
  <c r="B7023" i="106"/>
  <c r="D7023" i="106" s="1"/>
  <c r="F120" i="34"/>
  <c r="B4329" i="106"/>
  <c r="D4329" i="106" s="1"/>
  <c r="B5391" i="106"/>
  <c r="D5391" i="106" s="1"/>
  <c r="D155" i="5"/>
  <c r="B5394" i="106" s="1"/>
  <c r="D5394" i="106" s="1"/>
  <c r="B5331" i="106"/>
  <c r="D5331" i="106" s="1"/>
  <c r="B5349" i="106"/>
  <c r="D5349" i="106" s="1"/>
  <c r="D108" i="5"/>
  <c r="B5355" i="106" s="1"/>
  <c r="D5355" i="106" s="1"/>
  <c r="K148" i="29"/>
  <c r="B7050" i="106" s="1"/>
  <c r="D7050" i="106" s="1"/>
  <c r="B7049" i="106"/>
  <c r="D7049" i="106" s="1"/>
  <c r="K136" i="29"/>
  <c r="B2988" i="106" s="1"/>
  <c r="D2988" i="106" s="1"/>
  <c r="B4201" i="106"/>
  <c r="D4201" i="106" s="1"/>
  <c r="B7024" i="106"/>
  <c r="D7024" i="106" s="1"/>
  <c r="I127" i="29"/>
  <c r="B7033" i="106" s="1"/>
  <c r="D7033" i="106" s="1"/>
  <c r="B7022" i="106"/>
  <c r="D7022" i="106" s="1"/>
  <c r="B5440" i="106"/>
  <c r="D5440" i="106" s="1"/>
  <c r="D209" i="5"/>
  <c r="B4412" i="106" s="1"/>
  <c r="D4412" i="106" s="1"/>
  <c r="D188" i="5"/>
  <c r="B5426" i="106"/>
  <c r="D5426" i="106" s="1"/>
  <c r="B5361" i="106"/>
  <c r="D5361" i="106" s="1"/>
  <c r="D122" i="5"/>
  <c r="D82" i="5"/>
  <c r="B5343" i="106"/>
  <c r="D5343" i="106" s="1"/>
  <c r="D217" i="5"/>
  <c r="B5470" i="106" s="1"/>
  <c r="D5470" i="106" s="1"/>
  <c r="B5458" i="106"/>
  <c r="D5458" i="106" s="1"/>
  <c r="B6251" i="106"/>
  <c r="D6251" i="106" s="1"/>
  <c r="H41" i="4"/>
  <c r="B6289" i="106" s="1"/>
  <c r="D6289" i="106" s="1"/>
  <c r="E39" i="4"/>
  <c r="B6287" i="106" s="1"/>
  <c r="D6287" i="106" s="1"/>
  <c r="B6247" i="106"/>
  <c r="D6247" i="106" s="1"/>
  <c r="B6241" i="106"/>
  <c r="D6241" i="106" s="1"/>
  <c r="H14" i="118"/>
  <c r="H19" i="118"/>
  <c r="B1270" i="106"/>
  <c r="D1270" i="106" s="1"/>
  <c r="K146" i="29"/>
  <c r="B1285" i="106" s="1"/>
  <c r="D1285" i="106" s="1"/>
  <c r="H127" i="29"/>
  <c r="B1264" i="106" s="1"/>
  <c r="D1264" i="106" s="1"/>
  <c r="B1260" i="106"/>
  <c r="D1260" i="106" s="1"/>
  <c r="B4079" i="106"/>
  <c r="D4079" i="106" s="1"/>
  <c r="B5333" i="106"/>
  <c r="D5333" i="106" s="1"/>
  <c r="B3698" i="106"/>
  <c r="D3698" i="106" s="1"/>
  <c r="K52" i="4"/>
  <c r="B3702" i="106" s="1"/>
  <c r="D3702" i="106" s="1"/>
  <c r="K145" i="29"/>
  <c r="B2811" i="106" s="1"/>
  <c r="D2811" i="106" s="1"/>
  <c r="B2808" i="106"/>
  <c r="D2808" i="106" s="1"/>
  <c r="K135" i="29"/>
  <c r="B2987" i="106" s="1"/>
  <c r="D2987" i="106" s="1"/>
  <c r="B4200" i="106"/>
  <c r="D4200" i="106" s="1"/>
  <c r="G127" i="29"/>
  <c r="B1256" i="106" s="1"/>
  <c r="D1256" i="106" s="1"/>
  <c r="B1251" i="106"/>
  <c r="D1251" i="106" s="1"/>
  <c r="B4078" i="106"/>
  <c r="D4078" i="106" s="1"/>
  <c r="D252" i="5"/>
  <c r="B6834" i="106" s="1"/>
  <c r="D6834" i="106" s="1"/>
  <c r="B6615" i="106"/>
  <c r="D6615" i="106" s="1"/>
  <c r="B5384" i="106"/>
  <c r="D5384" i="106" s="1"/>
  <c r="F110" i="34"/>
  <c r="B5370" i="106"/>
  <c r="D5370" i="106" s="1"/>
  <c r="D141" i="5"/>
  <c r="B5383" i="106" s="1"/>
  <c r="D5383" i="106" s="1"/>
  <c r="B5340" i="106"/>
  <c r="D5340" i="106" s="1"/>
  <c r="D76" i="4"/>
  <c r="B3237" i="106" s="1"/>
  <c r="D3237" i="106" s="1"/>
  <c r="B5023" i="106"/>
  <c r="D5023" i="106" s="1"/>
  <c r="H51" i="4"/>
  <c r="B3170" i="106" s="1"/>
  <c r="D3170" i="106" s="1"/>
  <c r="B3161" i="106"/>
  <c r="D3161" i="106" s="1"/>
  <c r="B2807" i="106"/>
  <c r="D2807" i="106" s="1"/>
  <c r="K144" i="29"/>
  <c r="B2810" i="106" s="1"/>
  <c r="D2810" i="106" s="1"/>
  <c r="B2979" i="106"/>
  <c r="D2979" i="106" s="1"/>
  <c r="H137" i="29"/>
  <c r="F127" i="29"/>
  <c r="B1247" i="106" s="1"/>
  <c r="D1247" i="106" s="1"/>
  <c r="B1243" i="106"/>
  <c r="D1243" i="106" s="1"/>
  <c r="B4077" i="106"/>
  <c r="D4077" i="106" s="1"/>
  <c r="F33" i="34"/>
  <c r="B5494" i="106"/>
  <c r="D5494" i="106" s="1"/>
  <c r="D181" i="5"/>
  <c r="B5425" i="106" s="1"/>
  <c r="D5425" i="106" s="1"/>
  <c r="B5424" i="106"/>
  <c r="D5424" i="106" s="1"/>
  <c r="B5357" i="106"/>
  <c r="D5357" i="106" s="1"/>
  <c r="D114" i="5"/>
  <c r="K143" i="29"/>
  <c r="B1284" i="106" s="1"/>
  <c r="D1284" i="106" s="1"/>
  <c r="B1269" i="106"/>
  <c r="D1269" i="106" s="1"/>
  <c r="B4199" i="106"/>
  <c r="D4199" i="106" s="1"/>
  <c r="K134" i="29"/>
  <c r="E137" i="29"/>
  <c r="K130" i="29"/>
  <c r="B2797" i="106"/>
  <c r="D2797" i="106" s="1"/>
  <c r="B1224" i="106"/>
  <c r="D1224" i="106" s="1"/>
  <c r="K128" i="29"/>
  <c r="B1280" i="106" s="1"/>
  <c r="D1280" i="106" s="1"/>
  <c r="B1235" i="106"/>
  <c r="D1235" i="106" s="1"/>
  <c r="E127" i="29"/>
  <c r="B1239" i="106" s="1"/>
  <c r="D1239" i="106" s="1"/>
  <c r="B4076" i="106"/>
  <c r="D4076" i="106" s="1"/>
  <c r="B5431" i="106"/>
  <c r="D5431" i="106" s="1"/>
  <c r="D204" i="5"/>
  <c r="B5444" i="106" s="1"/>
  <c r="D5444" i="106" s="1"/>
  <c r="D132" i="5"/>
  <c r="B5368" i="106"/>
  <c r="D5368" i="106" s="1"/>
  <c r="L149" i="29"/>
  <c r="L147" i="29"/>
  <c r="E40" i="4"/>
  <c r="B6288" i="106" s="1"/>
  <c r="D6288" i="106" s="1"/>
  <c r="B6249" i="106"/>
  <c r="D6249" i="106" s="1"/>
  <c r="B1268" i="106"/>
  <c r="D1268" i="106" s="1"/>
  <c r="K142" i="29"/>
  <c r="H147" i="29"/>
  <c r="B1227" i="106"/>
  <c r="D1227" i="106" s="1"/>
  <c r="D127" i="29"/>
  <c r="B1231" i="106" s="1"/>
  <c r="D1231" i="106" s="1"/>
  <c r="B4075" i="106"/>
  <c r="D4075" i="106" s="1"/>
  <c r="D221" i="5"/>
  <c r="B5488" i="106" s="1"/>
  <c r="D5488" i="106" s="1"/>
  <c r="B5485" i="106"/>
  <c r="D5485" i="106" s="1"/>
  <c r="D175" i="5"/>
  <c r="B5422" i="106"/>
  <c r="D5422" i="106" s="1"/>
  <c r="B2092" i="106"/>
  <c r="D2092" i="106" s="1"/>
  <c r="K138" i="29"/>
  <c r="B2094" i="106" s="1"/>
  <c r="D2094" i="106" s="1"/>
  <c r="B1254" i="106"/>
  <c r="D1254" i="106" s="1"/>
  <c r="K126" i="29"/>
  <c r="B1277" i="106" s="1"/>
  <c r="D1277" i="106" s="1"/>
  <c r="K125" i="29"/>
  <c r="B3488" i="106" s="1"/>
  <c r="D3488" i="106" s="1"/>
  <c r="B3482" i="106"/>
  <c r="D3482" i="106" s="1"/>
  <c r="K124" i="29"/>
  <c r="B1276" i="106" s="1"/>
  <c r="D1276" i="106" s="1"/>
  <c r="B1221" i="106"/>
  <c r="D1221" i="106" s="1"/>
  <c r="K123" i="29"/>
  <c r="B1275" i="106" s="1"/>
  <c r="D1275" i="106" s="1"/>
  <c r="B1220" i="106"/>
  <c r="D1220" i="106" s="1"/>
  <c r="K122" i="29"/>
  <c r="C127" i="29"/>
  <c r="B1223" i="106" s="1"/>
  <c r="D1223" i="106" s="1"/>
  <c r="B1219" i="106"/>
  <c r="D1219" i="106" s="1"/>
  <c r="B4074" i="106"/>
  <c r="D4074" i="106" s="1"/>
  <c r="K120" i="29"/>
  <c r="B5335" i="106"/>
  <c r="D5335" i="106" s="1"/>
  <c r="D18" i="5"/>
  <c r="B5339" i="106" s="1"/>
  <c r="D5339" i="106" s="1"/>
  <c r="B2812" i="106"/>
  <c r="D2812" i="106" s="1"/>
  <c r="K165" i="29"/>
  <c r="B2818" i="106" s="1"/>
  <c r="D2818" i="106" s="1"/>
  <c r="L168" i="29"/>
  <c r="H168" i="29"/>
  <c r="K163" i="29"/>
  <c r="B1310" i="106"/>
  <c r="D1310" i="106" s="1"/>
  <c r="E122" i="5"/>
  <c r="B5528" i="106"/>
  <c r="D5528" i="106" s="1"/>
  <c r="D36" i="36"/>
  <c r="E13" i="3"/>
  <c r="B3417" i="106"/>
  <c r="D3417" i="106" s="1"/>
  <c r="B2817" i="106"/>
  <c r="D2817" i="106" s="1"/>
  <c r="E76" i="4"/>
  <c r="B3276" i="106" s="1"/>
  <c r="D3276" i="106" s="1"/>
  <c r="K171" i="29"/>
  <c r="B1330" i="106" s="1"/>
  <c r="D1330" i="106" s="1"/>
  <c r="B1307" i="106"/>
  <c r="D1307" i="106" s="1"/>
  <c r="E172" i="29"/>
  <c r="H160" i="29"/>
  <c r="B7777" i="106"/>
  <c r="D7777" i="106" s="1"/>
  <c r="K157" i="29"/>
  <c r="E18" i="5"/>
  <c r="B5518" i="106" s="1"/>
  <c r="D5518" i="106" s="1"/>
  <c r="B5514" i="106"/>
  <c r="D5514" i="106" s="1"/>
  <c r="B1315" i="106"/>
  <c r="D1315" i="106" s="1"/>
  <c r="D69" i="36"/>
  <c r="K170" i="29"/>
  <c r="B5512" i="106"/>
  <c r="D5512" i="106" s="1"/>
  <c r="K164" i="29"/>
  <c r="B1325" i="106" s="1"/>
  <c r="D1325" i="106" s="1"/>
  <c r="B1311" i="106"/>
  <c r="D1311" i="106" s="1"/>
  <c r="E34" i="3"/>
  <c r="B6127" i="106"/>
  <c r="D6127" i="106" s="1"/>
  <c r="K169" i="29"/>
  <c r="B1326" i="106" s="1"/>
  <c r="D1326" i="106" s="1"/>
  <c r="B1312" i="106"/>
  <c r="D1312" i="106" s="1"/>
  <c r="E108" i="5"/>
  <c r="B5526" i="106" s="1"/>
  <c r="D5526" i="106" s="1"/>
  <c r="B5522" i="106"/>
  <c r="D5522" i="106" s="1"/>
  <c r="K53" i="4"/>
  <c r="B3703" i="106" s="1"/>
  <c r="D3703" i="106" s="1"/>
  <c r="B3699" i="106"/>
  <c r="D3699" i="106" s="1"/>
  <c r="B1313" i="106"/>
  <c r="D1313" i="106" s="1"/>
  <c r="K167" i="29"/>
  <c r="B1327" i="106" s="1"/>
  <c r="D1327" i="106" s="1"/>
  <c r="B6368" i="106"/>
  <c r="D6368" i="106" s="1"/>
  <c r="E169" i="5"/>
  <c r="B5537" i="106" s="1"/>
  <c r="D5537" i="106" s="1"/>
  <c r="E175" i="5"/>
  <c r="B4364" i="106"/>
  <c r="D4364" i="106" s="1"/>
  <c r="K166" i="29"/>
  <c r="B2819" i="106" s="1"/>
  <c r="D2819" i="106" s="1"/>
  <c r="B2813" i="106"/>
  <c r="D2813" i="106" s="1"/>
  <c r="B6714" i="106"/>
  <c r="D6714" i="106" s="1"/>
  <c r="E252" i="5"/>
  <c r="B7067" i="106"/>
  <c r="D7067" i="106" s="1"/>
  <c r="K205" i="29"/>
  <c r="B7068" i="106" s="1"/>
  <c r="D7068" i="106" s="1"/>
  <c r="L204" i="29"/>
  <c r="L208" i="29" s="1"/>
  <c r="K206" i="29"/>
  <c r="B4210" i="106"/>
  <c r="D4210" i="106" s="1"/>
  <c r="K195" i="29"/>
  <c r="B2839" i="106" s="1"/>
  <c r="D2839" i="106" s="1"/>
  <c r="B2824" i="106"/>
  <c r="D2824" i="106" s="1"/>
  <c r="K190" i="29"/>
  <c r="B3009" i="106" s="1"/>
  <c r="D3009" i="106" s="1"/>
  <c r="B2991" i="106"/>
  <c r="D2991" i="106" s="1"/>
  <c r="B4085" i="106"/>
  <c r="D4085" i="106" s="1"/>
  <c r="B5664" i="106"/>
  <c r="D5664" i="106" s="1"/>
  <c r="F204" i="5"/>
  <c r="B5677" i="106" s="1"/>
  <c r="D5677" i="106" s="1"/>
  <c r="B5654" i="106"/>
  <c r="D5654" i="106" s="1"/>
  <c r="F175" i="5"/>
  <c r="F122" i="5"/>
  <c r="B5593" i="106"/>
  <c r="D5593" i="106" s="1"/>
  <c r="B5577" i="106"/>
  <c r="D5577" i="106" s="1"/>
  <c r="F26" i="34"/>
  <c r="B5571" i="106"/>
  <c r="D5571" i="106" s="1"/>
  <c r="F23" i="34"/>
  <c r="F85" i="34"/>
  <c r="B5565" i="106"/>
  <c r="D5565" i="106" s="1"/>
  <c r="F25" i="34"/>
  <c r="B5576" i="106"/>
  <c r="D5576" i="106" s="1"/>
  <c r="K203" i="29"/>
  <c r="B1385" i="106" s="1"/>
  <c r="D1385" i="106" s="1"/>
  <c r="B1373" i="106"/>
  <c r="D1373" i="106" s="1"/>
  <c r="K193" i="29"/>
  <c r="B3012" i="106" s="1"/>
  <c r="D3012" i="106" s="1"/>
  <c r="B2994" i="106"/>
  <c r="D2994" i="106" s="1"/>
  <c r="K189" i="29"/>
  <c r="B3008" i="106" s="1"/>
  <c r="D3008" i="106" s="1"/>
  <c r="B2990" i="106"/>
  <c r="D2990" i="106" s="1"/>
  <c r="B4083" i="106"/>
  <c r="D4083" i="106" s="1"/>
  <c r="E184" i="29"/>
  <c r="B4338" i="106"/>
  <c r="D4338" i="106" s="1"/>
  <c r="F93" i="34"/>
  <c r="B7764" i="106"/>
  <c r="D7764" i="106" s="1"/>
  <c r="B6313" i="106"/>
  <c r="D6313" i="106" s="1"/>
  <c r="F22" i="34"/>
  <c r="B5563" i="106"/>
  <c r="D5563" i="106" s="1"/>
  <c r="F63" i="5"/>
  <c r="B5579" i="106" s="1"/>
  <c r="D5579" i="106" s="1"/>
  <c r="F84" i="34"/>
  <c r="B5691" i="106"/>
  <c r="D5691" i="106" s="1"/>
  <c r="F217" i="5"/>
  <c r="B5703" i="106" s="1"/>
  <c r="D5703" i="106" s="1"/>
  <c r="F31" i="34"/>
  <c r="K202" i="29"/>
  <c r="B2842" i="106" s="1"/>
  <c r="D2842" i="106" s="1"/>
  <c r="B2832" i="106"/>
  <c r="D2832" i="106" s="1"/>
  <c r="H194" i="29"/>
  <c r="B2995" i="106"/>
  <c r="D2995" i="106" s="1"/>
  <c r="D184" i="29"/>
  <c r="B4082" i="106"/>
  <c r="D4082" i="106" s="1"/>
  <c r="B4318" i="106"/>
  <c r="D4318" i="106" s="1"/>
  <c r="F155" i="5"/>
  <c r="B5618" i="106" s="1"/>
  <c r="D5618" i="106" s="1"/>
  <c r="B5615" i="106"/>
  <c r="D5615" i="106" s="1"/>
  <c r="F114" i="5"/>
  <c r="B5589" i="106"/>
  <c r="D5589" i="106" s="1"/>
  <c r="B5575" i="106"/>
  <c r="D5575" i="106" s="1"/>
  <c r="F92" i="34"/>
  <c r="F21" i="34"/>
  <c r="B5569" i="106"/>
  <c r="D5569" i="106" s="1"/>
  <c r="F102" i="34"/>
  <c r="B5584" i="106"/>
  <c r="D5584" i="106" s="1"/>
  <c r="B5570" i="106"/>
  <c r="D5570" i="106" s="1"/>
  <c r="F88" i="34"/>
  <c r="B5024" i="106"/>
  <c r="D5024" i="106" s="1"/>
  <c r="D71" i="36"/>
  <c r="B5014" i="106"/>
  <c r="D5014" i="106" s="1"/>
  <c r="K201" i="29"/>
  <c r="B2841" i="106" s="1"/>
  <c r="D2841" i="106" s="1"/>
  <c r="B2831" i="106"/>
  <c r="D2831" i="106" s="1"/>
  <c r="K192" i="29"/>
  <c r="B3011" i="106" s="1"/>
  <c r="D3011" i="106" s="1"/>
  <c r="B2993" i="106"/>
  <c r="D2993" i="106" s="1"/>
  <c r="K188" i="29"/>
  <c r="B2989" i="106"/>
  <c r="D2989" i="106" s="1"/>
  <c r="E194" i="29"/>
  <c r="B2820" i="106"/>
  <c r="D2820" i="106" s="1"/>
  <c r="K185" i="29"/>
  <c r="B1338" i="106"/>
  <c r="D1338" i="106" s="1"/>
  <c r="K183" i="29"/>
  <c r="B1380" i="106" s="1"/>
  <c r="D1380" i="106" s="1"/>
  <c r="B1335" i="106"/>
  <c r="D1335" i="106" s="1"/>
  <c r="F209" i="5"/>
  <c r="B4413" i="106" s="1"/>
  <c r="D4413" i="106" s="1"/>
  <c r="B5673" i="106"/>
  <c r="D5673" i="106" s="1"/>
  <c r="F188" i="5"/>
  <c r="B5659" i="106"/>
  <c r="D5659" i="106" s="1"/>
  <c r="B4354" i="106"/>
  <c r="D4354" i="106" s="1"/>
  <c r="F30" i="34"/>
  <c r="B5600" i="106"/>
  <c r="D5600" i="106" s="1"/>
  <c r="F132" i="5"/>
  <c r="B5574" i="106"/>
  <c r="D5574" i="106" s="1"/>
  <c r="F24" i="34"/>
  <c r="F20" i="34"/>
  <c r="B5568" i="106"/>
  <c r="D5568" i="106" s="1"/>
  <c r="B5555" i="106"/>
  <c r="D5555" i="106" s="1"/>
  <c r="F108" i="5"/>
  <c r="B5587" i="106" s="1"/>
  <c r="D5587" i="106" s="1"/>
  <c r="B5583" i="106"/>
  <c r="D5583" i="106" s="1"/>
  <c r="B4084" i="106"/>
  <c r="D4084" i="106" s="1"/>
  <c r="B5564" i="106"/>
  <c r="D5564" i="106" s="1"/>
  <c r="F18" i="34"/>
  <c r="K200" i="29"/>
  <c r="B1384" i="106" s="1"/>
  <c r="D1384" i="106" s="1"/>
  <c r="B1372" i="106"/>
  <c r="D1372" i="106" s="1"/>
  <c r="B7058" i="106"/>
  <c r="D7058" i="106" s="1"/>
  <c r="J184" i="29"/>
  <c r="F29" i="34"/>
  <c r="B6369" i="106"/>
  <c r="D6369" i="106" s="1"/>
  <c r="B5580" i="106"/>
  <c r="D5580" i="106" s="1"/>
  <c r="F91" i="34"/>
  <c r="B5573" i="106"/>
  <c r="D5573" i="106" s="1"/>
  <c r="F19" i="34"/>
  <c r="B5567" i="106"/>
  <c r="D5567" i="106" s="1"/>
  <c r="F252" i="5"/>
  <c r="B6836" i="106" s="1"/>
  <c r="D6836" i="106" s="1"/>
  <c r="B6617" i="106"/>
  <c r="D6617" i="106" s="1"/>
  <c r="B7751" i="106"/>
  <c r="D7751" i="106" s="1"/>
  <c r="H204" i="29"/>
  <c r="B1371" i="106"/>
  <c r="D1371" i="106" s="1"/>
  <c r="K199" i="29"/>
  <c r="B2992" i="106"/>
  <c r="D2992" i="106" s="1"/>
  <c r="K191" i="29"/>
  <c r="B3010" i="106" s="1"/>
  <c r="D3010" i="106" s="1"/>
  <c r="B7057" i="106"/>
  <c r="D7057" i="106" s="1"/>
  <c r="I184" i="29"/>
  <c r="F181" i="5"/>
  <c r="B5658" i="106" s="1"/>
  <c r="D5658" i="106" s="1"/>
  <c r="B4804" i="106"/>
  <c r="D4804" i="106" s="1"/>
  <c r="B6315" i="106"/>
  <c r="D6315" i="106" s="1"/>
  <c r="F28" i="34"/>
  <c r="B6314" i="106"/>
  <c r="D6314" i="106" s="1"/>
  <c r="F90" i="34"/>
  <c r="F87" i="34"/>
  <c r="B6312" i="106"/>
  <c r="D6312" i="106" s="1"/>
  <c r="F18" i="5"/>
  <c r="B5562" i="106" s="1"/>
  <c r="D5562" i="106" s="1"/>
  <c r="B5558" i="106"/>
  <c r="D5558" i="106" s="1"/>
  <c r="F32" i="34"/>
  <c r="B5692" i="106"/>
  <c r="D5692" i="106" s="1"/>
  <c r="B7069" i="106"/>
  <c r="D7069" i="106" s="1"/>
  <c r="K207" i="29"/>
  <c r="B7070" i="106" s="1"/>
  <c r="D7070" i="106" s="1"/>
  <c r="B4086" i="106"/>
  <c r="D4086" i="106" s="1"/>
  <c r="H184" i="29"/>
  <c r="B5578" i="106"/>
  <c r="D5578" i="106" s="1"/>
  <c r="F27" i="34"/>
  <c r="F89" i="34"/>
  <c r="B5572" i="106"/>
  <c r="D5572" i="106" s="1"/>
  <c r="F86" i="34"/>
  <c r="B5566" i="106"/>
  <c r="D5566" i="106" s="1"/>
  <c r="B5553" i="106"/>
  <c r="D5553" i="106" s="1"/>
  <c r="B7" i="7"/>
  <c r="B3259" i="106"/>
  <c r="D3259" i="106" s="1"/>
  <c r="G76" i="4"/>
  <c r="B3260" i="106" s="1"/>
  <c r="D3260" i="106" s="1"/>
  <c r="B1423" i="106"/>
  <c r="D1423" i="106" s="1"/>
  <c r="K246" i="29"/>
  <c r="B1487" i="106" s="1"/>
  <c r="D1487" i="106" s="1"/>
  <c r="B6781" i="106"/>
  <c r="D6781" i="106" s="1"/>
  <c r="F137" i="34"/>
  <c r="B6654" i="106"/>
  <c r="D6654" i="106" s="1"/>
  <c r="L261" i="29"/>
  <c r="L277" i="29"/>
  <c r="G34" i="3"/>
  <c r="B6129" i="106"/>
  <c r="D6129" i="106" s="1"/>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B2725" i="106"/>
  <c r="D2725" i="106" s="1"/>
  <c r="K247" i="29"/>
  <c r="B2726" i="106" s="1"/>
  <c r="D2726" i="106" s="1"/>
  <c r="B1414" i="106"/>
  <c r="D1414" i="106" s="1"/>
  <c r="K235" i="29"/>
  <c r="B1478" i="106" s="1"/>
  <c r="D1478" i="106" s="1"/>
  <c r="K224" i="29"/>
  <c r="B1409" i="106"/>
  <c r="D1409" i="106" s="1"/>
  <c r="B7073" i="106"/>
  <c r="D7073" i="106" s="1"/>
  <c r="K216" i="29"/>
  <c r="F162" i="34"/>
  <c r="B5858" i="106"/>
  <c r="D5858" i="106" s="1"/>
  <c r="F144" i="34"/>
  <c r="B6724" i="106"/>
  <c r="D6724" i="106" s="1"/>
  <c r="G204" i="5"/>
  <c r="B5790" i="106"/>
  <c r="D5790" i="106" s="1"/>
  <c r="G175" i="5"/>
  <c r="B5779" i="106"/>
  <c r="D5779" i="106" s="1"/>
  <c r="K276" i="29"/>
  <c r="B1506" i="106" s="1"/>
  <c r="D1506" i="106" s="1"/>
  <c r="B1442" i="106"/>
  <c r="D1442" i="106" s="1"/>
  <c r="K215" i="29"/>
  <c r="B3387" i="106"/>
  <c r="D3387" i="106" s="1"/>
  <c r="D229" i="29"/>
  <c r="B6349" i="106"/>
  <c r="D6349" i="106" s="1"/>
  <c r="L243" i="29"/>
  <c r="L270" i="29"/>
  <c r="B2843" i="106"/>
  <c r="D2843" i="106" s="1"/>
  <c r="K290" i="29"/>
  <c r="B2845" i="106" s="1"/>
  <c r="D2845" i="106" s="1"/>
  <c r="F36" i="108"/>
  <c r="B1440" i="106"/>
  <c r="D1440" i="106" s="1"/>
  <c r="K275" i="29"/>
  <c r="B1504" i="106" s="1"/>
  <c r="D1504" i="106" s="1"/>
  <c r="B1430" i="106"/>
  <c r="D1430" i="106" s="1"/>
  <c r="K265" i="29"/>
  <c r="B1494" i="106" s="1"/>
  <c r="D1494" i="106" s="1"/>
  <c r="K253" i="29"/>
  <c r="B7092" i="106" s="1"/>
  <c r="D7092" i="106" s="1"/>
  <c r="B7091" i="106"/>
  <c r="D7091"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B5726" i="106"/>
  <c r="D5726" i="106" s="1"/>
  <c r="G18" i="5"/>
  <c r="B5730" i="106" s="1"/>
  <c r="D5730" i="106" s="1"/>
  <c r="B1450" i="106"/>
  <c r="D1450" i="106" s="1"/>
  <c r="K289" i="29"/>
  <c r="B1513" i="106" s="1"/>
  <c r="D1513" i="106" s="1"/>
  <c r="B1439" i="106"/>
  <c r="D1439" i="106" s="1"/>
  <c r="K274" i="29"/>
  <c r="B1503" i="106" s="1"/>
  <c r="D1503" i="106" s="1"/>
  <c r="G35" i="108"/>
  <c r="E35" i="108"/>
  <c r="B1429" i="106"/>
  <c r="D1429" i="106" s="1"/>
  <c r="K264" i="29"/>
  <c r="B1493" i="106" s="1"/>
  <c r="D1493" i="106" s="1"/>
  <c r="K252" i="29"/>
  <c r="B7090" i="106" s="1"/>
  <c r="D7090" i="106" s="1"/>
  <c r="B7089" i="106"/>
  <c r="D7089" i="106" s="1"/>
  <c r="B1420" i="106"/>
  <c r="D1420" i="106" s="1"/>
  <c r="K242" i="29"/>
  <c r="B1484" i="106" s="1"/>
  <c r="D1484" i="106" s="1"/>
  <c r="B1411" i="106"/>
  <c r="D1411" i="106" s="1"/>
  <c r="K232" i="29"/>
  <c r="D238" i="29"/>
  <c r="K221" i="29"/>
  <c r="B1406" i="106"/>
  <c r="D1406" i="106" s="1"/>
  <c r="D17" i="171"/>
  <c r="B4448" i="106"/>
  <c r="D4448" i="106" s="1"/>
  <c r="F169" i="34"/>
  <c r="B6829" i="106"/>
  <c r="D6829" i="106" s="1"/>
  <c r="F156" i="34"/>
  <c r="B6765" i="106"/>
  <c r="D6765" i="106" s="1"/>
  <c r="B6638" i="106"/>
  <c r="D6638" i="106" s="1"/>
  <c r="B4919" i="106"/>
  <c r="D4919" i="106" s="1"/>
  <c r="B5739" i="106"/>
  <c r="D5739" i="106" s="1"/>
  <c r="B5722" i="106"/>
  <c r="D5722" i="106" s="1"/>
  <c r="G108" i="5"/>
  <c r="B5737" i="106" s="1"/>
  <c r="D5737" i="106" s="1"/>
  <c r="B5734" i="106"/>
  <c r="D5734" i="106" s="1"/>
  <c r="G198" i="5"/>
  <c r="B6402" i="106"/>
  <c r="D6402" i="106" s="1"/>
  <c r="B5823" i="106"/>
  <c r="D5823" i="106" s="1"/>
  <c r="F128" i="34"/>
  <c r="B5821" i="106"/>
  <c r="D5821" i="106" s="1"/>
  <c r="B5817" i="106"/>
  <c r="D5817" i="106" s="1"/>
  <c r="G217" i="5"/>
  <c r="B5829" i="106" s="1"/>
  <c r="D5829" i="106" s="1"/>
  <c r="K254" i="29"/>
  <c r="B7094" i="106" s="1"/>
  <c r="D7094" i="106" s="1"/>
  <c r="B7093" i="106"/>
  <c r="D7093" i="106" s="1"/>
  <c r="B4417" i="106"/>
  <c r="D4417" i="106" s="1"/>
  <c r="B5844" i="106"/>
  <c r="D5844" i="106" s="1"/>
  <c r="G221" i="5"/>
  <c r="G122" i="5"/>
  <c r="B5748" i="106" s="1"/>
  <c r="D5748" i="106" s="1"/>
  <c r="B5742" i="106"/>
  <c r="D5742" i="106" s="1"/>
  <c r="L238" i="29"/>
  <c r="B1449" i="106"/>
  <c r="D1449" i="106" s="1"/>
  <c r="K288" i="29"/>
  <c r="H293" i="29"/>
  <c r="B1438" i="106"/>
  <c r="D1438" i="106" s="1"/>
  <c r="K273" i="29"/>
  <c r="B1502" i="106" s="1"/>
  <c r="D1502" i="106" s="1"/>
  <c r="E34" i="108"/>
  <c r="G34" i="108"/>
  <c r="B1428" i="106"/>
  <c r="D1428" i="106" s="1"/>
  <c r="D270" i="29"/>
  <c r="B1436" i="106" s="1"/>
  <c r="D1436" i="106" s="1"/>
  <c r="K263" i="29"/>
  <c r="B7087" i="106"/>
  <c r="D7087" i="106" s="1"/>
  <c r="K251" i="29"/>
  <c r="B7088" i="106" s="1"/>
  <c r="D7088" i="106" s="1"/>
  <c r="K241" i="29"/>
  <c r="B1483" i="106" s="1"/>
  <c r="D1483" i="106" s="1"/>
  <c r="B1419" i="106"/>
  <c r="D1419" i="106" s="1"/>
  <c r="B3389" i="106"/>
  <c r="D3389" i="106" s="1"/>
  <c r="K228" i="29"/>
  <c r="B3392" i="106" s="1"/>
  <c r="D3392" i="106" s="1"/>
  <c r="K220" i="29"/>
  <c r="B7077" i="106"/>
  <c r="D7077" i="106" s="1"/>
  <c r="F168" i="34"/>
  <c r="B4361" i="106"/>
  <c r="D4361" i="106" s="1"/>
  <c r="B6821" i="106"/>
  <c r="D6821" i="106" s="1"/>
  <c r="F155" i="34"/>
  <c r="B6757" i="106"/>
  <c r="D6757" i="106" s="1"/>
  <c r="F147" i="34"/>
  <c r="B6693" i="106"/>
  <c r="D6693" i="106" s="1"/>
  <c r="B6630" i="106"/>
  <c r="D6630" i="106" s="1"/>
  <c r="G209" i="5"/>
  <c r="B5799" i="106"/>
  <c r="D5799" i="106" s="1"/>
  <c r="B5785" i="106"/>
  <c r="D5785" i="106" s="1"/>
  <c r="G188" i="5"/>
  <c r="F109" i="34"/>
  <c r="B4353" i="106"/>
  <c r="D4353" i="106" s="1"/>
  <c r="B5738" i="106"/>
  <c r="D5738" i="106" s="1"/>
  <c r="G114" i="5"/>
  <c r="B2844" i="106"/>
  <c r="D2844" i="106" s="1"/>
  <c r="K291" i="29"/>
  <c r="B2846" i="106" s="1"/>
  <c r="D2846" i="106" s="1"/>
  <c r="K223" i="29"/>
  <c r="B1472" i="106" s="1"/>
  <c r="D1472" i="106" s="1"/>
  <c r="B1408" i="106"/>
  <c r="D1408" i="106" s="1"/>
  <c r="L257" i="29"/>
  <c r="L229" i="29"/>
  <c r="B4165" i="106"/>
  <c r="D4165" i="106" s="1"/>
  <c r="K284" i="29"/>
  <c r="B4166" i="106" s="1"/>
  <c r="D4166" i="106" s="1"/>
  <c r="D277" i="29"/>
  <c r="B1444" i="106" s="1"/>
  <c r="D1444" i="106" s="1"/>
  <c r="B1437" i="106"/>
  <c r="D1437" i="106" s="1"/>
  <c r="K272" i="29"/>
  <c r="G33" i="108"/>
  <c r="K260" i="29"/>
  <c r="B1490" i="106" s="1"/>
  <c r="D1490" i="106" s="1"/>
  <c r="B1426" i="106"/>
  <c r="D1426" i="106" s="1"/>
  <c r="K250" i="29"/>
  <c r="B7086" i="106" s="1"/>
  <c r="D7086" i="106" s="1"/>
  <c r="B7085" i="106"/>
  <c r="D7085" i="106" s="1"/>
  <c r="D243" i="29"/>
  <c r="K240" i="29"/>
  <c r="B1418" i="106"/>
  <c r="D1418" i="106" s="1"/>
  <c r="K227" i="29"/>
  <c r="B1466" i="106" s="1"/>
  <c r="D1466" i="106" s="1"/>
  <c r="B1402" i="106"/>
  <c r="D1402" i="106" s="1"/>
  <c r="K219" i="29"/>
  <c r="B3065" i="106" s="1"/>
  <c r="D3065" i="106" s="1"/>
  <c r="B3064" i="106"/>
  <c r="D3064" i="106" s="1"/>
  <c r="B4192" i="106"/>
  <c r="D4192" i="106" s="1"/>
  <c r="F154" i="34"/>
  <c r="B6813" i="106"/>
  <c r="D6813" i="106" s="1"/>
  <c r="B6686" i="106"/>
  <c r="D6686" i="106" s="1"/>
  <c r="F133" i="34"/>
  <c r="B6625" i="106"/>
  <c r="D6625" i="106" s="1"/>
  <c r="B5763" i="106"/>
  <c r="D5763" i="106" s="1"/>
  <c r="G141" i="5"/>
  <c r="B5749" i="106"/>
  <c r="D5749" i="106" s="1"/>
  <c r="B5724" i="106"/>
  <c r="D5724" i="106" s="1"/>
  <c r="B1413" i="106"/>
  <c r="D1413" i="106" s="1"/>
  <c r="K234" i="29"/>
  <c r="B1477" i="106" s="1"/>
  <c r="D1477" i="106" s="1"/>
  <c r="B6380" i="106"/>
  <c r="D6380" i="106" s="1"/>
  <c r="G155" i="5"/>
  <c r="K283" i="29"/>
  <c r="B3721" i="106"/>
  <c r="D3721" i="106" s="1"/>
  <c r="D285" i="29"/>
  <c r="B3722" i="106" s="1"/>
  <c r="D3722" i="106" s="1"/>
  <c r="K269" i="29"/>
  <c r="B1498" i="106" s="1"/>
  <c r="D1498" i="106" s="1"/>
  <c r="F31" i="108"/>
  <c r="D31" i="108"/>
  <c r="B1434" i="106"/>
  <c r="D1434" i="106" s="1"/>
  <c r="K259" i="29"/>
  <c r="B1425" i="106"/>
  <c r="D1425" i="106" s="1"/>
  <c r="D261" i="29"/>
  <c r="K249" i="29"/>
  <c r="B7084" i="106" s="1"/>
  <c r="D7084" i="106" s="1"/>
  <c r="B7083" i="106"/>
  <c r="D7083" i="106" s="1"/>
  <c r="K237" i="29"/>
  <c r="B1480" i="106" s="1"/>
  <c r="D1480" i="106" s="1"/>
  <c r="B1416" i="106"/>
  <c r="D1416" i="106" s="1"/>
  <c r="K226" i="29"/>
  <c r="B7080" i="106" s="1"/>
  <c r="D7080" i="106" s="1"/>
  <c r="B7079" i="106"/>
  <c r="D7079" i="106" s="1"/>
  <c r="B7075" i="106"/>
  <c r="D7075" i="106" s="1"/>
  <c r="K218" i="29"/>
  <c r="B4421" i="106"/>
  <c r="D4421" i="106" s="1"/>
  <c r="B6805" i="106"/>
  <c r="D6805" i="106" s="1"/>
  <c r="B6741" i="106"/>
  <c r="D6741" i="106" s="1"/>
  <c r="B6678" i="106"/>
  <c r="D6678" i="106" s="1"/>
  <c r="G252" i="5"/>
  <c r="B6837" i="106" s="1"/>
  <c r="D6837" i="106" s="1"/>
  <c r="B6618" i="106"/>
  <c r="D6618" i="106" s="1"/>
  <c r="G181" i="5"/>
  <c r="B4810" i="106"/>
  <c r="D4810" i="106" s="1"/>
  <c r="B5757" i="106"/>
  <c r="D5757" i="106" s="1"/>
  <c r="G145" i="5"/>
  <c r="B5754" i="106"/>
  <c r="D5754" i="106" s="1"/>
  <c r="B5731" i="106"/>
  <c r="D5731" i="106" s="1"/>
  <c r="B1431" i="106"/>
  <c r="D1431" i="106" s="1"/>
  <c r="K266" i="29"/>
  <c r="B1495" i="106" s="1"/>
  <c r="D1495" i="106" s="1"/>
  <c r="B6716" i="106"/>
  <c r="D6716" i="106" s="1"/>
  <c r="F143" i="34"/>
  <c r="L285" i="29"/>
  <c r="B7752" i="106"/>
  <c r="D7752" i="106" s="1"/>
  <c r="G44" i="4"/>
  <c r="B1447" i="106"/>
  <c r="D1447" i="106" s="1"/>
  <c r="K280" i="29"/>
  <c r="K268" i="29"/>
  <c r="B1497" i="106" s="1"/>
  <c r="D1497" i="106" s="1"/>
  <c r="B1433" i="106"/>
  <c r="D1433" i="106" s="1"/>
  <c r="B7097" i="106"/>
  <c r="D7097" i="106" s="1"/>
  <c r="K256" i="29"/>
  <c r="B7098" i="106" s="1"/>
  <c r="D7098" i="106" s="1"/>
  <c r="K248" i="29"/>
  <c r="B7082" i="106" s="1"/>
  <c r="D7082" i="106" s="1"/>
  <c r="B7081" i="106"/>
  <c r="D7081" i="106" s="1"/>
  <c r="B1415" i="106"/>
  <c r="D1415" i="106" s="1"/>
  <c r="K236" i="29"/>
  <c r="B1479" i="106" s="1"/>
  <c r="D1479" i="106" s="1"/>
  <c r="B1396" i="106"/>
  <c r="D1396" i="106" s="1"/>
  <c r="K225" i="29"/>
  <c r="B1460" i="106" s="1"/>
  <c r="D1460" i="106" s="1"/>
  <c r="K217" i="29"/>
  <c r="B3391" i="106" s="1"/>
  <c r="D3391" i="106" s="1"/>
  <c r="B3388" i="106"/>
  <c r="D3388" i="106" s="1"/>
  <c r="B5860" i="106"/>
  <c r="D5860" i="106" s="1"/>
  <c r="B6797" i="106"/>
  <c r="D6797" i="106" s="1"/>
  <c r="F152" i="34"/>
  <c r="B6733" i="106"/>
  <c r="D6733" i="106" s="1"/>
  <c r="F139" i="34"/>
  <c r="B6670" i="106"/>
  <c r="D6670" i="106" s="1"/>
  <c r="B4343" i="106"/>
  <c r="D4343" i="106" s="1"/>
  <c r="F131" i="34"/>
  <c r="B5822" i="106"/>
  <c r="D5822" i="106" s="1"/>
  <c r="F129" i="34"/>
  <c r="B5871" i="106"/>
  <c r="D5871" i="106" s="1"/>
  <c r="B6130" i="106"/>
  <c r="D6130" i="106" s="1"/>
  <c r="H34" i="3"/>
  <c r="F303" i="29"/>
  <c r="B1537" i="106"/>
  <c r="D1537" i="106" s="1"/>
  <c r="B2848" i="106"/>
  <c r="D2848" i="106" s="1"/>
  <c r="H76" i="4"/>
  <c r="B3298" i="106" s="1"/>
  <c r="D3298" i="106" s="1"/>
  <c r="B7108" i="106"/>
  <c r="D7108" i="106" s="1"/>
  <c r="K307" i="29"/>
  <c r="B4099" i="106" s="1"/>
  <c r="D4099" i="106" s="1"/>
  <c r="E303" i="29"/>
  <c r="B1531" i="106"/>
  <c r="D1531" i="106" s="1"/>
  <c r="B7106" i="106"/>
  <c r="D7106" i="106" s="1"/>
  <c r="H310" i="29"/>
  <c r="B7115" i="106" s="1"/>
  <c r="D7115" i="106" s="1"/>
  <c r="B1525" i="106"/>
  <c r="D1525" i="106" s="1"/>
  <c r="D303" i="29"/>
  <c r="H181" i="5"/>
  <c r="B5908" i="106" s="1"/>
  <c r="D5908" i="106" s="1"/>
  <c r="B5907" i="106"/>
  <c r="D5907" i="106" s="1"/>
  <c r="B5879" i="106"/>
  <c r="D5879" i="106" s="1"/>
  <c r="E38" i="4"/>
  <c r="B6286" i="106" s="1"/>
  <c r="D6286" i="106" s="1"/>
  <c r="B6245" i="106"/>
  <c r="D6245" i="106" s="1"/>
  <c r="B7753" i="106"/>
  <c r="D7753" i="106" s="1"/>
  <c r="H44" i="4"/>
  <c r="K306" i="29"/>
  <c r="E310" i="29"/>
  <c r="B7114" i="106" s="1"/>
  <c r="D7114" i="106" s="1"/>
  <c r="B7105" i="106"/>
  <c r="D7105" i="106" s="1"/>
  <c r="B1522" i="106"/>
  <c r="D1522" i="106" s="1"/>
  <c r="K302" i="29"/>
  <c r="B1558" i="106" s="1"/>
  <c r="D1558" i="106" s="1"/>
  <c r="C303" i="29"/>
  <c r="B1519" i="106"/>
  <c r="D1519" i="106" s="1"/>
  <c r="K301" i="29"/>
  <c r="H169" i="5"/>
  <c r="B5899" i="106" s="1"/>
  <c r="D5899" i="106" s="1"/>
  <c r="B6371" i="106"/>
  <c r="D6371" i="106" s="1"/>
  <c r="B7100" i="106"/>
  <c r="D7100" i="106" s="1"/>
  <c r="J303" i="29"/>
  <c r="B4365" i="106"/>
  <c r="D4365" i="106" s="1"/>
  <c r="H175" i="5"/>
  <c r="B5882" i="106"/>
  <c r="D5882" i="106" s="1"/>
  <c r="H108" i="5"/>
  <c r="B5886" i="106" s="1"/>
  <c r="D5886" i="106" s="1"/>
  <c r="K309" i="29"/>
  <c r="B3717" i="106" s="1"/>
  <c r="D3717" i="106" s="1"/>
  <c r="B7112" i="106"/>
  <c r="D7112" i="106" s="1"/>
  <c r="B7099" i="106"/>
  <c r="D7099" i="106" s="1"/>
  <c r="I303" i="29"/>
  <c r="L310" i="29"/>
  <c r="H303" i="29"/>
  <c r="B1549" i="106"/>
  <c r="D1549" i="106" s="1"/>
  <c r="H18" i="5"/>
  <c r="B5878" i="106" s="1"/>
  <c r="D5878" i="106" s="1"/>
  <c r="B5874" i="106"/>
  <c r="D5874" i="106" s="1"/>
  <c r="B6242" i="106"/>
  <c r="D6242" i="106" s="1"/>
  <c r="E37" i="4"/>
  <c r="K308" i="29"/>
  <c r="B4100" i="106" s="1"/>
  <c r="D4100" i="106" s="1"/>
  <c r="B7110" i="106"/>
  <c r="D7110" i="106" s="1"/>
  <c r="G303" i="29"/>
  <c r="B1543" i="106"/>
  <c r="D1543" i="106" s="1"/>
  <c r="H252" i="5"/>
  <c r="B6619" i="106"/>
  <c r="D6619" i="106" s="1"/>
  <c r="H122" i="5"/>
  <c r="B5887" i="106"/>
  <c r="D5887" i="106" s="1"/>
  <c r="B6299" i="106"/>
  <c r="D6299" i="106" s="1"/>
  <c r="B5919" i="106"/>
  <c r="D5919" i="106" s="1"/>
  <c r="I18" i="5"/>
  <c r="B5923" i="106" s="1"/>
  <c r="D5923" i="106" s="1"/>
  <c r="B4215" i="106"/>
  <c r="D4215" i="106" s="1"/>
  <c r="I169" i="5"/>
  <c r="I108" i="5"/>
  <c r="B5930" i="106" s="1"/>
  <c r="D5930" i="106" s="1"/>
  <c r="B5927" i="106"/>
  <c r="D5927" i="106" s="1"/>
  <c r="B5917" i="106"/>
  <c r="D5917" i="106" s="1"/>
  <c r="B5924" i="106"/>
  <c r="D5924" i="106" s="1"/>
  <c r="I34" i="3"/>
  <c r="B6139" i="106"/>
  <c r="D6139" i="106" s="1"/>
  <c r="B2772" i="106"/>
  <c r="D2772" i="106" s="1"/>
  <c r="I44" i="4"/>
  <c r="B3317" i="106" s="1"/>
  <c r="D3317" i="106" s="1"/>
  <c r="L340" i="29"/>
  <c r="J330" i="29"/>
  <c r="B7125" i="106"/>
  <c r="D7125" i="106" s="1"/>
  <c r="B6353" i="106"/>
  <c r="D6353" i="106" s="1"/>
  <c r="J122" i="5"/>
  <c r="I330" i="29"/>
  <c r="B7124" i="106"/>
  <c r="D7124" i="106" s="1"/>
  <c r="H330" i="29"/>
  <c r="B7123" i="106"/>
  <c r="D7123" i="106" s="1"/>
  <c r="B6395" i="106"/>
  <c r="D6395" i="106" s="1"/>
  <c r="B6300" i="106"/>
  <c r="D6300" i="106" s="1"/>
  <c r="B6319" i="106"/>
  <c r="D6319" i="106" s="1"/>
  <c r="J108" i="5"/>
  <c r="B6351" i="106" s="1"/>
  <c r="D6351" i="106" s="1"/>
  <c r="J175" i="5"/>
  <c r="B6398" i="106"/>
  <c r="D6398" i="106" s="1"/>
  <c r="B7122" i="106"/>
  <c r="D7122" i="106" s="1"/>
  <c r="G330" i="29"/>
  <c r="J76" i="4"/>
  <c r="B6261" i="106" s="1"/>
  <c r="D6261" i="106" s="1"/>
  <c r="B6239" i="106"/>
  <c r="D6239" i="106" s="1"/>
  <c r="J44" i="4"/>
  <c r="B7754" i="106"/>
  <c r="D7754" i="106" s="1"/>
  <c r="B7121" i="106"/>
  <c r="D7121" i="106" s="1"/>
  <c r="F330" i="29"/>
  <c r="J169" i="5"/>
  <c r="B6396" i="106" s="1"/>
  <c r="D6396" i="106" s="1"/>
  <c r="B6373" i="106"/>
  <c r="D6373" i="106" s="1"/>
  <c r="K339" i="29"/>
  <c r="B7213" i="106" s="1"/>
  <c r="D7213" i="106" s="1"/>
  <c r="B7212" i="106"/>
  <c r="D7212" i="106" s="1"/>
  <c r="B7120" i="106"/>
  <c r="D7120" i="106" s="1"/>
  <c r="E330" i="29"/>
  <c r="J34" i="3"/>
  <c r="B6131" i="106"/>
  <c r="D6131" i="106" s="1"/>
  <c r="K338" i="29"/>
  <c r="B7211" i="106" s="1"/>
  <c r="D7211" i="106" s="1"/>
  <c r="B7210" i="106"/>
  <c r="D7210" i="106" s="1"/>
  <c r="B7119" i="106"/>
  <c r="D7119" i="106" s="1"/>
  <c r="D330" i="29"/>
  <c r="H340" i="29"/>
  <c r="B7214" i="106" s="1"/>
  <c r="D7214" i="106" s="1"/>
  <c r="B7208" i="106"/>
  <c r="D7208" i="106" s="1"/>
  <c r="K337" i="29"/>
  <c r="K329" i="29"/>
  <c r="B7705" i="106" s="1"/>
  <c r="D7705" i="106" s="1"/>
  <c r="B7697" i="106"/>
  <c r="D7697" i="106" s="1"/>
  <c r="K328" i="29"/>
  <c r="B7696" i="106" s="1"/>
  <c r="D7696" i="106" s="1"/>
  <c r="B7688" i="106"/>
  <c r="D7688" i="106" s="1"/>
  <c r="B7190" i="106"/>
  <c r="D7190" i="106" s="1"/>
  <c r="K327" i="29"/>
  <c r="B7198" i="106" s="1"/>
  <c r="D7198" i="106" s="1"/>
  <c r="K326" i="29"/>
  <c r="B7189" i="106" s="1"/>
  <c r="D7189" i="106" s="1"/>
  <c r="B7181" i="106"/>
  <c r="D7181"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3546" i="106"/>
  <c r="D3546" i="106" s="1"/>
  <c r="D42" i="36"/>
  <c r="K13" i="3"/>
  <c r="B6132" i="106"/>
  <c r="D6132" i="106" s="1"/>
  <c r="B6296" i="106"/>
  <c r="D6296" i="106" s="1"/>
  <c r="D73" i="36"/>
  <c r="K363" i="29"/>
  <c r="B7241" i="106" s="1"/>
  <c r="D7241" i="106" s="1"/>
  <c r="B7240" i="106"/>
  <c r="D7240" i="106" s="1"/>
  <c r="B3638" i="106"/>
  <c r="D3638" i="106" s="1"/>
  <c r="F350" i="29"/>
  <c r="B5988" i="106"/>
  <c r="D5988" i="106" s="1"/>
  <c r="K18" i="5"/>
  <c r="B5992" i="106" s="1"/>
  <c r="D5992" i="106" s="1"/>
  <c r="K361" i="29"/>
  <c r="B7239" i="106" s="1"/>
  <c r="D7239" i="106" s="1"/>
  <c r="B7238" i="106"/>
  <c r="D7238" i="106" s="1"/>
  <c r="B3631" i="106"/>
  <c r="D3631" i="106" s="1"/>
  <c r="E350" i="29"/>
  <c r="B6000" i="106"/>
  <c r="D6000" i="106" s="1"/>
  <c r="K122" i="5"/>
  <c r="B5996" i="106"/>
  <c r="D5996" i="106" s="1"/>
  <c r="K108" i="5"/>
  <c r="B5999" i="106" s="1"/>
  <c r="D5999" i="106" s="1"/>
  <c r="H362" i="29"/>
  <c r="B3657" i="106"/>
  <c r="D3657" i="106" s="1"/>
  <c r="K360" i="29"/>
  <c r="D350" i="29"/>
  <c r="B3624" i="106"/>
  <c r="D3624" i="106" s="1"/>
  <c r="K356" i="29"/>
  <c r="K357" i="29" s="1"/>
  <c r="K15" i="4" s="1"/>
  <c r="B3573" i="106" s="1"/>
  <c r="D3573" i="106" s="1"/>
  <c r="H357" i="29"/>
  <c r="K351" i="29"/>
  <c r="B3671" i="106" s="1"/>
  <c r="D3671" i="106" s="1"/>
  <c r="B3620" i="106"/>
  <c r="D3620" i="106" s="1"/>
  <c r="K349" i="29"/>
  <c r="B3669" i="106" s="1"/>
  <c r="D3669" i="106" s="1"/>
  <c r="B3618" i="106"/>
  <c r="D3618" i="106" s="1"/>
  <c r="K348" i="29"/>
  <c r="B3617" i="106"/>
  <c r="D3617" i="106" s="1"/>
  <c r="C350" i="29"/>
  <c r="B5986" i="106"/>
  <c r="D5986" i="106" s="1"/>
  <c r="B6257" i="106"/>
  <c r="D6257" i="106" s="1"/>
  <c r="B3579" i="106"/>
  <c r="D3579" i="106" s="1"/>
  <c r="D68" i="36"/>
  <c r="B7227" i="106"/>
  <c r="D7227" i="106" s="1"/>
  <c r="J350" i="29"/>
  <c r="B4868" i="106"/>
  <c r="D4868" i="106" s="1"/>
  <c r="K266" i="5"/>
  <c r="B4442" i="106" s="1"/>
  <c r="D4442" i="106" s="1"/>
  <c r="B5993" i="106"/>
  <c r="D5993" i="106" s="1"/>
  <c r="B3578" i="106"/>
  <c r="D3578" i="106" s="1"/>
  <c r="B7226" i="106"/>
  <c r="D7226" i="106" s="1"/>
  <c r="I350" i="29"/>
  <c r="K181" i="5"/>
  <c r="B6016" i="106" s="1"/>
  <c r="D6016" i="106" s="1"/>
  <c r="B4816" i="106"/>
  <c r="D4816" i="106" s="1"/>
  <c r="B6374" i="106"/>
  <c r="D6374" i="106" s="1"/>
  <c r="K169" i="5"/>
  <c r="B5000" i="106" s="1"/>
  <c r="D5000" i="106" s="1"/>
  <c r="L362" i="29"/>
  <c r="L365" i="29" s="1"/>
  <c r="B3577" i="106"/>
  <c r="D3577" i="106" s="1"/>
  <c r="I48" i="4"/>
  <c r="B2106" i="106" s="1"/>
  <c r="D2106" i="106" s="1"/>
  <c r="B3652" i="106"/>
  <c r="D3652" i="106" s="1"/>
  <c r="H350" i="29"/>
  <c r="B5985" i="106"/>
  <c r="D5985" i="106" s="1"/>
  <c r="B12" i="7"/>
  <c r="K12" i="5"/>
  <c r="K364" i="29"/>
  <c r="B7746" i="106" s="1"/>
  <c r="D7746" i="106" s="1"/>
  <c r="B7745" i="106"/>
  <c r="D7745" i="106" s="1"/>
  <c r="D3583" i="106"/>
  <c r="B3635" i="106"/>
  <c r="D3635" i="106" s="1"/>
  <c r="B7755" i="106"/>
  <c r="D7755" i="106" s="1"/>
  <c r="K44" i="4"/>
  <c r="I47" i="4"/>
  <c r="G350" i="29"/>
  <c r="B3645" i="106"/>
  <c r="D3645" i="106" s="1"/>
  <c r="K175" i="5"/>
  <c r="B4368" i="106"/>
  <c r="D4368" i="106" s="1"/>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1354" i="106"/>
  <c r="D1354"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G129" i="29" l="1"/>
  <c r="G38" i="108"/>
  <c r="F12" i="5"/>
  <c r="F26" i="108"/>
  <c r="C12" i="5"/>
  <c r="G30" i="108"/>
  <c r="F37" i="108"/>
  <c r="E30" i="108"/>
  <c r="D37" i="108"/>
  <c r="L194" i="29"/>
  <c r="L196" i="29" s="1"/>
  <c r="E39" i="108"/>
  <c r="D129" i="29"/>
  <c r="D151" i="29" s="1"/>
  <c r="B1234" i="106" s="1"/>
  <c r="D1234" i="106" s="1"/>
  <c r="H12" i="5"/>
  <c r="G39" i="108"/>
  <c r="B14" i="7"/>
  <c r="B1754" i="106" s="1"/>
  <c r="D1754" i="106" s="1"/>
  <c r="L303" i="29"/>
  <c r="L312" i="29" s="1"/>
  <c r="L350" i="29"/>
  <c r="L352" i="29" s="1"/>
  <c r="L367" i="29" s="1"/>
  <c r="K76" i="4"/>
  <c r="B3586" i="106" s="1"/>
  <c r="D3586" i="106" s="1"/>
  <c r="F129" i="29"/>
  <c r="F27" i="108"/>
  <c r="B9" i="7"/>
  <c r="D27" i="108"/>
  <c r="D36" i="108"/>
  <c r="D41" i="108" s="1"/>
  <c r="E43" i="108" s="1"/>
  <c r="E28" i="108"/>
  <c r="L53" i="29"/>
  <c r="B5224" i="106"/>
  <c r="D5224" i="106" s="1"/>
  <c r="C175" i="5"/>
  <c r="F122" i="34"/>
  <c r="C181" i="5"/>
  <c r="B5232" i="106" s="1"/>
  <c r="D5232" i="106" s="1"/>
  <c r="B5230" i="106"/>
  <c r="D5230" i="106" s="1"/>
  <c r="B4882" i="106"/>
  <c r="D4882" i="106" s="1"/>
  <c r="B5113" i="106"/>
  <c r="D5113" i="106" s="1"/>
  <c r="C108" i="5"/>
  <c r="B5120" i="106" s="1"/>
  <c r="D5120" i="106" s="1"/>
  <c r="F145" i="34"/>
  <c r="F142" i="34"/>
  <c r="F161" i="34"/>
  <c r="D12" i="171"/>
  <c r="B6889" i="106"/>
  <c r="D6889" i="106" s="1"/>
  <c r="F45" i="34"/>
  <c r="B901" i="106"/>
  <c r="D901" i="106" s="1"/>
  <c r="F74" i="29"/>
  <c r="B929" i="106" s="1"/>
  <c r="D929" i="106" s="1"/>
  <c r="B1017" i="106"/>
  <c r="D1017" i="106" s="1"/>
  <c r="H74" i="29"/>
  <c r="B1045" i="106" s="1"/>
  <c r="D1045" i="106" s="1"/>
  <c r="B1053" i="106"/>
  <c r="D1053" i="106" s="1"/>
  <c r="H112" i="29"/>
  <c r="B7018" i="106" s="1"/>
  <c r="D7018" i="106" s="1"/>
  <c r="B6899" i="106"/>
  <c r="D6899" i="106" s="1"/>
  <c r="F50" i="34"/>
  <c r="L42" i="29"/>
  <c r="L33" i="29"/>
  <c r="E15" i="145"/>
  <c r="B1126" i="106"/>
  <c r="D1126" i="106" s="1"/>
  <c r="K65" i="29"/>
  <c r="B1133" i="106" s="1"/>
  <c r="D1133" i="106" s="1"/>
  <c r="C204" i="5"/>
  <c r="B5260" i="106" s="1"/>
  <c r="D5260" i="106" s="1"/>
  <c r="B5247" i="106"/>
  <c r="D5247" i="106" s="1"/>
  <c r="C82" i="5"/>
  <c r="B5102" i="106" s="1"/>
  <c r="D5102" i="106" s="1"/>
  <c r="B5097" i="106"/>
  <c r="D5097" i="106" s="1"/>
  <c r="F164" i="34"/>
  <c r="F130" i="34"/>
  <c r="F117" i="34"/>
  <c r="F170" i="34"/>
  <c r="C13" i="3"/>
  <c r="B3411" i="106"/>
  <c r="D3411" i="106" s="1"/>
  <c r="D34" i="36"/>
  <c r="B6895" i="106"/>
  <c r="D6895" i="106" s="1"/>
  <c r="F48" i="34"/>
  <c r="B1010" i="106"/>
  <c r="D1010" i="106" s="1"/>
  <c r="C209" i="5"/>
  <c r="B4411" i="106" s="1"/>
  <c r="D4411" i="106" s="1"/>
  <c r="B5256" i="106"/>
  <c r="D5256" i="106" s="1"/>
  <c r="C198" i="5"/>
  <c r="B5246" i="106" s="1"/>
  <c r="D5246" i="106" s="1"/>
  <c r="B6401" i="106"/>
  <c r="D6401" i="106" s="1"/>
  <c r="B5167" i="106"/>
  <c r="D5167" i="106" s="1"/>
  <c r="F108" i="34"/>
  <c r="B5122" i="106"/>
  <c r="D5122" i="106" s="1"/>
  <c r="C114" i="5"/>
  <c r="B5233" i="106"/>
  <c r="D5233" i="106" s="1"/>
  <c r="C188" i="5"/>
  <c r="F124" i="34" s="1"/>
  <c r="B5301" i="106"/>
  <c r="D5301" i="106" s="1"/>
  <c r="C221" i="5"/>
  <c r="B5304" i="106" s="1"/>
  <c r="D5304" i="106" s="1"/>
  <c r="F121" i="34"/>
  <c r="F140" i="34"/>
  <c r="F118" i="34"/>
  <c r="F101" i="34"/>
  <c r="B6903" i="106"/>
  <c r="D6903" i="106" s="1"/>
  <c r="B6848" i="106"/>
  <c r="D6848" i="106" s="1"/>
  <c r="F34" i="34"/>
  <c r="B6858" i="106"/>
  <c r="D6858" i="106" s="1"/>
  <c r="F36" i="34"/>
  <c r="B1107" i="106"/>
  <c r="D1107" i="106" s="1"/>
  <c r="F38" i="34"/>
  <c r="C145" i="5"/>
  <c r="B5165" i="106" s="1"/>
  <c r="D5165" i="106" s="1"/>
  <c r="K92" i="29"/>
  <c r="B2089" i="106" s="1"/>
  <c r="D2089" i="106" s="1"/>
  <c r="B6995" i="106"/>
  <c r="D6995" i="106" s="1"/>
  <c r="B836" i="106"/>
  <c r="D836" i="106" s="1"/>
  <c r="B6885" i="106"/>
  <c r="D6885" i="106" s="1"/>
  <c r="F43" i="34"/>
  <c r="B1131" i="106"/>
  <c r="D1131" i="106" s="1"/>
  <c r="E16" i="145"/>
  <c r="G16" i="145" s="1"/>
  <c r="F52" i="34"/>
  <c r="B1144" i="106"/>
  <c r="D1144" i="106" s="1"/>
  <c r="C14" i="4"/>
  <c r="B2558" i="106" s="1"/>
  <c r="D2558" i="106" s="1"/>
  <c r="B5103" i="106"/>
  <c r="D5103" i="106" s="1"/>
  <c r="F96" i="34"/>
  <c r="C93" i="5"/>
  <c r="B5112" i="106" s="1"/>
  <c r="D5112" i="106" s="1"/>
  <c r="B6614" i="106"/>
  <c r="D6614" i="106" s="1"/>
  <c r="C252" i="5"/>
  <c r="B6833" i="106" s="1"/>
  <c r="D6833" i="106" s="1"/>
  <c r="B5181" i="106"/>
  <c r="D5181" i="106" s="1"/>
  <c r="F112" i="34"/>
  <c r="F163" i="34"/>
  <c r="F114" i="34"/>
  <c r="F165" i="34"/>
  <c r="F135" i="34"/>
  <c r="F119" i="34"/>
  <c r="B785" i="106"/>
  <c r="D785" i="106" s="1"/>
  <c r="D74" i="29"/>
  <c r="B813" i="106" s="1"/>
  <c r="D813" i="106" s="1"/>
  <c r="B5066" i="106"/>
  <c r="D5066" i="106" s="1"/>
  <c r="B6891" i="106"/>
  <c r="D6891" i="106" s="1"/>
  <c r="F46" i="34"/>
  <c r="B5064" i="106"/>
  <c r="D5064" i="106" s="1"/>
  <c r="B17" i="7"/>
  <c r="B1104" i="106"/>
  <c r="D1104" i="106" s="1"/>
  <c r="F37" i="34"/>
  <c r="B6877" i="106"/>
  <c r="D6877" i="106" s="1"/>
  <c r="F39" i="34"/>
  <c r="B6997" i="106"/>
  <c r="D6997" i="106" s="1"/>
  <c r="K100" i="29"/>
  <c r="B7013" i="106" s="1"/>
  <c r="D7013" i="106" s="1"/>
  <c r="B959" i="106"/>
  <c r="D959" i="106" s="1"/>
  <c r="G74" i="29"/>
  <c r="B987" i="106" s="1"/>
  <c r="D987" i="106" s="1"/>
  <c r="B6881" i="106"/>
  <c r="D6881" i="106" s="1"/>
  <c r="F41" i="34"/>
  <c r="I74" i="29"/>
  <c r="B6977" i="106" s="1"/>
  <c r="D6977" i="106" s="1"/>
  <c r="B6916" i="106"/>
  <c r="D6916" i="106" s="1"/>
  <c r="K47" i="29"/>
  <c r="B1119" i="106" s="1"/>
  <c r="D1119" i="106" s="1"/>
  <c r="B1116" i="106"/>
  <c r="D1116" i="106" s="1"/>
  <c r="B1120" i="106"/>
  <c r="D1120" i="106" s="1"/>
  <c r="K53" i="29"/>
  <c r="B1122" i="106" s="1"/>
  <c r="D1122" i="106" s="1"/>
  <c r="B2973" i="106"/>
  <c r="D2973" i="106" s="1"/>
  <c r="K84" i="29"/>
  <c r="G33" i="29"/>
  <c r="B937" i="106"/>
  <c r="D937" i="106" s="1"/>
  <c r="C217" i="5"/>
  <c r="B5286" i="106" s="1"/>
  <c r="D5286" i="106" s="1"/>
  <c r="B5274" i="106"/>
  <c r="D5274" i="106" s="1"/>
  <c r="F113" i="34"/>
  <c r="F136" i="34"/>
  <c r="C67" i="5"/>
  <c r="B5090" i="106" s="1"/>
  <c r="D5090" i="106" s="1"/>
  <c r="B1744" i="106"/>
  <c r="D1744" i="106" s="1"/>
  <c r="D4" i="7"/>
  <c r="B1760" i="106" s="1"/>
  <c r="D1760" i="106" s="1"/>
  <c r="C75" i="5"/>
  <c r="B778" i="106"/>
  <c r="D778" i="106" s="1"/>
  <c r="B894" i="106"/>
  <c r="D894" i="106" s="1"/>
  <c r="L84" i="29"/>
  <c r="L102" i="29" s="1"/>
  <c r="B6887" i="106"/>
  <c r="D6887" i="106" s="1"/>
  <c r="F44" i="34"/>
  <c r="E12" i="145"/>
  <c r="B1121" i="106"/>
  <c r="D1121" i="106" s="1"/>
  <c r="K57" i="29"/>
  <c r="B1125" i="106" s="1"/>
  <c r="D1125" i="106" s="1"/>
  <c r="B1123" i="106"/>
  <c r="D1123" i="106" s="1"/>
  <c r="B2789" i="106"/>
  <c r="D2789" i="106" s="1"/>
  <c r="E102" i="29"/>
  <c r="B2790" i="106" s="1"/>
  <c r="D2790" i="106" s="1"/>
  <c r="B5148" i="106"/>
  <c r="D5148" i="106" s="1"/>
  <c r="C141" i="5"/>
  <c r="B5161" i="106" s="1"/>
  <c r="D5161" i="106" s="1"/>
  <c r="B5106" i="106"/>
  <c r="D5106" i="106" s="1"/>
  <c r="F97" i="34"/>
  <c r="F146" i="34"/>
  <c r="F134" i="34"/>
  <c r="F148" i="34"/>
  <c r="B6853" i="106"/>
  <c r="D6853" i="106" s="1"/>
  <c r="F35" i="34"/>
  <c r="F47" i="34"/>
  <c r="B6893" i="106"/>
  <c r="D6893" i="106" s="1"/>
  <c r="C44" i="4"/>
  <c r="B6897" i="106"/>
  <c r="D6897" i="106" s="1"/>
  <c r="F49" i="34"/>
  <c r="L57" i="29"/>
  <c r="L72" i="29"/>
  <c r="B6901" i="106"/>
  <c r="D6901" i="106" s="1"/>
  <c r="F51" i="34"/>
  <c r="B727" i="106"/>
  <c r="D727" i="106" s="1"/>
  <c r="C74" i="29"/>
  <c r="B755" i="106" s="1"/>
  <c r="D755" i="106" s="1"/>
  <c r="E14" i="145"/>
  <c r="G14" i="145" s="1"/>
  <c r="B1124" i="106"/>
  <c r="D1124" i="106" s="1"/>
  <c r="B5126" i="106"/>
  <c r="D5126" i="106" s="1"/>
  <c r="F153" i="34"/>
  <c r="F149" i="34"/>
  <c r="B2081" i="106"/>
  <c r="D2081" i="106" s="1"/>
  <c r="H102" i="29"/>
  <c r="B1047" i="106" s="1"/>
  <c r="D1047" i="106" s="1"/>
  <c r="B843" i="106"/>
  <c r="D843" i="106" s="1"/>
  <c r="E74" i="29"/>
  <c r="B871" i="106" s="1"/>
  <c r="D871" i="106" s="1"/>
  <c r="B720" i="106"/>
  <c r="D720" i="106" s="1"/>
  <c r="B6883" i="106"/>
  <c r="D6883" i="106" s="1"/>
  <c r="F42" i="34"/>
  <c r="L47" i="29"/>
  <c r="B6917" i="106"/>
  <c r="D6917" i="106" s="1"/>
  <c r="J74" i="29"/>
  <c r="B6978" i="106" s="1"/>
  <c r="D6978" i="106" s="1"/>
  <c r="E17" i="145"/>
  <c r="G17" i="145" s="1"/>
  <c r="B1134" i="106"/>
  <c r="D1134" i="106" s="1"/>
  <c r="K72" i="29"/>
  <c r="B1141" i="106" s="1"/>
  <c r="D1141" i="106" s="1"/>
  <c r="B5175" i="106"/>
  <c r="D5175" i="106" s="1"/>
  <c r="C155" i="5"/>
  <c r="B5178" i="106" s="1"/>
  <c r="D5178" i="106" s="1"/>
  <c r="B5111" i="106"/>
  <c r="D5111" i="106" s="1"/>
  <c r="F100" i="34"/>
  <c r="F141" i="34"/>
  <c r="F160" i="34"/>
  <c r="F103" i="34"/>
  <c r="F150" i="34"/>
  <c r="B6902" i="106"/>
  <c r="D6902" i="106" s="1"/>
  <c r="K5" i="29"/>
  <c r="B6879" i="106"/>
  <c r="D6879" i="106" s="1"/>
  <c r="F40" i="34"/>
  <c r="B1146" i="106"/>
  <c r="D1146" i="106" s="1"/>
  <c r="K110" i="29"/>
  <c r="L65" i="29"/>
  <c r="B91" i="106"/>
  <c r="D91" i="106" s="1"/>
  <c r="K42" i="29"/>
  <c r="B1109" i="106"/>
  <c r="D1109" i="106" s="1"/>
  <c r="E13" i="145"/>
  <c r="G13" i="145" s="1"/>
  <c r="B2724" i="106"/>
  <c r="D2724" i="106" s="1"/>
  <c r="E129" i="29"/>
  <c r="B1241" i="106" s="1"/>
  <c r="D1241" i="106" s="1"/>
  <c r="F28" i="108"/>
  <c r="E38" i="108"/>
  <c r="C129" i="29"/>
  <c r="B1225" i="106" s="1"/>
  <c r="D1225" i="106" s="1"/>
  <c r="L127" i="29"/>
  <c r="L129" i="29" s="1"/>
  <c r="L151" i="29" s="1"/>
  <c r="H129" i="29"/>
  <c r="B1266" i="106" s="1"/>
  <c r="D1266" i="106" s="1"/>
  <c r="I129" i="29"/>
  <c r="I151" i="29" s="1"/>
  <c r="J129" i="29"/>
  <c r="B7038" i="106" s="1"/>
  <c r="D7038" i="106" s="1"/>
  <c r="D34" i="3"/>
  <c r="B6126" i="106"/>
  <c r="D6126" i="106" s="1"/>
  <c r="H149" i="29"/>
  <c r="B1272" i="106" s="1"/>
  <c r="D1272" i="106" s="1"/>
  <c r="B7047" i="106"/>
  <c r="D7047" i="106" s="1"/>
  <c r="B5369" i="106"/>
  <c r="D5369" i="106" s="1"/>
  <c r="D169" i="5"/>
  <c r="B5412" i="106" s="1"/>
  <c r="D5412" i="106" s="1"/>
  <c r="B5423" i="106"/>
  <c r="D5423" i="106" s="1"/>
  <c r="K147" i="29"/>
  <c r="B1283" i="106"/>
  <c r="D1283" i="106" s="1"/>
  <c r="B5360" i="106"/>
  <c r="D5360" i="106" s="1"/>
  <c r="D5" i="4"/>
  <c r="B3406" i="106" s="1"/>
  <c r="D3406" i="106" s="1"/>
  <c r="B5348" i="106"/>
  <c r="D5348" i="106" s="1"/>
  <c r="D14" i="4"/>
  <c r="B2570" i="106" s="1"/>
  <c r="D2570" i="106" s="1"/>
  <c r="F56" i="34"/>
  <c r="B2805" i="106"/>
  <c r="D2805" i="106" s="1"/>
  <c r="B5367" i="106"/>
  <c r="D5367" i="106" s="1"/>
  <c r="F15" i="145"/>
  <c r="G26" i="108"/>
  <c r="B1274" i="106"/>
  <c r="D1274" i="106" s="1"/>
  <c r="E26" i="108"/>
  <c r="K127" i="29"/>
  <c r="B1279" i="106" s="1"/>
  <c r="D1279" i="106" s="1"/>
  <c r="E139" i="29"/>
  <c r="B4203" i="106" s="1"/>
  <c r="D4203" i="106" s="1"/>
  <c r="B4202" i="106"/>
  <c r="D4202" i="106" s="1"/>
  <c r="B2091" i="106"/>
  <c r="D2091" i="106" s="1"/>
  <c r="H139" i="29"/>
  <c r="B1267" i="106" s="1"/>
  <c r="D1267" i="106" s="1"/>
  <c r="B5330" i="106"/>
  <c r="D5330" i="106" s="1"/>
  <c r="B13" i="7"/>
  <c r="B2986" i="106"/>
  <c r="D2986" i="106" s="1"/>
  <c r="K137" i="29"/>
  <c r="D67" i="5"/>
  <c r="B5342" i="106" s="1"/>
  <c r="D5342" i="106" s="1"/>
  <c r="G151" i="29"/>
  <c r="B1258" i="106"/>
  <c r="D1258" i="106" s="1"/>
  <c r="B4396" i="106"/>
  <c r="D4396" i="106" s="1"/>
  <c r="D266" i="5"/>
  <c r="B5501" i="106" s="1"/>
  <c r="D5501" i="106" s="1"/>
  <c r="B3235" i="106"/>
  <c r="D3235" i="106" s="1"/>
  <c r="D77" i="4"/>
  <c r="B3238" i="106" s="1"/>
  <c r="D3238" i="106" s="1"/>
  <c r="D35" i="36"/>
  <c r="B3414" i="106"/>
  <c r="D3414" i="106" s="1"/>
  <c r="D13" i="3"/>
  <c r="B4080" i="106"/>
  <c r="D4080" i="106" s="1"/>
  <c r="D12" i="5"/>
  <c r="B5328" i="106"/>
  <c r="D5328" i="106" s="1"/>
  <c r="B5" i="7"/>
  <c r="F151" i="29"/>
  <c r="B1250" i="106" s="1"/>
  <c r="D1250" i="106" s="1"/>
  <c r="B1249" i="106"/>
  <c r="D1249" i="106" s="1"/>
  <c r="E266" i="5"/>
  <c r="B7747" i="106" s="1"/>
  <c r="D7747" i="106" s="1"/>
  <c r="B6835" i="106"/>
  <c r="D6835" i="106" s="1"/>
  <c r="B5519" i="106"/>
  <c r="D5519" i="106" s="1"/>
  <c r="E67" i="5"/>
  <c r="B5521" i="106" s="1"/>
  <c r="D5521" i="106" s="1"/>
  <c r="B5534" i="106"/>
  <c r="D5534" i="106" s="1"/>
  <c r="E170" i="5"/>
  <c r="B139" i="106"/>
  <c r="D139" i="106" s="1"/>
  <c r="B1324" i="106"/>
  <c r="D1324" i="106" s="1"/>
  <c r="K168" i="29"/>
  <c r="B7778" i="106"/>
  <c r="D7778" i="106" s="1"/>
  <c r="K160" i="29"/>
  <c r="B1314" i="106"/>
  <c r="D1314" i="106" s="1"/>
  <c r="H172" i="29"/>
  <c r="B131" i="106"/>
  <c r="D131" i="106" s="1"/>
  <c r="L172" i="29"/>
  <c r="L174" i="29" s="1"/>
  <c r="B18" i="7"/>
  <c r="B4103" i="106" s="1"/>
  <c r="D4103" i="106" s="1"/>
  <c r="B4372" i="106"/>
  <c r="D4372" i="106" s="1"/>
  <c r="B1329" i="106"/>
  <c r="D1329" i="106" s="1"/>
  <c r="F61" i="34"/>
  <c r="B1308" i="106"/>
  <c r="D1308" i="106" s="1"/>
  <c r="E174" i="29"/>
  <c r="B1309" i="106" s="1"/>
  <c r="D1309" i="106" s="1"/>
  <c r="B5509" i="106"/>
  <c r="D5509" i="106" s="1"/>
  <c r="B6" i="7"/>
  <c r="E12" i="5"/>
  <c r="B7064" i="106"/>
  <c r="D7064" i="106" s="1"/>
  <c r="J210" i="29"/>
  <c r="B7072" i="106" s="1"/>
  <c r="D7072" i="106" s="1"/>
  <c r="D72" i="36"/>
  <c r="F184" i="29"/>
  <c r="F76" i="4"/>
  <c r="B3254" i="106" s="1"/>
  <c r="D3254" i="106" s="1"/>
  <c r="B3419" i="106"/>
  <c r="D3419" i="106" s="1"/>
  <c r="D37" i="36"/>
  <c r="F13" i="3"/>
  <c r="B5655" i="106"/>
  <c r="D5655" i="106" s="1"/>
  <c r="B1383" i="106"/>
  <c r="D1383" i="106" s="1"/>
  <c r="K204" i="29"/>
  <c r="K182" i="29"/>
  <c r="B1345" i="106"/>
  <c r="D1345" i="106" s="1"/>
  <c r="D210" i="29"/>
  <c r="B1346" i="106" s="1"/>
  <c r="D1346" i="106" s="1"/>
  <c r="B5614" i="106"/>
  <c r="D5614" i="106" s="1"/>
  <c r="F169" i="5"/>
  <c r="B5644" i="106" s="1"/>
  <c r="D5644" i="106" s="1"/>
  <c r="B3007" i="106"/>
  <c r="D3007" i="106" s="1"/>
  <c r="K194" i="29"/>
  <c r="B5557" i="106"/>
  <c r="D5557" i="106" s="1"/>
  <c r="B4211" i="106"/>
  <c r="D4211" i="106" s="1"/>
  <c r="F64" i="34"/>
  <c r="B1747" i="106"/>
  <c r="D1747" i="106" s="1"/>
  <c r="D7" i="7"/>
  <c r="B1763" i="106" s="1"/>
  <c r="D1763" i="106" s="1"/>
  <c r="B1370" i="106"/>
  <c r="D1370" i="106" s="1"/>
  <c r="H208" i="29"/>
  <c r="B1375" i="106" s="1"/>
  <c r="D1375" i="106" s="1"/>
  <c r="B4156" i="106"/>
  <c r="D4156" i="106" s="1"/>
  <c r="B5592" i="106"/>
  <c r="D5592" i="106" s="1"/>
  <c r="F5" i="4"/>
  <c r="B3408" i="106" s="1"/>
  <c r="D3408" i="106" s="1"/>
  <c r="H196" i="29"/>
  <c r="B2830" i="106" s="1"/>
  <c r="D2830" i="106" s="1"/>
  <c r="B2828" i="106"/>
  <c r="D2828" i="106" s="1"/>
  <c r="G184" i="29"/>
  <c r="L184" i="29"/>
  <c r="L210" i="29" s="1"/>
  <c r="C184" i="29"/>
  <c r="B4081" i="106"/>
  <c r="D4081" i="106" s="1"/>
  <c r="K180" i="29"/>
  <c r="F34" i="3"/>
  <c r="B6128" i="106"/>
  <c r="D6128" i="106" s="1"/>
  <c r="F67" i="5"/>
  <c r="B5582" i="106" s="1"/>
  <c r="D5582" i="106" s="1"/>
  <c r="B2836" i="106"/>
  <c r="D2836" i="106" s="1"/>
  <c r="F62" i="34"/>
  <c r="F14" i="4"/>
  <c r="B2597" i="106" s="1"/>
  <c r="D2597" i="106" s="1"/>
  <c r="B1351" i="106"/>
  <c r="D1351" i="106" s="1"/>
  <c r="B7063" i="106"/>
  <c r="D7063" i="106" s="1"/>
  <c r="I210" i="29"/>
  <c r="F44" i="4"/>
  <c r="F266" i="5"/>
  <c r="B5713" i="106" s="1"/>
  <c r="D5713" i="106" s="1"/>
  <c r="B4397" i="106"/>
  <c r="D4397" i="106" s="1"/>
  <c r="E196" i="29"/>
  <c r="B1352" i="106" s="1"/>
  <c r="D1352" i="106" s="1"/>
  <c r="B2823" i="106"/>
  <c r="D2823" i="106" s="1"/>
  <c r="B5599" i="106"/>
  <c r="D5599" i="106" s="1"/>
  <c r="G67" i="5"/>
  <c r="B5733" i="106" s="1"/>
  <c r="D5733" i="106" s="1"/>
  <c r="G266" i="5"/>
  <c r="B5863" i="106" s="1"/>
  <c r="D5863" i="106" s="1"/>
  <c r="B4398" i="106"/>
  <c r="D4398" i="106" s="1"/>
  <c r="F69" i="34"/>
  <c r="B7078" i="106"/>
  <c r="D7078" i="106" s="1"/>
  <c r="B1452" i="106"/>
  <c r="D1452" i="106" s="1"/>
  <c r="H295" i="29"/>
  <c r="B1454" i="106" s="1"/>
  <c r="D1454" i="106" s="1"/>
  <c r="B1410" i="106"/>
  <c r="D1410" i="106" s="1"/>
  <c r="B7074" i="106"/>
  <c r="D7074" i="106" s="1"/>
  <c r="F67" i="34"/>
  <c r="B7076" i="106"/>
  <c r="D7076" i="106" s="1"/>
  <c r="F68" i="34"/>
  <c r="B1427" i="106"/>
  <c r="D1427" i="106" s="1"/>
  <c r="G24" i="108"/>
  <c r="E24" i="108"/>
  <c r="B5752" i="106"/>
  <c r="D5752" i="106" s="1"/>
  <c r="G169" i="5"/>
  <c r="B1482" i="106"/>
  <c r="D1482" i="106" s="1"/>
  <c r="K243" i="29"/>
  <c r="B1485" i="106" s="1"/>
  <c r="D1485" i="106" s="1"/>
  <c r="B1501" i="106"/>
  <c r="D1501" i="106" s="1"/>
  <c r="K277" i="29"/>
  <c r="B1508" i="106" s="1"/>
  <c r="D1508" i="106" s="1"/>
  <c r="B3390" i="106"/>
  <c r="D3390" i="106" s="1"/>
  <c r="K229" i="29"/>
  <c r="B1512" i="106"/>
  <c r="D1512" i="106" s="1"/>
  <c r="K293" i="29"/>
  <c r="B1511" i="106"/>
  <c r="D1511" i="106" s="1"/>
  <c r="F72" i="34"/>
  <c r="G14" i="4"/>
  <c r="B2609" i="106" s="1"/>
  <c r="D2609" i="106" s="1"/>
  <c r="B5756" i="106"/>
  <c r="D5756" i="106" s="1"/>
  <c r="B3723" i="106"/>
  <c r="D3723" i="106" s="1"/>
  <c r="K285" i="29"/>
  <c r="B1421" i="106"/>
  <c r="D1421" i="106" s="1"/>
  <c r="G22" i="108"/>
  <c r="E22" i="108"/>
  <c r="L279" i="29"/>
  <c r="L295" i="29" s="1"/>
  <c r="B6409" i="106"/>
  <c r="D6409" i="106" s="1"/>
  <c r="F125" i="34"/>
  <c r="B5803" i="106"/>
  <c r="D5803" i="106" s="1"/>
  <c r="F126" i="34"/>
  <c r="B1473" i="106"/>
  <c r="D1473" i="106" s="1"/>
  <c r="F71" i="34"/>
  <c r="B1489" i="106"/>
  <c r="D1489" i="106" s="1"/>
  <c r="K261" i="29"/>
  <c r="B1491" i="106" s="1"/>
  <c r="D1491" i="106" s="1"/>
  <c r="B4357" i="106"/>
  <c r="D4357" i="106" s="1"/>
  <c r="B4414" i="106"/>
  <c r="D4414" i="106" s="1"/>
  <c r="B1492" i="106"/>
  <c r="D1492" i="106" s="1"/>
  <c r="K270" i="29"/>
  <c r="B1500" i="106" s="1"/>
  <c r="D1500" i="106" s="1"/>
  <c r="B5780" i="106"/>
  <c r="D5780" i="106" s="1"/>
  <c r="B3258" i="106"/>
  <c r="D3258" i="106" s="1"/>
  <c r="G77" i="4"/>
  <c r="B3261" i="106" s="1"/>
  <c r="D3261" i="106" s="1"/>
  <c r="B5741" i="106"/>
  <c r="D5741" i="106" s="1"/>
  <c r="G5" i="4"/>
  <c r="B3409" i="106" s="1"/>
  <c r="D3409" i="106" s="1"/>
  <c r="B1470" i="106"/>
  <c r="D1470" i="106" s="1"/>
  <c r="F70" i="34"/>
  <c r="B188" i="106"/>
  <c r="D188" i="106" s="1"/>
  <c r="B5847" i="106"/>
  <c r="D5847" i="106" s="1"/>
  <c r="B1417" i="106"/>
  <c r="D1417" i="106" s="1"/>
  <c r="D279" i="29"/>
  <c r="B3422" i="106"/>
  <c r="D3422" i="106" s="1"/>
  <c r="D38" i="36"/>
  <c r="G13" i="3"/>
  <c r="B8" i="7"/>
  <c r="G12" i="5"/>
  <c r="B5721" i="106"/>
  <c r="D5721" i="106" s="1"/>
  <c r="B5784" i="106"/>
  <c r="D5784" i="106" s="1"/>
  <c r="K238" i="29"/>
  <c r="B1475" i="106"/>
  <c r="D1475" i="106" s="1"/>
  <c r="B1486" i="106"/>
  <c r="D1486" i="106" s="1"/>
  <c r="K257" i="29"/>
  <c r="B1488" i="106" s="1"/>
  <c r="D1488" i="106" s="1"/>
  <c r="B5723" i="106"/>
  <c r="D5723" i="106" s="1"/>
  <c r="B16" i="7"/>
  <c r="B6285" i="106"/>
  <c r="D6285" i="106" s="1"/>
  <c r="E44" i="4"/>
  <c r="B7104" i="106"/>
  <c r="D7104" i="106" s="1"/>
  <c r="J312" i="29"/>
  <c r="B7117" i="106" s="1"/>
  <c r="D7117" i="106" s="1"/>
  <c r="B3425" i="106"/>
  <c r="D3425" i="106" s="1"/>
  <c r="D39" i="36"/>
  <c r="H13" i="3"/>
  <c r="B1529" i="106"/>
  <c r="D1529" i="106" s="1"/>
  <c r="D312" i="29"/>
  <c r="B1530" i="106" s="1"/>
  <c r="D1530" i="106" s="1"/>
  <c r="B1751" i="106"/>
  <c r="D1751" i="106" s="1"/>
  <c r="D9" i="7"/>
  <c r="B1767" i="106" s="1"/>
  <c r="D1767" i="106" s="1"/>
  <c r="H266" i="5"/>
  <c r="B4441" i="106" s="1"/>
  <c r="D4441" i="106" s="1"/>
  <c r="B6838" i="106"/>
  <c r="D6838" i="106" s="1"/>
  <c r="B7107" i="106"/>
  <c r="D7107" i="106" s="1"/>
  <c r="K310" i="29"/>
  <c r="B5873" i="106"/>
  <c r="D5873" i="106" s="1"/>
  <c r="K303" i="29"/>
  <c r="B1555" i="106"/>
  <c r="D1555" i="106" s="1"/>
  <c r="B3296" i="106"/>
  <c r="D3296" i="106" s="1"/>
  <c r="H77" i="4"/>
  <c r="B3299" i="106" s="1"/>
  <c r="D3299" i="106" s="1"/>
  <c r="H67" i="5"/>
  <c r="B5881" i="106" s="1"/>
  <c r="D5881" i="106" s="1"/>
  <c r="B1547" i="106"/>
  <c r="D1547" i="106" s="1"/>
  <c r="G312" i="29"/>
  <c r="B1548" i="106" s="1"/>
  <c r="D1548" i="106" s="1"/>
  <c r="B1553" i="106"/>
  <c r="D1553" i="106" s="1"/>
  <c r="H312" i="29"/>
  <c r="B1554" i="106" s="1"/>
  <c r="D1554" i="106" s="1"/>
  <c r="B15" i="7"/>
  <c r="B7043" i="106"/>
  <c r="D7043" i="106" s="1"/>
  <c r="B1541" i="106"/>
  <c r="D1541" i="106" s="1"/>
  <c r="F312" i="29"/>
  <c r="B1542" i="106" s="1"/>
  <c r="D1542" i="106" s="1"/>
  <c r="B4950" i="106"/>
  <c r="D4950" i="106" s="1"/>
  <c r="C312" i="29"/>
  <c r="B1524" i="106" s="1"/>
  <c r="D1524" i="106" s="1"/>
  <c r="B1523" i="106"/>
  <c r="D1523" i="106" s="1"/>
  <c r="B1535" i="106"/>
  <c r="D1535" i="106" s="1"/>
  <c r="E312" i="29"/>
  <c r="B1536" i="106" s="1"/>
  <c r="D1536" i="106" s="1"/>
  <c r="B211" i="106"/>
  <c r="D211" i="106" s="1"/>
  <c r="B5893" i="106"/>
  <c r="D5893" i="106" s="1"/>
  <c r="H170" i="5"/>
  <c r="B7103" i="106"/>
  <c r="D7103" i="106" s="1"/>
  <c r="I312" i="29"/>
  <c r="B7116" i="106" s="1"/>
  <c r="D7116" i="106" s="1"/>
  <c r="I67" i="5"/>
  <c r="B5926" i="106" s="1"/>
  <c r="D5926" i="106" s="1"/>
  <c r="B10" i="7"/>
  <c r="I12" i="5"/>
  <c r="B5916" i="106"/>
  <c r="D5916" i="106" s="1"/>
  <c r="I13" i="3"/>
  <c r="H24" i="118"/>
  <c r="B3427" i="106"/>
  <c r="D3427" i="106" s="1"/>
  <c r="D40" i="36"/>
  <c r="B4363" i="106"/>
  <c r="D4363" i="106" s="1"/>
  <c r="I170" i="5"/>
  <c r="B2910" i="106"/>
  <c r="D2910" i="106" s="1"/>
  <c r="L330" i="29"/>
  <c r="L342" i="29" s="1"/>
  <c r="B6217" i="106"/>
  <c r="D6217" i="106" s="1"/>
  <c r="D41" i="36"/>
  <c r="J13" i="3"/>
  <c r="J12" i="5"/>
  <c r="B6298" i="106"/>
  <c r="D6298" i="106" s="1"/>
  <c r="B11" i="7"/>
  <c r="B7202" i="106"/>
  <c r="D7202" i="106" s="1"/>
  <c r="F342" i="29"/>
  <c r="B7219" i="106" s="1"/>
  <c r="D7219" i="106" s="1"/>
  <c r="B7203" i="106"/>
  <c r="D7203" i="106" s="1"/>
  <c r="G342" i="29"/>
  <c r="B7220" i="106" s="1"/>
  <c r="D7220" i="106" s="1"/>
  <c r="B7205" i="106"/>
  <c r="D7205" i="106" s="1"/>
  <c r="I342" i="29"/>
  <c r="B7222" i="106" s="1"/>
  <c r="D7222" i="106" s="1"/>
  <c r="B6357" i="106"/>
  <c r="D6357" i="106" s="1"/>
  <c r="J170" i="5"/>
  <c r="D342" i="29"/>
  <c r="B7217" i="106" s="1"/>
  <c r="D7217" i="106" s="1"/>
  <c r="B7200" i="106"/>
  <c r="D7200" i="106" s="1"/>
  <c r="B6238" i="106"/>
  <c r="D6238" i="106" s="1"/>
  <c r="J77" i="4"/>
  <c r="B6262" i="106" s="1"/>
  <c r="D6262" i="106" s="1"/>
  <c r="B7204" i="106"/>
  <c r="D7204" i="106" s="1"/>
  <c r="H342" i="29"/>
  <c r="B7221" i="106" s="1"/>
  <c r="D7221" i="106" s="1"/>
  <c r="B6316" i="106"/>
  <c r="D6316" i="106" s="1"/>
  <c r="J67" i="5"/>
  <c r="B6318" i="106" s="1"/>
  <c r="D6318" i="106" s="1"/>
  <c r="B6400" i="106"/>
  <c r="D6400" i="106" s="1"/>
  <c r="J267" i="5"/>
  <c r="B7206" i="106"/>
  <c r="D7206" i="106" s="1"/>
  <c r="J342" i="29"/>
  <c r="B7223" i="106" s="1"/>
  <c r="D7223" i="106" s="1"/>
  <c r="B7201" i="106"/>
  <c r="D7201" i="106" s="1"/>
  <c r="E342" i="29"/>
  <c r="B7218" i="106" s="1"/>
  <c r="D7218" i="106" s="1"/>
  <c r="B7209" i="106"/>
  <c r="D7209" i="106" s="1"/>
  <c r="K340" i="29"/>
  <c r="B7199" i="106"/>
  <c r="D7199" i="106" s="1"/>
  <c r="C342" i="29"/>
  <c r="B7216" i="106" s="1"/>
  <c r="D7216" i="106" s="1"/>
  <c r="B6191" i="106"/>
  <c r="D6191" i="106" s="1"/>
  <c r="B7126" i="106"/>
  <c r="D7126" i="106" s="1"/>
  <c r="K330" i="29"/>
  <c r="B3584" i="106"/>
  <c r="D3584" i="106" s="1"/>
  <c r="K77" i="4"/>
  <c r="B3587" i="106" s="1"/>
  <c r="D3587" i="106" s="1"/>
  <c r="B3675" i="106"/>
  <c r="D3675" i="106" s="1"/>
  <c r="K362" i="29"/>
  <c r="B3654" i="106"/>
  <c r="D3654" i="106" s="1"/>
  <c r="H352" i="29"/>
  <c r="K67" i="5"/>
  <c r="B5995" i="106" s="1"/>
  <c r="D5995" i="106" s="1"/>
  <c r="B3658" i="106"/>
  <c r="D3658" i="106" s="1"/>
  <c r="H365" i="29"/>
  <c r="B7242" i="106" s="1"/>
  <c r="D7242" i="106" s="1"/>
  <c r="B4951" i="106"/>
  <c r="D4951" i="106" s="1"/>
  <c r="K267" i="5"/>
  <c r="B7230" i="106"/>
  <c r="D7230" i="106" s="1"/>
  <c r="I352" i="29"/>
  <c r="K34" i="3"/>
  <c r="B7231" i="106"/>
  <c r="D7231" i="106" s="1"/>
  <c r="J352" i="29"/>
  <c r="B3619" i="106"/>
  <c r="D3619" i="106" s="1"/>
  <c r="C352" i="29"/>
  <c r="B6006" i="106"/>
  <c r="D6006" i="106" s="1"/>
  <c r="K170" i="5"/>
  <c r="B3640" i="106"/>
  <c r="D3640" i="106" s="1"/>
  <c r="F352" i="29"/>
  <c r="B3552" i="106"/>
  <c r="D3552" i="106" s="1"/>
  <c r="G352" i="29"/>
  <c r="B3647" i="106"/>
  <c r="D3647" i="106" s="1"/>
  <c r="B5987" i="106"/>
  <c r="D5987" i="106" s="1"/>
  <c r="B2105" i="106"/>
  <c r="D2105" i="106" s="1"/>
  <c r="I76" i="4"/>
  <c r="B1753" i="106"/>
  <c r="D1753" i="106" s="1"/>
  <c r="D12" i="7"/>
  <c r="B3668" i="106"/>
  <c r="D3668" i="106" s="1"/>
  <c r="K350" i="29"/>
  <c r="B3626" i="106"/>
  <c r="D3626" i="106" s="1"/>
  <c r="D352" i="29"/>
  <c r="E352" i="29"/>
  <c r="E367" i="29" s="1"/>
  <c r="B3636" i="106" s="1"/>
  <c r="D3636" i="106" s="1"/>
  <c r="B3633" i="106"/>
  <c r="D3633" i="106" s="1"/>
  <c r="B1617" i="106"/>
  <c r="D1617" i="106" s="1"/>
  <c r="F114" i="29" l="1"/>
  <c r="B931" i="106" s="1"/>
  <c r="D931" i="106" s="1"/>
  <c r="F106" i="34"/>
  <c r="G267" i="5"/>
  <c r="B5869" i="106" s="1"/>
  <c r="D5869" i="106" s="1"/>
  <c r="D14" i="7"/>
  <c r="B1770" i="106" s="1"/>
  <c r="D1770" i="106" s="1"/>
  <c r="B1233" i="106"/>
  <c r="D1233" i="106" s="1"/>
  <c r="K109" i="5"/>
  <c r="D18" i="7"/>
  <c r="B4105" i="106" s="1"/>
  <c r="D4105" i="106" s="1"/>
  <c r="F111" i="34"/>
  <c r="F123" i="34"/>
  <c r="C151" i="29"/>
  <c r="B1226" i="106" s="1"/>
  <c r="D1226" i="106" s="1"/>
  <c r="B7037" i="106"/>
  <c r="D7037" i="106" s="1"/>
  <c r="F170" i="5"/>
  <c r="F6" i="4" s="1"/>
  <c r="B2593" i="106" s="1"/>
  <c r="D2593" i="106" s="1"/>
  <c r="F41" i="108"/>
  <c r="G43" i="108" s="1"/>
  <c r="F157" i="34"/>
  <c r="I114" i="29"/>
  <c r="B7020" i="106" s="1"/>
  <c r="D7020" i="106" s="1"/>
  <c r="F107" i="34"/>
  <c r="J151" i="29"/>
  <c r="B7052" i="106" s="1"/>
  <c r="D7052" i="106" s="1"/>
  <c r="E210" i="29"/>
  <c r="B1353" i="106" s="1"/>
  <c r="D1353" i="106" s="1"/>
  <c r="F127" i="34"/>
  <c r="C114" i="29"/>
  <c r="B757" i="106" s="1"/>
  <c r="D757" i="106" s="1"/>
  <c r="B1115" i="106"/>
  <c r="D1115" i="106" s="1"/>
  <c r="K74" i="29"/>
  <c r="C77" i="4"/>
  <c r="B3232" i="106" s="1"/>
  <c r="D3232" i="106" s="1"/>
  <c r="B3229" i="106"/>
  <c r="D3229" i="106" s="1"/>
  <c r="E114" i="29"/>
  <c r="B873" i="106" s="1"/>
  <c r="D873" i="106" s="1"/>
  <c r="L74" i="29"/>
  <c r="L114" i="29" s="1"/>
  <c r="B952" i="106"/>
  <c r="D952" i="106" s="1"/>
  <c r="G114" i="29"/>
  <c r="C109" i="5"/>
  <c r="B5133" i="106"/>
  <c r="D5133" i="106" s="1"/>
  <c r="C132" i="5"/>
  <c r="G21" i="108"/>
  <c r="B2088" i="106"/>
  <c r="D2088" i="106" s="1"/>
  <c r="K102" i="29"/>
  <c r="J114" i="29"/>
  <c r="B7021" i="106" s="1"/>
  <c r="D7021" i="106" s="1"/>
  <c r="B4395" i="106"/>
  <c r="D4395" i="106" s="1"/>
  <c r="C266" i="5"/>
  <c r="B5320" i="106" s="1"/>
  <c r="D5320" i="106" s="1"/>
  <c r="B77" i="106"/>
  <c r="D77" i="106" s="1"/>
  <c r="G12" i="145"/>
  <c r="E19" i="145"/>
  <c r="E21" i="108"/>
  <c r="B1093" i="106"/>
  <c r="D1093" i="106" s="1"/>
  <c r="K33" i="29"/>
  <c r="F94" i="34"/>
  <c r="B5096" i="106"/>
  <c r="D5096" i="106" s="1"/>
  <c r="F95" i="34"/>
  <c r="B1151" i="106"/>
  <c r="D1151" i="106" s="1"/>
  <c r="K112" i="29"/>
  <c r="C122" i="5"/>
  <c r="B4102" i="106"/>
  <c r="D4102" i="106" s="1"/>
  <c r="D17" i="7"/>
  <c r="B4104" i="106" s="1"/>
  <c r="D4104" i="106" s="1"/>
  <c r="B5125" i="106"/>
  <c r="D5125" i="106" s="1"/>
  <c r="C5" i="4"/>
  <c r="B3405" i="106" s="1"/>
  <c r="D3405" i="106" s="1"/>
  <c r="H114" i="29"/>
  <c r="B1054" i="106" s="1"/>
  <c r="D1054" i="106" s="1"/>
  <c r="B5225" i="106"/>
  <c r="D5225" i="106" s="1"/>
  <c r="F132" i="34"/>
  <c r="D114" i="29"/>
  <c r="B815" i="106" s="1"/>
  <c r="D815" i="106" s="1"/>
  <c r="K129" i="29"/>
  <c r="B1281" i="106" s="1"/>
  <c r="D1281" i="106" s="1"/>
  <c r="E151" i="29"/>
  <c r="B1242" i="106" s="1"/>
  <c r="D1242" i="106" s="1"/>
  <c r="H151" i="29"/>
  <c r="B1273" i="106" s="1"/>
  <c r="D1273" i="106" s="1"/>
  <c r="K149" i="29"/>
  <c r="B7048" i="106"/>
  <c r="D7048" i="106" s="1"/>
  <c r="B109" i="106"/>
  <c r="D109" i="106" s="1"/>
  <c r="B3725" i="106"/>
  <c r="D3725" i="106" s="1"/>
  <c r="D13" i="7"/>
  <c r="B3726" i="106" s="1"/>
  <c r="D3726" i="106" s="1"/>
  <c r="D267" i="5"/>
  <c r="F58" i="34"/>
  <c r="B1259" i="106"/>
  <c r="D1259" i="106" s="1"/>
  <c r="B1745" i="106"/>
  <c r="D1745" i="106" s="1"/>
  <c r="D5" i="7"/>
  <c r="B1761" i="106" s="1"/>
  <c r="D1761" i="106" s="1"/>
  <c r="B2093" i="106"/>
  <c r="D2093" i="106" s="1"/>
  <c r="K139" i="29"/>
  <c r="F19" i="145"/>
  <c r="G15" i="145"/>
  <c r="F59" i="34"/>
  <c r="B7051" i="106"/>
  <c r="D7051" i="106" s="1"/>
  <c r="B5334" i="106"/>
  <c r="D5334" i="106" s="1"/>
  <c r="D109" i="5"/>
  <c r="D170" i="5"/>
  <c r="B122" i="106"/>
  <c r="D122" i="106" s="1"/>
  <c r="H174" i="29"/>
  <c r="B1318" i="106" s="1"/>
  <c r="D1318" i="106" s="1"/>
  <c r="B1317" i="106"/>
  <c r="D1317" i="106" s="1"/>
  <c r="B5544" i="106"/>
  <c r="D5544" i="106" s="1"/>
  <c r="E6" i="4"/>
  <c r="B2631" i="106" s="1"/>
  <c r="D2631" i="106" s="1"/>
  <c r="B19" i="7"/>
  <c r="B1759" i="106" s="1"/>
  <c r="D1759" i="106" s="1"/>
  <c r="E267" i="5"/>
  <c r="F60" i="34"/>
  <c r="E15" i="4"/>
  <c r="B5513" i="106"/>
  <c r="D5513" i="106" s="1"/>
  <c r="E109" i="5"/>
  <c r="D6" i="7"/>
  <c r="B1762" i="106" s="1"/>
  <c r="D1762" i="106" s="1"/>
  <c r="B1746" i="106"/>
  <c r="D1746" i="106" s="1"/>
  <c r="K172" i="29"/>
  <c r="B1328" i="106"/>
  <c r="D1328" i="106" s="1"/>
  <c r="B169" i="106"/>
  <c r="D169" i="106" s="1"/>
  <c r="B157" i="106"/>
  <c r="D157" i="106" s="1"/>
  <c r="F109" i="5"/>
  <c r="B1339" i="106"/>
  <c r="D1339" i="106" s="1"/>
  <c r="C210" i="29"/>
  <c r="B1340" i="106" s="1"/>
  <c r="D1340" i="106" s="1"/>
  <c r="B1377" i="106"/>
  <c r="D1377" i="106" s="1"/>
  <c r="E29" i="108"/>
  <c r="G29" i="108"/>
  <c r="H210" i="29"/>
  <c r="B1376" i="106" s="1"/>
  <c r="D1376" i="106" s="1"/>
  <c r="K196" i="29"/>
  <c r="B2837" i="106"/>
  <c r="D2837" i="106" s="1"/>
  <c r="K208" i="29"/>
  <c r="B4157" i="106"/>
  <c r="D4157" i="106" s="1"/>
  <c r="F210" i="29"/>
  <c r="B1359" i="106" s="1"/>
  <c r="D1359" i="106" s="1"/>
  <c r="B1358" i="106"/>
  <c r="D1358" i="106" s="1"/>
  <c r="B1364" i="106"/>
  <c r="D1364" i="106" s="1"/>
  <c r="G210" i="29"/>
  <c r="B3252" i="106"/>
  <c r="D3252" i="106" s="1"/>
  <c r="F77" i="4"/>
  <c r="B3255" i="106" s="1"/>
  <c r="D3255" i="106" s="1"/>
  <c r="F267" i="5"/>
  <c r="B4087" i="106"/>
  <c r="D4087" i="106" s="1"/>
  <c r="K184" i="29"/>
  <c r="B7071" i="106"/>
  <c r="D7071" i="106" s="1"/>
  <c r="F66" i="34"/>
  <c r="D295" i="29"/>
  <c r="B1448" i="106" s="1"/>
  <c r="D1448" i="106" s="1"/>
  <c r="B1446" i="106"/>
  <c r="D1446" i="106" s="1"/>
  <c r="B1515" i="106"/>
  <c r="D1515" i="106" s="1"/>
  <c r="G16" i="4"/>
  <c r="B2611" i="106" s="1"/>
  <c r="D2611" i="106" s="1"/>
  <c r="B5725" i="106"/>
  <c r="D5725" i="106" s="1"/>
  <c r="G109" i="5"/>
  <c r="B3724" i="106"/>
  <c r="D3724" i="106" s="1"/>
  <c r="F73" i="34"/>
  <c r="G15" i="4"/>
  <c r="B6032" i="106" s="1"/>
  <c r="D6032" i="106" s="1"/>
  <c r="G170" i="5"/>
  <c r="B5770" i="106"/>
  <c r="D5770" i="106" s="1"/>
  <c r="B1748" i="106"/>
  <c r="D1748" i="106" s="1"/>
  <c r="D8" i="7"/>
  <c r="B1764" i="106" s="1"/>
  <c r="D1764" i="106" s="1"/>
  <c r="G12" i="4"/>
  <c r="B1474" i="106"/>
  <c r="D1474" i="106" s="1"/>
  <c r="B180" i="106"/>
  <c r="D180" i="106" s="1"/>
  <c r="B3446" i="106"/>
  <c r="D3446" i="106" s="1"/>
  <c r="D16" i="7"/>
  <c r="B3447" i="106" s="1"/>
  <c r="D3447" i="106" s="1"/>
  <c r="B1481" i="106"/>
  <c r="D1481" i="106" s="1"/>
  <c r="K279" i="29"/>
  <c r="H267" i="5"/>
  <c r="B5914" i="106" s="1"/>
  <c r="D5914" i="106" s="1"/>
  <c r="B2102" i="106"/>
  <c r="D2102" i="106" s="1"/>
  <c r="H15" i="4"/>
  <c r="B2660" i="106" s="1"/>
  <c r="D2660" i="106" s="1"/>
  <c r="B203" i="106"/>
  <c r="D203" i="106" s="1"/>
  <c r="B1756" i="106"/>
  <c r="D1756" i="106" s="1"/>
  <c r="D15" i="7"/>
  <c r="B1772" i="106" s="1"/>
  <c r="D1772" i="106" s="1"/>
  <c r="H6" i="4"/>
  <c r="B2656" i="106" s="1"/>
  <c r="D2656" i="106" s="1"/>
  <c r="B5906" i="106"/>
  <c r="D5906" i="106" s="1"/>
  <c r="H7" i="4"/>
  <c r="B2657" i="106" s="1"/>
  <c r="D2657" i="106" s="1"/>
  <c r="K312" i="29"/>
  <c r="B1560" i="106" s="1"/>
  <c r="D1560" i="106" s="1"/>
  <c r="B1559" i="106"/>
  <c r="D1559" i="106" s="1"/>
  <c r="H13" i="4"/>
  <c r="H109" i="5"/>
  <c r="E77" i="4"/>
  <c r="B3274" i="106"/>
  <c r="D3274" i="106" s="1"/>
  <c r="B2888" i="106"/>
  <c r="D2888" i="106" s="1"/>
  <c r="B5918" i="106"/>
  <c r="D5918" i="106" s="1"/>
  <c r="I109" i="5"/>
  <c r="B4216" i="106"/>
  <c r="D4216" i="106" s="1"/>
  <c r="I6" i="4"/>
  <c r="B5011" i="106" s="1"/>
  <c r="D5011" i="106" s="1"/>
  <c r="B1749" i="106"/>
  <c r="D1749" i="106" s="1"/>
  <c r="D10" i="7"/>
  <c r="B1765" i="106" s="1"/>
  <c r="D1765" i="106" s="1"/>
  <c r="B7054" i="106"/>
  <c r="D7054" i="106" s="1"/>
  <c r="J7" i="4"/>
  <c r="B6222" i="106" s="1"/>
  <c r="D6222" i="106" s="1"/>
  <c r="B7215" i="106"/>
  <c r="D7215" i="106" s="1"/>
  <c r="J16" i="4"/>
  <c r="B6226" i="106" s="1"/>
  <c r="D6226" i="106" s="1"/>
  <c r="B6397" i="106"/>
  <c r="D6397" i="106" s="1"/>
  <c r="J6" i="4"/>
  <c r="B6221" i="106" s="1"/>
  <c r="D6221" i="106" s="1"/>
  <c r="B1752" i="106"/>
  <c r="D1752" i="106" s="1"/>
  <c r="D11" i="7"/>
  <c r="B1768" i="106" s="1"/>
  <c r="D1768" i="106" s="1"/>
  <c r="J13" i="4"/>
  <c r="E23" i="108"/>
  <c r="G23" i="108"/>
  <c r="K342" i="29"/>
  <c r="B7207" i="106"/>
  <c r="D7207" i="106" s="1"/>
  <c r="B6301" i="106"/>
  <c r="D6301" i="106" s="1"/>
  <c r="J109" i="5"/>
  <c r="B6124" i="106"/>
  <c r="D6124" i="106" s="1"/>
  <c r="B3318" i="106"/>
  <c r="D3318" i="106" s="1"/>
  <c r="I77" i="4"/>
  <c r="F367" i="29"/>
  <c r="B3643" i="106" s="1"/>
  <c r="D3643" i="106" s="1"/>
  <c r="B3642" i="106"/>
  <c r="D3642" i="106" s="1"/>
  <c r="B3565" i="106"/>
  <c r="D3565" i="106" s="1"/>
  <c r="D367" i="29"/>
  <c r="B3629" i="106" s="1"/>
  <c r="D3629" i="106" s="1"/>
  <c r="B3628" i="106"/>
  <c r="D3628" i="106" s="1"/>
  <c r="K4" i="4"/>
  <c r="K268" i="5"/>
  <c r="B6028" i="106"/>
  <c r="D6028" i="106" s="1"/>
  <c r="K6" i="4"/>
  <c r="B3570" i="106" s="1"/>
  <c r="D3570" i="106" s="1"/>
  <c r="B6014" i="106"/>
  <c r="D6014" i="106" s="1"/>
  <c r="B3656" i="106"/>
  <c r="D3656" i="106" s="1"/>
  <c r="H367" i="29"/>
  <c r="B3660" i="106" s="1"/>
  <c r="D3660" i="106" s="1"/>
  <c r="K352" i="29"/>
  <c r="B3670" i="106"/>
  <c r="D3670" i="106" s="1"/>
  <c r="I367" i="29"/>
  <c r="B7234" i="106"/>
  <c r="D7234" i="106" s="1"/>
  <c r="B3621" i="106"/>
  <c r="D3621" i="106" s="1"/>
  <c r="C367" i="29"/>
  <c r="B3622" i="106" s="1"/>
  <c r="D3622" i="106" s="1"/>
  <c r="B3676" i="106"/>
  <c r="D3676" i="106" s="1"/>
  <c r="K365" i="29"/>
  <c r="B3649" i="106"/>
  <c r="D3649" i="106" s="1"/>
  <c r="G367" i="29"/>
  <c r="B3650" i="106" s="1"/>
  <c r="D3650" i="106" s="1"/>
  <c r="B6022" i="106"/>
  <c r="D6022" i="106" s="1"/>
  <c r="K7" i="4"/>
  <c r="B1769" i="106"/>
  <c r="D1769" i="106" s="1"/>
  <c r="J367" i="29"/>
  <c r="B7245" i="106" s="1"/>
  <c r="D7245" i="106" s="1"/>
  <c r="B7235" i="106"/>
  <c r="D7235" i="106" s="1"/>
  <c r="G7" i="4" l="1"/>
  <c r="B2605" i="106" s="1"/>
  <c r="D2605" i="106" s="1"/>
  <c r="C267" i="5"/>
  <c r="B5326" i="106" s="1"/>
  <c r="D5326" i="106" s="1"/>
  <c r="B5653" i="106"/>
  <c r="D5653" i="106" s="1"/>
  <c r="F55" i="34"/>
  <c r="G19" i="145"/>
  <c r="J20" i="145" s="1"/>
  <c r="B7019" i="106"/>
  <c r="D7019" i="106" s="1"/>
  <c r="C16" i="4"/>
  <c r="B2560" i="106" s="1"/>
  <c r="D2560" i="106" s="1"/>
  <c r="F53" i="34"/>
  <c r="B1145" i="106"/>
  <c r="D1145" i="106" s="1"/>
  <c r="C15" i="4"/>
  <c r="B2559" i="106" s="1"/>
  <c r="D2559" i="106" s="1"/>
  <c r="B5147" i="106"/>
  <c r="D5147" i="106" s="1"/>
  <c r="C169" i="5"/>
  <c r="B5214" i="106" s="1"/>
  <c r="D5214" i="106" s="1"/>
  <c r="F105" i="34"/>
  <c r="F174" i="34" s="1"/>
  <c r="B5121" i="106"/>
  <c r="D5121" i="106" s="1"/>
  <c r="C4" i="4"/>
  <c r="C12" i="4"/>
  <c r="B1108" i="106"/>
  <c r="D1108" i="106" s="1"/>
  <c r="K114" i="29"/>
  <c r="E19" i="108"/>
  <c r="E41" i="108" s="1"/>
  <c r="E44" i="108" s="1"/>
  <c r="E45" i="108" s="1"/>
  <c r="G19" i="108"/>
  <c r="G41" i="108" s="1"/>
  <c r="G44" i="108" s="1"/>
  <c r="G45" i="108" s="1"/>
  <c r="B989" i="106"/>
  <c r="D989" i="106" s="1"/>
  <c r="F54" i="34"/>
  <c r="B1143" i="106"/>
  <c r="D1143" i="106" s="1"/>
  <c r="C13" i="4"/>
  <c r="B2557" i="106" s="1"/>
  <c r="D2557" i="106" s="1"/>
  <c r="B5132" i="106"/>
  <c r="D5132" i="106" s="1"/>
  <c r="D13" i="4"/>
  <c r="B2569" i="106" s="1"/>
  <c r="D2569" i="106" s="1"/>
  <c r="D6" i="4"/>
  <c r="B2566" i="106" s="1"/>
  <c r="D2566" i="106" s="1"/>
  <c r="B5421" i="106"/>
  <c r="D5421" i="106" s="1"/>
  <c r="B5356" i="106"/>
  <c r="D5356" i="106" s="1"/>
  <c r="D4" i="4"/>
  <c r="D268" i="5"/>
  <c r="B1287" i="106"/>
  <c r="D1287" i="106" s="1"/>
  <c r="D16" i="4"/>
  <c r="B2572" i="106" s="1"/>
  <c r="D2572" i="106" s="1"/>
  <c r="D7" i="4"/>
  <c r="B2567" i="106" s="1"/>
  <c r="D2567" i="106" s="1"/>
  <c r="B5507" i="106"/>
  <c r="D5507" i="106" s="1"/>
  <c r="F57" i="34"/>
  <c r="B1282" i="106"/>
  <c r="D1282" i="106" s="1"/>
  <c r="D15" i="4"/>
  <c r="B2571" i="106" s="1"/>
  <c r="D2571" i="106" s="1"/>
  <c r="K151" i="29"/>
  <c r="B2633" i="106"/>
  <c r="D2633" i="106" s="1"/>
  <c r="B4434" i="106"/>
  <c r="D4434" i="106" s="1"/>
  <c r="E7" i="4"/>
  <c r="B4443" i="106" s="1"/>
  <c r="D4443" i="106" s="1"/>
  <c r="K174" i="29"/>
  <c r="E16" i="4"/>
  <c r="B2634" i="106" s="1"/>
  <c r="D2634" i="106" s="1"/>
  <c r="B1331" i="106"/>
  <c r="D1331" i="106" s="1"/>
  <c r="E4" i="4"/>
  <c r="B5527" i="106"/>
  <c r="D5527" i="106" s="1"/>
  <c r="E268" i="5"/>
  <c r="F15" i="4"/>
  <c r="B2598" i="106" s="1"/>
  <c r="D2598" i="106" s="1"/>
  <c r="B1382" i="106"/>
  <c r="D1382" i="106" s="1"/>
  <c r="F63" i="34"/>
  <c r="B1365" i="106"/>
  <c r="D1365" i="106" s="1"/>
  <c r="F65" i="34"/>
  <c r="F13" i="4"/>
  <c r="B1381" i="106"/>
  <c r="D1381" i="106" s="1"/>
  <c r="K210" i="29"/>
  <c r="F4" i="4"/>
  <c r="B5588" i="106"/>
  <c r="D5588" i="106" s="1"/>
  <c r="F268" i="5"/>
  <c r="F7" i="4"/>
  <c r="B2594" i="106" s="1"/>
  <c r="D2594" i="106" s="1"/>
  <c r="B5719" i="106"/>
  <c r="D5719" i="106" s="1"/>
  <c r="F16" i="4"/>
  <c r="B2599" i="106" s="1"/>
  <c r="D2599" i="106" s="1"/>
  <c r="B1387" i="106"/>
  <c r="D1387" i="106" s="1"/>
  <c r="B6024" i="106"/>
  <c r="D6024" i="106" s="1"/>
  <c r="G4" i="4"/>
  <c r="G268" i="5"/>
  <c r="G13" i="4"/>
  <c r="B2608" i="106" s="1"/>
  <c r="D2608" i="106" s="1"/>
  <c r="B1510" i="106"/>
  <c r="D1510" i="106" s="1"/>
  <c r="B2607" i="106"/>
  <c r="D2607" i="106" s="1"/>
  <c r="G6" i="4"/>
  <c r="B2604" i="106" s="1"/>
  <c r="D2604" i="106" s="1"/>
  <c r="B5778" i="106"/>
  <c r="D5778" i="106" s="1"/>
  <c r="K295" i="29"/>
  <c r="B3277" i="106"/>
  <c r="D3277" i="106" s="1"/>
  <c r="B6025" i="106"/>
  <c r="D6025" i="106" s="1"/>
  <c r="H268" i="5"/>
  <c r="H4" i="4"/>
  <c r="B2659" i="106"/>
  <c r="D2659" i="106" s="1"/>
  <c r="H17" i="4"/>
  <c r="D19" i="7"/>
  <c r="B1775" i="106" s="1"/>
  <c r="D1775" i="106" s="1"/>
  <c r="I4" i="4"/>
  <c r="I268" i="5"/>
  <c r="B5946" i="106" s="1"/>
  <c r="D5946" i="106" s="1"/>
  <c r="B6026" i="106"/>
  <c r="D6026" i="106" s="1"/>
  <c r="F13" i="34"/>
  <c r="B7224" i="106"/>
  <c r="D7224" i="106" s="1"/>
  <c r="J4" i="4"/>
  <c r="B6352" i="106"/>
  <c r="D6352" i="106" s="1"/>
  <c r="J268" i="5"/>
  <c r="B7042" i="106"/>
  <c r="D7042" i="106" s="1"/>
  <c r="J17" i="4"/>
  <c r="B3672" i="106"/>
  <c r="D3672" i="106" s="1"/>
  <c r="K367" i="29"/>
  <c r="B3678" i="106" s="1"/>
  <c r="D3678" i="106" s="1"/>
  <c r="K13" i="4"/>
  <c r="B7243" i="106"/>
  <c r="D7243" i="106" s="1"/>
  <c r="K16" i="4"/>
  <c r="B3574" i="106" s="1"/>
  <c r="D3574" i="106" s="1"/>
  <c r="B3718" i="106"/>
  <c r="D3718" i="106" s="1"/>
  <c r="B7244" i="106"/>
  <c r="D7244" i="106" s="1"/>
  <c r="F17" i="11"/>
  <c r="B6023" i="106"/>
  <c r="D6023" i="106" s="1"/>
  <c r="B3319" i="106"/>
  <c r="D3319" i="106" s="1"/>
  <c r="B3569" i="106"/>
  <c r="D3569" i="106" s="1"/>
  <c r="K8" i="4"/>
  <c r="C7" i="4" l="1"/>
  <c r="B2554" i="106" s="1"/>
  <c r="D2554" i="106" s="1"/>
  <c r="K368" i="29"/>
  <c r="B3681" i="106" s="1"/>
  <c r="D3681" i="106" s="1"/>
  <c r="C170" i="5"/>
  <c r="C268" i="5" s="1"/>
  <c r="K115" i="29" s="1"/>
  <c r="B1153" i="106" s="1"/>
  <c r="D1153" i="106" s="1"/>
  <c r="G17" i="4"/>
  <c r="B2556" i="106"/>
  <c r="D2556" i="106" s="1"/>
  <c r="C17" i="4"/>
  <c r="B2551" i="106"/>
  <c r="D2551" i="106" s="1"/>
  <c r="B5223" i="106"/>
  <c r="D5223" i="106" s="1"/>
  <c r="B1152" i="106"/>
  <c r="D1152" i="106" s="1"/>
  <c r="F8" i="34"/>
  <c r="F9" i="34"/>
  <c r="B1288" i="106"/>
  <c r="D1288" i="106" s="1"/>
  <c r="B5508" i="106"/>
  <c r="D5508" i="106" s="1"/>
  <c r="K152" i="29"/>
  <c r="B1289" i="106" s="1"/>
  <c r="D1289" i="106" s="1"/>
  <c r="B2564" i="106"/>
  <c r="D2564" i="106" s="1"/>
  <c r="D8" i="4"/>
  <c r="D17" i="4"/>
  <c r="F10" i="34"/>
  <c r="B1332" i="106"/>
  <c r="D1332" i="106" s="1"/>
  <c r="B140" i="106"/>
  <c r="D140" i="106" s="1"/>
  <c r="E41" i="3"/>
  <c r="B5552" i="106"/>
  <c r="D5552" i="106" s="1"/>
  <c r="K175" i="29"/>
  <c r="B1333" i="106" s="1"/>
  <c r="D1333" i="106" s="1"/>
  <c r="E17" i="4"/>
  <c r="B2630" i="106"/>
  <c r="D2630" i="106" s="1"/>
  <c r="E8" i="4"/>
  <c r="F11" i="34"/>
  <c r="B1388" i="106"/>
  <c r="D1388" i="106" s="1"/>
  <c r="B2596" i="106"/>
  <c r="D2596" i="106" s="1"/>
  <c r="F17" i="4"/>
  <c r="B5720" i="106"/>
  <c r="D5720" i="106" s="1"/>
  <c r="K211" i="29"/>
  <c r="B1389" i="106" s="1"/>
  <c r="D1389" i="106" s="1"/>
  <c r="F76" i="34"/>
  <c r="B2591" i="106"/>
  <c r="D2591" i="106" s="1"/>
  <c r="F8" i="4"/>
  <c r="B2612" i="106"/>
  <c r="D2612" i="106" s="1"/>
  <c r="G19" i="4"/>
  <c r="B4140" i="106" s="1"/>
  <c r="D4140" i="106" s="1"/>
  <c r="K296" i="29"/>
  <c r="B1518" i="106" s="1"/>
  <c r="D1518" i="106" s="1"/>
  <c r="B5870" i="106"/>
  <c r="D5870" i="106" s="1"/>
  <c r="F12" i="34"/>
  <c r="B1517" i="106"/>
  <c r="D1517" i="106" s="1"/>
  <c r="B2603" i="106"/>
  <c r="D2603" i="106" s="1"/>
  <c r="G8" i="4"/>
  <c r="B2661" i="106"/>
  <c r="D2661" i="106" s="1"/>
  <c r="H19" i="4"/>
  <c r="B4141" i="106" s="1"/>
  <c r="D4141" i="106" s="1"/>
  <c r="B2655" i="106"/>
  <c r="D2655" i="106" s="1"/>
  <c r="H8" i="4"/>
  <c r="B5915" i="106"/>
  <c r="D5915" i="106" s="1"/>
  <c r="K313" i="29"/>
  <c r="B1561" i="106" s="1"/>
  <c r="D1561" i="106" s="1"/>
  <c r="B2912" i="106"/>
  <c r="D2912" i="106" s="1"/>
  <c r="I41" i="3"/>
  <c r="B3225" i="106"/>
  <c r="D3225" i="106" s="1"/>
  <c r="I8" i="4"/>
  <c r="B6215" i="106"/>
  <c r="D6215" i="106" s="1"/>
  <c r="J41" i="3"/>
  <c r="B6227" i="106"/>
  <c r="D6227" i="106" s="1"/>
  <c r="J19" i="4"/>
  <c r="B6229" i="106" s="1"/>
  <c r="D6229" i="106" s="1"/>
  <c r="B7055" i="106"/>
  <c r="D7055" i="106" s="1"/>
  <c r="K343" i="29"/>
  <c r="B7225" i="106" s="1"/>
  <c r="D7225" i="106" s="1"/>
  <c r="B6220" i="106"/>
  <c r="D6220" i="106" s="1"/>
  <c r="J8" i="4"/>
  <c r="K10" i="4"/>
  <c r="B4130" i="106" s="1"/>
  <c r="D4130" i="106" s="1"/>
  <c r="B3571" i="106"/>
  <c r="D3571" i="106" s="1"/>
  <c r="B3572" i="106"/>
  <c r="D3572" i="106" s="1"/>
  <c r="K17" i="4"/>
  <c r="I17" i="11"/>
  <c r="B7624" i="106"/>
  <c r="D7624" i="106" s="1"/>
  <c r="B5327" i="106" l="1"/>
  <c r="D5327" i="106" s="1"/>
  <c r="C6" i="4"/>
  <c r="B2553" i="106" s="1"/>
  <c r="D2553" i="106" s="1"/>
  <c r="D10" i="171"/>
  <c r="D19" i="171" s="1"/>
  <c r="D32" i="171" s="1"/>
  <c r="D49" i="171" s="1"/>
  <c r="C8" i="4"/>
  <c r="D16" i="37" s="1"/>
  <c r="B9" i="146"/>
  <c r="B2561" i="106"/>
  <c r="D2561" i="106" s="1"/>
  <c r="C19" i="4"/>
  <c r="B4136" i="106" s="1"/>
  <c r="D4136" i="106" s="1"/>
  <c r="D19" i="4"/>
  <c r="B4137" i="106" s="1"/>
  <c r="D4137" i="106" s="1"/>
  <c r="C9" i="146"/>
  <c r="B2573" i="106"/>
  <c r="D2573" i="106" s="1"/>
  <c r="C8" i="146"/>
  <c r="D10" i="4"/>
  <c r="B4123" i="106" s="1"/>
  <c r="D4123" i="106" s="1"/>
  <c r="B2568" i="106"/>
  <c r="D2568" i="106" s="1"/>
  <c r="D20" i="4"/>
  <c r="B2632" i="106"/>
  <c r="D2632" i="106" s="1"/>
  <c r="E10" i="4"/>
  <c r="B4124" i="106" s="1"/>
  <c r="D4124" i="106" s="1"/>
  <c r="E20" i="4"/>
  <c r="F14" i="34"/>
  <c r="F77" i="34" s="1"/>
  <c r="E19" i="4"/>
  <c r="B4138" i="106" s="1"/>
  <c r="D4138" i="106" s="1"/>
  <c r="B2635" i="106"/>
  <c r="D2635" i="106" s="1"/>
  <c r="B141" i="106"/>
  <c r="D141" i="106" s="1"/>
  <c r="D46" i="36"/>
  <c r="D9" i="146"/>
  <c r="F19" i="4"/>
  <c r="B4139" i="106" s="1"/>
  <c r="D4139" i="106" s="1"/>
  <c r="B2600" i="106"/>
  <c r="D2600" i="106" s="1"/>
  <c r="F16" i="37"/>
  <c r="H17" i="118"/>
  <c r="H25" i="118" s="1"/>
  <c r="K24" i="118" s="1"/>
  <c r="O23" i="118" s="1"/>
  <c r="O25" i="118" s="1"/>
  <c r="F10" i="4"/>
  <c r="B4125" i="106" s="1"/>
  <c r="D4125" i="106" s="1"/>
  <c r="D8" i="146"/>
  <c r="B2595" i="106"/>
  <c r="D2595" i="106" s="1"/>
  <c r="F20" i="4"/>
  <c r="B189" i="106"/>
  <c r="D189" i="106" s="1"/>
  <c r="G41" i="3"/>
  <c r="G20" i="4"/>
  <c r="B2606" i="106"/>
  <c r="D2606" i="106" s="1"/>
  <c r="G10" i="4"/>
  <c r="B4126" i="106" s="1"/>
  <c r="D4126" i="106" s="1"/>
  <c r="B2658" i="106"/>
  <c r="D2658" i="106" s="1"/>
  <c r="H10" i="4"/>
  <c r="B4127" i="106" s="1"/>
  <c r="D4127" i="106" s="1"/>
  <c r="H20" i="4"/>
  <c r="I10" i="4"/>
  <c r="B4128" i="106" s="1"/>
  <c r="D4128" i="106" s="1"/>
  <c r="B3226" i="106"/>
  <c r="D3226" i="106" s="1"/>
  <c r="E8" i="146"/>
  <c r="I20" i="4"/>
  <c r="H18" i="118"/>
  <c r="B2913" i="106"/>
  <c r="D2913" i="106" s="1"/>
  <c r="D50" i="36"/>
  <c r="B6216" i="106"/>
  <c r="D6216" i="106" s="1"/>
  <c r="D51" i="36"/>
  <c r="J20" i="4"/>
  <c r="J10" i="4"/>
  <c r="B6225" i="106" s="1"/>
  <c r="D6225" i="106" s="1"/>
  <c r="B6223" i="106"/>
  <c r="D6223" i="106" s="1"/>
  <c r="I18" i="11"/>
  <c r="B7625" i="106"/>
  <c r="D7625" i="106" s="1"/>
  <c r="B3575" i="106"/>
  <c r="D3575" i="106" s="1"/>
  <c r="K19" i="4"/>
  <c r="B4144" i="106" s="1"/>
  <c r="D4144" i="106" s="1"/>
  <c r="K20" i="4"/>
  <c r="F175" i="34" l="1"/>
  <c r="F79" i="34"/>
  <c r="B8" i="146"/>
  <c r="B10" i="146" s="1"/>
  <c r="B2555" i="106"/>
  <c r="D2555" i="106" s="1"/>
  <c r="C20" i="4"/>
  <c r="C10" i="4"/>
  <c r="B4122" i="106" s="1"/>
  <c r="D4122" i="106" s="1"/>
  <c r="H13" i="118"/>
  <c r="C10" i="146"/>
  <c r="H16" i="37"/>
  <c r="B2574" i="106"/>
  <c r="D2574" i="106" s="1"/>
  <c r="D78" i="4"/>
  <c r="B123" i="106"/>
  <c r="D123" i="106" s="1"/>
  <c r="D41" i="3"/>
  <c r="B2636" i="106"/>
  <c r="D2636" i="106" s="1"/>
  <c r="E78" i="4"/>
  <c r="B282" i="106"/>
  <c r="D282" i="106" s="1"/>
  <c r="N23" i="3"/>
  <c r="K17" i="118"/>
  <c r="J20" i="118" s="1"/>
  <c r="F78" i="4"/>
  <c r="B2601" i="106"/>
  <c r="D2601" i="106" s="1"/>
  <c r="D10" i="146"/>
  <c r="F9" i="146"/>
  <c r="G78" i="4"/>
  <c r="B2613" i="106"/>
  <c r="D2613" i="106" s="1"/>
  <c r="B190" i="106"/>
  <c r="D190" i="106" s="1"/>
  <c r="D48" i="36"/>
  <c r="B2662" i="106"/>
  <c r="D2662" i="106" s="1"/>
  <c r="H78" i="4"/>
  <c r="B212" i="106"/>
  <c r="D212" i="106" s="1"/>
  <c r="H41" i="3"/>
  <c r="B3227" i="106"/>
  <c r="D3227" i="106" s="1"/>
  <c r="I78" i="4"/>
  <c r="E10" i="146"/>
  <c r="B6230" i="106"/>
  <c r="D6230" i="106" s="1"/>
  <c r="J78" i="4"/>
  <c r="K78" i="4"/>
  <c r="B3576" i="106"/>
  <c r="D3576" i="106" s="1"/>
  <c r="B3567" i="106"/>
  <c r="D3567" i="106" s="1"/>
  <c r="K41" i="3"/>
  <c r="B7631" i="106"/>
  <c r="D7631" i="106" s="1"/>
  <c r="F176" i="34"/>
  <c r="F177" i="34" s="1"/>
  <c r="F179" i="34" s="1"/>
  <c r="D76" i="36" l="1"/>
  <c r="F8" i="146"/>
  <c r="B2562" i="106"/>
  <c r="D2562" i="106" s="1"/>
  <c r="C78" i="4"/>
  <c r="B92" i="106"/>
  <c r="D92" i="106" s="1"/>
  <c r="C41" i="3"/>
  <c r="O16" i="118"/>
  <c r="O17" i="118" s="1"/>
  <c r="O20" i="118" s="1"/>
  <c r="F10" i="146"/>
  <c r="B124" i="106"/>
  <c r="D124" i="106" s="1"/>
  <c r="D45" i="36"/>
  <c r="D81" i="4"/>
  <c r="B3239" i="106"/>
  <c r="D3239" i="106" s="1"/>
  <c r="K20" i="118"/>
  <c r="D55" i="36"/>
  <c r="B284" i="106"/>
  <c r="D284" i="106" s="1"/>
  <c r="E81" i="4"/>
  <c r="B3278" i="106"/>
  <c r="D3278" i="106" s="1"/>
  <c r="B170" i="106"/>
  <c r="D170" i="106" s="1"/>
  <c r="F41" i="3"/>
  <c r="F81" i="4"/>
  <c r="B3256" i="106"/>
  <c r="D3256" i="106" s="1"/>
  <c r="B3262" i="106"/>
  <c r="D3262" i="106" s="1"/>
  <c r="G81" i="4"/>
  <c r="B213" i="106"/>
  <c r="D213" i="106" s="1"/>
  <c r="D49" i="36"/>
  <c r="B3300" i="106"/>
  <c r="D3300" i="106" s="1"/>
  <c r="H81" i="4"/>
  <c r="B3320" i="106"/>
  <c r="D3320" i="106" s="1"/>
  <c r="I81" i="4"/>
  <c r="J81" i="4"/>
  <c r="B6263" i="106"/>
  <c r="D6263" i="106" s="1"/>
  <c r="B3568" i="106"/>
  <c r="D3568" i="106" s="1"/>
  <c r="D52" i="36"/>
  <c r="B3588" i="106"/>
  <c r="D3588" i="106" s="1"/>
  <c r="K81" i="4"/>
  <c r="B93" i="106" l="1"/>
  <c r="D93" i="106" s="1"/>
  <c r="D44" i="36"/>
  <c r="B3233" i="106"/>
  <c r="D3233" i="106" s="1"/>
  <c r="C81" i="4"/>
  <c r="J16" i="37" s="1"/>
  <c r="B4269" i="106" s="1"/>
  <c r="D4269" i="106" s="1"/>
  <c r="C11" i="146"/>
  <c r="D82" i="4"/>
  <c r="B1644" i="106"/>
  <c r="D1644" i="106" s="1"/>
  <c r="D58" i="36"/>
  <c r="B1658" i="106"/>
  <c r="D1658" i="106" s="1"/>
  <c r="E82" i="4"/>
  <c r="D59" i="36"/>
  <c r="B1672" i="106"/>
  <c r="D1672" i="106" s="1"/>
  <c r="D11" i="146"/>
  <c r="F82" i="4"/>
  <c r="B171" i="106"/>
  <c r="D171" i="106" s="1"/>
  <c r="D47" i="36"/>
  <c r="D60" i="36"/>
  <c r="G82" i="4"/>
  <c r="B1686" i="106"/>
  <c r="D1686" i="106" s="1"/>
  <c r="D61" i="36"/>
  <c r="B1700" i="106"/>
  <c r="D1700" i="106" s="1"/>
  <c r="H82" i="4"/>
  <c r="D62" i="36"/>
  <c r="D63" i="36"/>
  <c r="B3323" i="106"/>
  <c r="D3323" i="106" s="1"/>
  <c r="E11" i="146"/>
  <c r="I82" i="4"/>
  <c r="J82" i="4"/>
  <c r="B6266" i="106"/>
  <c r="D6266" i="106" s="1"/>
  <c r="D64" i="36"/>
  <c r="H12" i="118"/>
  <c r="K12" i="118" s="1"/>
  <c r="O11" i="118" s="1"/>
  <c r="O13" i="118" s="1"/>
  <c r="O35" i="118" s="1"/>
  <c r="O37" i="118" s="1"/>
  <c r="B3591" i="106"/>
  <c r="D3591" i="106" s="1"/>
  <c r="K82" i="4"/>
  <c r="D65" i="36"/>
  <c r="B11" i="146" l="1"/>
  <c r="F11" i="146" s="1"/>
  <c r="C12" i="146" s="1"/>
  <c r="C82" i="4"/>
  <c r="B1630" i="106"/>
  <c r="D1630" i="106" s="1"/>
  <c r="D57" i="36"/>
  <c r="B6268" i="106"/>
  <c r="D6268" i="106" s="1"/>
  <c r="D83" i="4"/>
  <c r="B6277" i="106" s="1"/>
  <c r="D6277" i="106" s="1"/>
  <c r="B6269" i="106"/>
  <c r="D6269" i="106" s="1"/>
  <c r="E83" i="4"/>
  <c r="B6278" i="106" s="1"/>
  <c r="D6278" i="106" s="1"/>
  <c r="B6270" i="106"/>
  <c r="D6270" i="106" s="1"/>
  <c r="F83" i="4"/>
  <c r="B6279" i="106" s="1"/>
  <c r="D6279" i="106" s="1"/>
  <c r="B6271" i="106"/>
  <c r="D6271" i="106" s="1"/>
  <c r="G83" i="4"/>
  <c r="B6280" i="106" s="1"/>
  <c r="D6280" i="106" s="1"/>
  <c r="H83" i="4"/>
  <c r="B6281" i="106" s="1"/>
  <c r="D6281" i="106" s="1"/>
  <c r="B6272" i="106"/>
  <c r="D6272" i="106" s="1"/>
  <c r="I83" i="4"/>
  <c r="B6282" i="106" s="1"/>
  <c r="D6282" i="106" s="1"/>
  <c r="B6273" i="106"/>
  <c r="D6273" i="106" s="1"/>
  <c r="J83" i="4"/>
  <c r="B6283" i="106" s="1"/>
  <c r="D6283" i="106" s="1"/>
  <c r="B6274" i="106"/>
  <c r="D6274" i="106" s="1"/>
  <c r="B6275" i="106"/>
  <c r="D6275" i="106" s="1"/>
  <c r="K83" i="4"/>
  <c r="B6284" i="106" s="1"/>
  <c r="D6284" i="106" s="1"/>
  <c r="D29" i="36" l="1"/>
  <c r="J24" i="24" s="1"/>
  <c r="C83" i="4"/>
  <c r="B6276" i="106" s="1"/>
  <c r="D6276" i="106" s="1"/>
  <c r="B6267" i="106"/>
  <c r="D6267" i="106" s="1"/>
  <c r="O142" i="183" l="1"/>
  <c r="O135" i="1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<sst xmlns="http://schemas.openxmlformats.org/spreadsheetml/2006/main" count="5523" uniqueCount="2325">
  <si>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</si>
  <si>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</si>
  <si>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</si>
  <si>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</si>
  <si>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</si>
  <si>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</si>
  <si>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</si>
  <si>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</si>
  <si>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</si>
  <si>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</si>
  <si>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</si>
  <si>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</si>
  <si>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</si>
  <si>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</si>
  <si>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</si>
  <si>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</si>
  <si>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</si>
  <si>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</si>
  <si>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</si>
  <si>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</si>
  <si>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</si>
  <si>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</si>
  <si>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</si>
  <si>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</si>
  <si>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</si>
  <si>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</si>
  <si>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</si>
  <si>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</si>
  <si>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</si>
  <si>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</si>
  <si>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</si>
  <si>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</si>
  <si>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</si>
  <si>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</si>
  <si>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</si>
  <si>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</si>
  <si>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</si>
  <si>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</si>
  <si>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</si>
  <si>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</si>
  <si>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</si>
  <si>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</si>
  <si>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</si>
  <si>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</si>
  <si>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</si>
  <si>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</si>
  <si>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</si>
  <si>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</si>
  <si>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</si>
  <si>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</si>
  <si>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</si>
  <si>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</si>
  <si>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</si>
  <si>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</si>
  <si>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</si>
  <si>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</si>
  <si>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</si>
  <si>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</si>
  <si>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</si>
  <si>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</si>
  <si>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</si>
  <si>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</si>
  <si>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</si>
  <si>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</si>
  <si>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</si>
  <si>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</si>
  <si>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</si>
  <si>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</si>
  <si>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</si>
  <si>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</si>
  <si>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</si>
  <si>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</si>
  <si>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</si>
  <si>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</si>
  <si>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</si>
  <si>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</si>
  <si>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</si>
  <si>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</si>
  <si>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</si>
  <si>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</si>
  <si>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</si>
  <si>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</si>
  <si>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</si>
  <si>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</si>
  <si>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</si>
  <si>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</si>
  <si>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</si>
  <si>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</si>
  <si>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</si>
  <si>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</si>
  <si>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</si>
  <si>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</si>
  <si>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</si>
  <si>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</si>
  <si>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</si>
  <si>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</si>
  <si>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</si>
  <si>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</si>
  <si>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</si>
  <si>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</si>
  <si>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</si>
  <si>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</si>
  <si>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</si>
  <si>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</si>
  <si>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</si>
  <si>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</si>
  <si>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</si>
  <si>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</si>
  <si>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</si>
  <si>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</si>
  <si>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</si>
  <si>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</si>
  <si>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</si>
  <si>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</si>
  <si>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</si>
  <si>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</si>
  <si>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</si>
  <si>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</si>
  <si>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</si>
  <si>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</si>
  <si>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</si>
  <si>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</si>
  <si>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</si>
  <si>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</si>
  <si>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</si>
  <si>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</si>
  <si>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</si>
  <si>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</si>
  <si>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</si>
  <si>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</si>
  <si>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</si>
  <si>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</si>
  <si>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</si>
  <si>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</si>
  <si>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</si>
  <si>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</si>
  <si>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</si>
  <si>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</si>
  <si>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</si>
  <si>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</si>
  <si>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</si>
  <si>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</si>
  <si>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</si>
  <si>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</si>
  <si>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</si>
  <si>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</si>
  <si>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</si>
  <si>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</si>
  <si>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</si>
  <si>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</si>
  <si>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</si>
  <si>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</si>
  <si>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</si>
  <si>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</si>
  <si>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</si>
  <si>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</si>
  <si>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</si>
  <si>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</si>
  <si>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</si>
  <si>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</si>
  <si>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</si>
  <si>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</si>
  <si>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</si>
  <si>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</si>
  <si>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</si>
  <si>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</si>
  <si>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</si>
  <si>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</si>
  <si>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</si>
  <si>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</si>
  <si>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</si>
  <si>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</si>
  <si>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</si>
  <si>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</si>
  <si>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</si>
  <si>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</si>
  <si>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</si>
  <si>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</si>
  <si>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</si>
  <si>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</si>
  <si>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</si>
  <si>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</si>
  <si>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</si>
  <si>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</si>
  <si>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</si>
  <si>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</si>
  <si>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</si>
  <si>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</si>
  <si>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</si>
  <si>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</si>
  <si>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</si>
  <si>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</si>
  <si>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</si>
  <si>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</si>
  <si>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</si>
  <si>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</si>
  <si>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</si>
  <si>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</si>
  <si>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</si>
  <si>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</si>
  <si>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</si>
  <si>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</si>
  <si>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</si>
  <si>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</si>
  <si>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</si>
  <si>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</si>
  <si>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</si>
  <si>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</si>
  <si>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</si>
  <si>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</si>
  <si>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</si>
  <si>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</si>
  <si>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</si>
  <si>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</si>
  <si>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</si>
  <si>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</si>
  <si>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</si>
  <si>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</si>
  <si>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</si>
  <si>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</si>
  <si>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</si>
  <si>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</si>
  <si>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</si>
  <si>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</si>
  <si>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</si>
  <si>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</si>
  <si>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</si>
  <si>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</si>
  <si>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</si>
  <si>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</si>
  <si>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</si>
  <si>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</si>
  <si>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</si>
  <si>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</si>
  <si>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</si>
  <si>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</si>
  <si>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</si>
  <si>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</si>
  <si>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</si>
  <si>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</si>
  <si>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</si>
  <si>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</si>
  <si>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</si>
  <si>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</si>
  <si>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</si>
  <si>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</si>
  <si>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</si>
  <si>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</si>
  <si>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</si>
  <si>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</si>
  <si>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</si>
  <si>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</si>
  <si>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</si>
  <si>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</si>
  <si>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</si>
  <si>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</si>
  <si>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</si>
  <si>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</si>
  <si>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</si>
  <si>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</si>
  <si>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</si>
  <si>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</si>
  <si>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</si>
  <si>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</si>
  <si>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</si>
  <si>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</si>
  <si>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</si>
  <si>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</si>
  <si>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</si>
  <si>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</si>
  <si>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</si>
  <si>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</si>
  <si>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</si>
  <si>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</si>
  <si>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</si>
  <si>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</si>
  <si>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</si>
  <si>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</si>
  <si>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</si>
  <si>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</si>
  <si>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</si>
  <si>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</si>
  <si>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</si>
  <si>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</si>
  <si>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</si>
  <si>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</si>
  <si>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</si>
  <si>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</si>
  <si>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</si>
  <si>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</si>
  <si>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</si>
  <si>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</si>
  <si>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</si>
  <si>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</si>
  <si>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</si>
  <si>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</si>
  <si>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</si>
  <si>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</si>
  <si>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</si>
  <si>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</si>
  <si>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</si>
  <si>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</si>
  <si>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</si>
  <si>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</si>
  <si>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</si>
  <si>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</si>
  <si>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</si>
  <si>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</si>
  <si>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</si>
  <si>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</si>
  <si>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</si>
  <si>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</si>
  <si>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</si>
  <si>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</si>
  <si>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</si>
  <si>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</si>
  <si>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</si>
  <si>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</si>
  <si>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</si>
  <si>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</si>
  <si>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</si>
  <si>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</si>
  <si>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</si>
  <si>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</si>
  <si>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</si>
  <si>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</si>
  <si>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</si>
  <si>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</si>
  <si>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</si>
  <si>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</si>
  <si>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</si>
  <si>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</si>
  <si>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</si>
  <si>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</si>
  <si>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</si>
  <si>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</si>
  <si>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</si>
  <si>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</si>
  <si>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</si>
  <si>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</si>
  <si>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</si>
  <si>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</si>
  <si>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</si>
  <si>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</si>
  <si>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</si>
  <si>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</si>
  <si>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</si>
  <si>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</si>
  <si>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</si>
  <si>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</si>
  <si>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</si>
  <si>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</si>
  <si>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</si>
  <si>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</si>
  <si>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</si>
  <si>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</si>
  <si>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</si>
  <si>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</si>
  <si>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</si>
  <si>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</si>
  <si>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</si>
  <si>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</si>
  <si>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</si>
  <si>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</si>
  <si>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</si>
  <si>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</si>
  <si>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</si>
  <si>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</si>
  <si>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</si>
  <si>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</si>
  <si>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</si>
  <si>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</si>
  <si>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</si>
  <si>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</si>
  <si>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</si>
  <si>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</si>
  <si>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</si>
  <si>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</si>
  <si>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</si>
  <si>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</si>
  <si>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</si>
  <si>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</si>
  <si>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</si>
  <si>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</si>
  <si>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</si>
  <si>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</si>
  <si>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</si>
  <si>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</si>
  <si>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</si>
  <si>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</si>
  <si>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</si>
  <si>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</si>
  <si>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</si>
  <si>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</si>
  <si>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</si>
  <si>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</si>
  <si>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</si>
  <si>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</si>
  <si>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</si>
  <si>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</si>
  <si>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</si>
  <si>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</si>
  <si>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</si>
  <si>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</si>
  <si>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</si>
  <si>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</si>
  <si>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</si>
  <si>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</si>
  <si>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</si>
  <si>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</si>
  <si>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</si>
  <si>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</si>
  <si>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</si>
  <si>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</si>
  <si>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</si>
  <si>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</si>
  <si>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</si>
  <si>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</si>
  <si>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</si>
  <si>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</si>
  <si>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</si>
  <si>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</si>
  <si>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</si>
  <si>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</si>
  <si>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</si>
  <si>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</si>
  <si>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</si>
  <si>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</si>
  <si>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</si>
  <si>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</si>
  <si>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</si>
  <si>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</si>
  <si>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</si>
  <si>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</si>
  <si>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</si>
  <si>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</si>
  <si>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</si>
  <si>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</si>
  <si>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</si>
  <si>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</si>
  <si>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</si>
  <si>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</si>
  <si>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</si>
  <si>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</si>
  <si>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</si>
  <si>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</si>
  <si>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</si>
  <si>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</si>
  <si>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</si>
  <si>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</si>
  <si>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</si>
  <si>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</si>
  <si>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</si>
  <si>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</si>
  <si>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</si>
  <si>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</si>
  <si>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</si>
  <si>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</si>
  <si>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</si>
  <si>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</si>
  <si>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</si>
  <si>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</si>
  <si>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</si>
  <si>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</si>
  <si>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</si>
  <si>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</si>
  <si>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</si>
  <si>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</si>
  <si>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</si>
  <si>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</si>
  <si>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</si>
  <si>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</si>
  <si>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</si>
  <si>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</si>
  <si>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</si>
  <si>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</si>
  <si>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</si>
  <si>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</si>
  <si>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</si>
  <si>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</si>
  <si>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</si>
  <si>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</si>
  <si>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</si>
  <si>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</si>
  <si>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</si>
  <si>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</si>
  <si>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</si>
  <si>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</si>
  <si>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</si>
  <si>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</si>
  <si>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</si>
  <si>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</si>
  <si>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</si>
  <si>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</si>
  <si>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</si>
  <si>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</si>
  <si>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</si>
  <si>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</si>
  <si>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</si>
  <si>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</si>
  <si>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</si>
  <si>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</si>
  <si>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</si>
  <si>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</si>
  <si>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</si>
  <si>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</si>
  <si>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</si>
  <si>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</si>
  <si>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</si>
  <si>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</si>
  <si>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</si>
  <si>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</si>
  <si>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</si>
  <si>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</si>
  <si>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</si>
  <si>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</si>
  <si>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</si>
  <si>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</si>
  <si>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</si>
  <si>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</si>
  <si>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</si>
  <si>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</si>
  <si>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</si>
  <si>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</si>
  <si>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</si>
  <si>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</si>
  <si>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</si>
  <si>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</si>
  <si>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</si>
  <si>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</si>
  <si>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</si>
  <si>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</si>
  <si>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</si>
  <si>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</si>
  <si>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</si>
  <si>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</si>
  <si>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</si>
  <si>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</si>
  <si>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</si>
  <si>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</si>
  <si>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</si>
  <si>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</si>
  <si>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</si>
  <si>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</si>
  <si>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</si>
  <si>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</si>
  <si>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</si>
  <si>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</si>
  <si>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</si>
  <si>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</si>
  <si>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</si>
  <si>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</si>
  <si>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</si>
  <si>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</si>
  <si>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</si>
  <si>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</si>
  <si>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</si>
  <si>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</si>
  <si>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</si>
  <si>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</si>
  <si>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</si>
  <si>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</si>
  <si>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</si>
  <si>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</si>
  <si>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</si>
  <si>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</si>
  <si>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</si>
  <si>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</si>
  <si>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</si>
  <si>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</si>
  <si>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</si>
  <si>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</si>
  <si>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</si>
  <si>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</si>
  <si>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</si>
  <si>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</si>
  <si>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</si>
  <si>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</si>
  <si>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</si>
  <si>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</si>
  <si>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</si>
  <si>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</si>
  <si>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</si>
  <si>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</si>
  <si>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</si>
  <si>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</si>
  <si>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</si>
  <si>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</si>
  <si>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</si>
  <si>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</si>
  <si>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</si>
  <si>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</si>
  <si>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</si>
  <si>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</si>
  <si>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</si>
  <si>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</si>
  <si>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</si>
  <si>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</si>
  <si>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</si>
  <si>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</si>
  <si>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</si>
  <si>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</si>
  <si>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</si>
  <si>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</si>
  <si>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</si>
  <si>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</si>
  <si>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</si>
  <si>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</si>
  <si>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</si>
  <si>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</si>
  <si>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</si>
  <si>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</si>
  <si>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</si>
  <si>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</si>
  <si>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</si>
  <si>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</si>
  <si>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</si>
  <si>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</si>
  <si>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</si>
  <si>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</si>
  <si>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</si>
  <si>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</si>
  <si>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</si>
  <si>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</si>
  <si>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</si>
  <si>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</si>
  <si>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</si>
  <si>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</si>
  <si>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</si>
  <si>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</si>
  <si>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</si>
  <si>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</si>
  <si>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</si>
  <si>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</si>
  <si>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</si>
  <si>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</si>
  <si>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</si>
  <si>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</si>
  <si>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</si>
  <si>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</si>
  <si>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</si>
  <si>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</si>
  <si>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</si>
  <si>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</si>
  <si>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</si>
  <si>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</si>
  <si>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</si>
  <si>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</si>
  <si>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</si>
  <si>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</si>
  <si>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</si>
  <si>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</si>
  <si>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</si>
  <si>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</si>
  <si>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</si>
  <si>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</si>
  <si>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</si>
  <si>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</si>
  <si>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</si>
  <si>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</si>
  <si>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</si>
  <si>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</si>
  <si>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</si>
  <si>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</si>
  <si>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</si>
  <si>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</si>
  <si>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</si>
  <si>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</si>
  <si>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</si>
  <si>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</si>
  <si>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</si>
  <si>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</si>
  <si>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</si>
  <si>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</si>
  <si>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</si>
  <si>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</si>
  <si>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</si>
  <si>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</si>
  <si>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</si>
  <si>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</si>
  <si>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</si>
  <si>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</si>
  <si>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</si>
  <si>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</si>
  <si>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</si>
  <si>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</si>
  <si>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</si>
  <si>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</si>
  <si>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</si>
  <si>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</si>
  <si>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</si>
  <si>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</si>
  <si>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</si>
  <si>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</si>
  <si>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</si>
  <si>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</si>
  <si>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</si>
  <si>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</si>
  <si>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</si>
  <si>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</si>
  <si>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</si>
  <si>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</si>
  <si>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</si>
  <si>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</si>
  <si>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</si>
  <si>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</si>
  <si>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</si>
  <si>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</si>
  <si>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</si>
  <si>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</si>
  <si>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</si>
  <si>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</si>
  <si>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</si>
  <si>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</si>
  <si>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</si>
  <si>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</si>
  <si>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</si>
  <si>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</si>
  <si>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</si>
  <si>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</si>
  <si>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</si>
  <si>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</si>
  <si>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</si>
  <si>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</si>
  <si>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</si>
  <si>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</si>
  <si>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</si>
  <si>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</si>
  <si>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</si>
  <si>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</si>
  <si>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</si>
  <si>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</si>
  <si>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</si>
  <si>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</si>
  <si>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</si>
  <si>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</si>
  <si>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</si>
  <si>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</si>
  <si>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</si>
  <si>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</si>
  <si>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</si>
  <si>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</si>
  <si>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</si>
  <si>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</si>
  <si>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</si>
  <si>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</si>
  <si>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</si>
  <si>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</si>
  <si>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</si>
  <si>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</si>
  <si>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</si>
  <si>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</si>
  <si>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</si>
  <si>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</si>
  <si>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</si>
  <si>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</si>
  <si>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</si>
  <si>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</si>
  <si>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</si>
  <si>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</si>
  <si>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</si>
  <si>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</si>
  <si>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</si>
  <si>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</si>
  <si>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</si>
  <si>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</si>
  <si>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</si>
  <si>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</si>
  <si>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</si>
  <si>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</si>
  <si>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</si>
  <si>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</si>
  <si>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</si>
  <si>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</si>
  <si>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</si>
  <si>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</si>
  <si>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</si>
  <si>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</si>
  <si>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</si>
  <si>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</si>
  <si>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</si>
  <si>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</si>
  <si>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</si>
  <si>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</si>
  <si>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</si>
  <si>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</si>
  <si>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</si>
  <si>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</si>
  <si>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</si>
  <si>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</si>
  <si>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</si>
  <si>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</si>
  <si>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</si>
  <si>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</si>
  <si>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</si>
  <si>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</si>
  <si>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</si>
  <si>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</si>
  <si>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</si>
  <si>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</si>
  <si>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</si>
  <si>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</si>
  <si>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</si>
  <si>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</si>
  <si>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</si>
  <si>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</si>
  <si>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</si>
  <si>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</si>
  <si>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</si>
  <si>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</si>
  <si>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</si>
  <si>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</si>
  <si>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</si>
  <si>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</si>
  <si>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</si>
  <si>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</si>
  <si>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</si>
  <si>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</si>
  <si>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</si>
  <si>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</si>
  <si>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</si>
  <si>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</si>
  <si>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</si>
  <si>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</si>
  <si>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</si>
  <si>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</si>
  <si>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</si>
  <si>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</si>
  <si>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</si>
  <si>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</si>
  <si>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</si>
  <si>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</si>
  <si>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</si>
  <si>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</si>
  <si>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</si>
  <si>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</si>
  <si>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</si>
  <si>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</si>
  <si>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</si>
  <si>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</si>
  <si>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</si>
  <si>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</si>
  <si>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</si>
  <si>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</si>
  <si>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</si>
  <si>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</si>
  <si>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</si>
  <si>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</si>
  <si>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</si>
  <si>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</si>
  <si>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</si>
  <si>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</si>
  <si>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</si>
  <si>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</si>
  <si>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</si>
  <si>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</si>
  <si>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</si>
  <si>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</si>
  <si>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</si>
  <si>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</si>
  <si>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</si>
  <si>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</si>
  <si>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</si>
  <si>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</si>
  <si>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</si>
  <si>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</si>
  <si>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</si>
  <si>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</si>
  <si>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</si>
  <si>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</si>
  <si>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</si>
  <si>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</si>
  <si>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</si>
  <si>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</si>
  <si>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</si>
  <si>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</si>
  <si>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</si>
  <si>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</si>
  <si>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</si>
  <si>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</si>
  <si>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</si>
  <si>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</si>
  <si>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</si>
  <si>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</si>
  <si>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</si>
  <si>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</si>
  <si>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</si>
  <si>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</si>
  <si>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</si>
  <si>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</si>
  <si>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</si>
  <si>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</si>
  <si>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</si>
  <si>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</si>
  <si>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</si>
  <si>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</si>
  <si>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</si>
  <si>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</si>
  <si>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</si>
  <si>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</si>
  <si>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</si>
  <si>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</si>
  <si>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</si>
  <si>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</si>
  <si>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</si>
  <si>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</si>
  <si>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</si>
  <si>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</si>
  <si>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</si>
  <si>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</si>
  <si>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</si>
  <si>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</si>
  <si>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</si>
  <si>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</si>
  <si>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</si>
  <si>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</si>
  <si>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</si>
  <si>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</si>
  <si>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</si>
  <si>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</si>
  <si>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</si>
  <si>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</si>
  <si>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</si>
  <si>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</si>
  <si>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</si>
  <si>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</si>
  <si>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</si>
  <si>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</si>
  <si>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</si>
  <si>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</si>
  <si>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</si>
  <si>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</si>
  <si>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</si>
  <si>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</si>
  <si>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</si>
  <si>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</si>
  <si>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</si>
  <si>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</si>
  <si>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</si>
  <si>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</si>
  <si>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</si>
  <si>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</si>
  <si>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</si>
  <si>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</si>
  <si>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</si>
  <si>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</si>
  <si>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</si>
  <si>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</si>
  <si>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</si>
  <si>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</si>
  <si>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</si>
  <si>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</si>
  <si>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</si>
  <si>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</si>
  <si>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</si>
  <si>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</si>
  <si>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</si>
  <si>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</si>
  <si>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</si>
  <si>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</si>
  <si>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</si>
  <si>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</si>
  <si>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</si>
  <si>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</si>
  <si>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</si>
  <si>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</si>
  <si>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</si>
  <si>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</si>
  <si>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</si>
  <si>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</si>
  <si>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</si>
  <si>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</si>
  <si>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</si>
  <si>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</si>
  <si>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</si>
  <si>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</si>
  <si>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</si>
  <si>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</si>
  <si>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</si>
  <si>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</si>
  <si>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</si>
  <si>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</si>
  <si>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</si>
  <si>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</si>
  <si>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</si>
  <si>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</si>
  <si>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</si>
  <si>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</si>
  <si>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</si>
  <si>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</si>
  <si>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</si>
  <si>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</si>
  <si>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</si>
  <si>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</si>
  <si>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</si>
  <si>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</si>
  <si>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</si>
  <si>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</si>
  <si>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</si>
  <si>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</si>
  <si>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</si>
  <si>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</si>
  <si>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</si>
  <si>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</si>
  <si>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</si>
  <si>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</si>
  <si>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</si>
  <si>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</si>
  <si>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</si>
  <si>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</si>
  <si>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</si>
  <si>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</si>
  <si>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</si>
  <si>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</si>
  <si>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</si>
  <si>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</si>
  <si>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</si>
  <si>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</si>
  <si>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</si>
  <si>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</si>
  <si>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</si>
  <si>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</si>
  <si>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</si>
  <si>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</si>
  <si>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</si>
  <si>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</si>
  <si>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</si>
  <si>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</si>
  <si>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</si>
  <si>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</si>
  <si>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</si>
  <si>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</si>
  <si>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</si>
  <si>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</si>
  <si>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</si>
  <si>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</si>
  <si>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</si>
  <si>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</si>
  <si>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</si>
  <si>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</si>
  <si>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</si>
  <si>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</si>
  <si>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</si>
  <si>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</si>
  <si>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</si>
  <si>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</si>
  <si>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</si>
  <si>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</si>
  <si>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</si>
  <si>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</si>
  <si>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</si>
  <si>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</si>
  <si>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</si>
  <si>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</si>
  <si>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</si>
  <si>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</si>
  <si>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</si>
  <si>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</si>
  <si>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</si>
  <si>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</si>
  <si>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</si>
  <si>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</si>
  <si>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</si>
  <si>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</si>
  <si>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</si>
  <si>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</si>
  <si>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</si>
  <si>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</si>
  <si>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</si>
  <si>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</si>
  <si>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</si>
  <si>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</si>
  <si>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</si>
  <si>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</si>
  <si>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</si>
  <si>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</si>
  <si>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</si>
  <si>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</si>
  <si>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</si>
  <si>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</si>
  <si>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</si>
  <si>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</si>
  <si>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</si>
  <si>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</si>
  <si>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</si>
  <si>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</si>
  <si>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</si>
  <si>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</si>
  <si>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</si>
  <si>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</si>
  <si>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</si>
  <si>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</si>
  <si>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</si>
  <si>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</si>
  <si>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</si>
  <si>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</si>
  <si>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</si>
  <si>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</si>
  <si>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</si>
  <si>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</si>
  <si>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</si>
  <si>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</si>
  <si>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</si>
  <si>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</si>
  <si>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</si>
  <si>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</si>
  <si>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</si>
  <si>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</si>
  <si>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</si>
  <si>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</si>
  <si>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</si>
  <si>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</si>
  <si>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</si>
  <si>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</si>
  <si>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</si>
  <si>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</si>
  <si>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</si>
  <si>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</si>
  <si>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</si>
  <si>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</si>
  <si>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</si>
  <si>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</si>
  <si>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</si>
  <si>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</si>
  <si>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</si>
  <si>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</si>
  <si>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</si>
  <si>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</si>
  <si>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</si>
  <si>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</si>
  <si>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</si>
  <si>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</si>
  <si>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</si>
  <si>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</si>
  <si>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</si>
  <si>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</si>
  <si>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</si>
  <si>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</si>
  <si>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</si>
  <si>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</si>
  <si>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</si>
  <si>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</si>
  <si>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</si>
  <si>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</si>
  <si>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</si>
  <si>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</si>
  <si>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</si>
  <si>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</si>
  <si>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</si>
  <si>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</si>
  <si>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</si>
  <si>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</si>
  <si>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</si>
  <si>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</si>
  <si>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</si>
  <si>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</si>
  <si>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</si>
  <si>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</si>
  <si>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</si>
  <si>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</si>
  <si>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</si>
  <si>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</si>
  <si>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</si>
  <si>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</si>
  <si>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</si>
  <si>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</si>
  <si>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</si>
  <si>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</si>
  <si>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</si>
  <si>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</si>
  <si>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</si>
  <si>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</si>
  <si>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</si>
  <si>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</si>
  <si>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</si>
  <si>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</si>
  <si>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</si>
  <si>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</si>
  <si>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</si>
  <si>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</si>
  <si>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</si>
  <si>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</si>
  <si>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</si>
  <si>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</si>
  <si>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</si>
  <si>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</si>
  <si>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</si>
  <si>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</si>
  <si>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</si>
  <si>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</si>
  <si>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</si>
  <si>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</si>
  <si>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</si>
  <si>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</si>
  <si>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</si>
  <si>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</si>
  <si>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</si>
  <si>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</si>
  <si>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</si>
  <si>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</si>
  <si>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</si>
  <si>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</si>
  <si>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</si>
  <si>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</si>
  <si>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</si>
  <si>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</si>
  <si>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</si>
  <si>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</si>
  <si>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</si>
  <si>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</si>
  <si>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</si>
  <si>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</si>
  <si>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</si>
  <si>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</si>
  <si>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</si>
  <si>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</si>
  <si>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</si>
  <si>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</si>
  <si>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</si>
  <si>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</si>
  <si>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</si>
  <si>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</si>
  <si>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</si>
  <si>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</si>
  <si>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</si>
  <si>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</si>
  <si>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</si>
  <si>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</si>
  <si>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</si>
  <si>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</si>
  <si>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</si>
  <si>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</si>
  <si>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</si>
  <si>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</si>
  <si>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</si>
  <si>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</si>
  <si>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</si>
  <si>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</si>
  <si>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</si>
  <si>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</si>
  <si>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</si>
  <si>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</si>
  <si>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</si>
  <si>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</si>
  <si>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</si>
  <si>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</si>
  <si>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</si>
  <si>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</si>
  <si>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</si>
  <si>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</si>
  <si>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</si>
  <si>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</si>
  <si>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</si>
  <si>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</si>
  <si>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</si>
  <si>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</si>
  <si>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</si>
  <si>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</si>
  <si>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</si>
  <si>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</si>
  <si>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</si>
  <si>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</si>
  <si>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</si>
  <si>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</si>
  <si>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</si>
  <si>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</si>
  <si>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</si>
  <si>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</si>
  <si>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</si>
  <si>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</si>
  <si>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</si>
  <si>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</si>
  <si>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</si>
  <si>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</si>
  <si>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</si>
  <si>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</si>
  <si>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</si>
  <si>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</si>
  <si>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</si>
  <si>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</si>
  <si>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</si>
  <si>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</si>
  <si>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</si>
  <si>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</si>
  <si>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</si>
  <si>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</si>
  <si>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</si>
  <si>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</si>
  <si>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</si>
  <si>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</si>
  <si>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</si>
  <si>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</si>
  <si>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</si>
  <si>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</si>
  <si>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</si>
  <si>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</si>
  <si>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</si>
  <si>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</si>
  <si>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</si>
  <si>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</si>
  <si>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</si>
  <si>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</si>
  <si>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</si>
  <si>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</si>
  <si>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</si>
  <si>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</si>
  <si>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</si>
  <si>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</si>
  <si>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</si>
  <si>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</si>
  <si>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</si>
  <si>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</si>
  <si>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</si>
  <si>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</si>
  <si>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</si>
  <si>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</si>
  <si>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</si>
  <si>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</si>
  <si>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</si>
  <si>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</si>
  <si>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</si>
  <si>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</si>
  <si>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</si>
  <si>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</si>
  <si>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</si>
  <si>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</si>
  <si>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</si>
  <si>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</si>
  <si>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</si>
  <si>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</si>
  <si>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</si>
  <si>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</si>
  <si>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</si>
  <si>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</si>
  <si>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</si>
  <si>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</si>
  <si>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</si>
  <si>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</si>
  <si>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</si>
  <si>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</si>
  <si>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</si>
  <si>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</si>
  <si>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</si>
  <si>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</si>
  <si>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</si>
  <si>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</si>
  <si>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</si>
  <si>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</si>
  <si>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</si>
  <si>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</si>
  <si>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</si>
  <si>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</si>
  <si>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</si>
  <si>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</si>
  <si>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</si>
  <si>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</si>
  <si>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</si>
  <si>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</si>
  <si>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</si>
  <si>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</si>
  <si>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</si>
  <si>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</si>
  <si>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</si>
  <si>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</si>
  <si>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</si>
  <si>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</si>
  <si>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</si>
  <si>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</si>
  <si>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</si>
  <si>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</si>
  <si>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</si>
  <si>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</si>
  <si>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</si>
  <si>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</si>
  <si>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</si>
  <si>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</si>
  <si>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</si>
  <si>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</si>
  <si>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</si>
  <si>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</si>
  <si>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</si>
  <si>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</si>
  <si>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</si>
  <si>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</si>
  <si>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</si>
  <si>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</si>
  <si>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</si>
  <si>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</si>
  <si>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</si>
  <si>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</si>
  <si>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</si>
  <si>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</si>
  <si>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</si>
  <si>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</si>
  <si>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</si>
  <si>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</si>
  <si>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</si>
  <si>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</si>
  <si>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</si>
  <si>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</si>
  <si>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</si>
  <si>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</si>
  <si>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</si>
  <si>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</si>
  <si>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</si>
  <si>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</si>
  <si>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</si>
  <si>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</si>
  <si>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</si>
  <si>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</si>
  <si>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</si>
  <si>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</si>
  <si>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</si>
  <si>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</si>
  <si>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</si>
  <si>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</si>
  <si>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</si>
  <si>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</si>
  <si>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</si>
  <si>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</si>
  <si>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</si>
  <si>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</si>
  <si>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</si>
  <si>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</si>
  <si>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</si>
  <si>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</si>
  <si>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</si>
  <si>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</si>
  <si>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</si>
  <si>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</si>
  <si>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</si>
  <si>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</si>
  <si>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</si>
  <si>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</si>
  <si>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</si>
  <si>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</si>
  <si>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</si>
  <si>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</si>
  <si>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</si>
  <si>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</si>
  <si>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</si>
  <si>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</si>
  <si>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</si>
  <si>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</si>
  <si>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</si>
  <si>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</si>
  <si>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</si>
  <si>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</si>
  <si>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</si>
  <si>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</si>
  <si>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</si>
  <si>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</si>
  <si>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</si>
  <si>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</si>
  <si>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</si>
  <si>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</si>
  <si>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</si>
  <si>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</si>
  <si>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</si>
  <si>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</si>
  <si>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</si>
  <si>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</si>
  <si>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</si>
  <si>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</si>
  <si>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</si>
  <si>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</si>
  <si>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</si>
  <si>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</si>
  <si>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</si>
  <si>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</si>
  <si>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</si>
  <si>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</si>
  <si>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</si>
  <si>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</si>
  <si>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</si>
  <si>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</si>
  <si>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</si>
  <si>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</si>
  <si>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</si>
  <si>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</si>
  <si>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</si>
  <si>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</si>
  <si>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</si>
  <si>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</si>
  <si>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</si>
  <si>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</si>
  <si>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</si>
  <si>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</si>
  <si>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</si>
  <si>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</si>
  <si>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</si>
  <si>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</si>
  <si>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</si>
  <si>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</si>
  <si>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</si>
  <si>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</si>
  <si>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</si>
  <si>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</si>
  <si>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</si>
  <si>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</si>
  <si>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</si>
  <si>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</si>
  <si>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</si>
  <si>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</si>
  <si>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</si>
  <si>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</si>
  <si>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</si>
  <si>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</si>
  <si>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</si>
  <si>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</si>
  <si>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</si>
  <si>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</si>
  <si>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</si>
  <si>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</si>
  <si>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</si>
  <si>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</si>
  <si>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</si>
  <si>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</si>
  <si>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</si>
  <si>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</si>
  <si>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</si>
  <si>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</si>
  <si>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</si>
  <si>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</si>
  <si>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</si>
  <si>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</si>
  <si>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</si>
  <si>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</si>
  <si>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</si>
  <si>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</si>
  <si>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</si>
  <si>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</si>
  <si>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</si>
  <si>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</si>
  <si>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</si>
  <si>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</si>
  <si>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</si>
  <si>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</si>
  <si>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</si>
  <si>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</si>
  <si>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</si>
  <si>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</si>
  <si>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</si>
  <si>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</si>
  <si>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</si>
  <si>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</si>
  <si>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</si>
  <si>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</si>
  <si>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</si>
  <si>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</si>
  <si>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</si>
  <si>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</si>
  <si>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</si>
  <si>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</si>
  <si>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</si>
  <si>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</si>
  <si>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</si>
  <si>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</si>
  <si>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</si>
  <si>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</si>
  <si>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</si>
  <si>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</si>
  <si>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</si>
  <si>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</si>
  <si>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</si>
  <si>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</si>
  <si>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</si>
  <si>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</si>
  <si>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</si>
  <si>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</si>
  <si>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</si>
  <si>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</si>
  <si>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</si>
  <si>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</si>
  <si>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</si>
  <si>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</si>
  <si>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</si>
  <si>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</si>
  <si>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</si>
  <si>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</si>
  <si>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</si>
  <si>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</si>
  <si>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</si>
  <si>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</si>
  <si>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</si>
  <si>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</si>
  <si>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</si>
  <si>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</si>
  <si>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</si>
  <si>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</si>
  <si>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</si>
  <si>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</si>
  <si>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</si>
  <si>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</si>
  <si>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</si>
  <si>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</si>
  <si>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</si>
  <si>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</si>
  <si>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</si>
  <si>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</si>
  <si>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</si>
  <si>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</si>
  <si>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</si>
  <si>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</si>
  <si>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</si>
  <si>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</si>
  <si>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</si>
  <si>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</si>
  <si>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</si>
  <si>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</si>
  <si>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</si>
  <si>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</si>
  <si>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</si>
  <si>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</si>
  <si>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</si>
  <si>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</si>
  <si>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</si>
  <si>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</si>
  <si>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</si>
  <si>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</si>
  <si>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</si>
  <si>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</si>
  <si>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</si>
  <si>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</si>
  <si>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</si>
  <si>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</si>
  <si>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</si>
  <si>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</si>
  <si>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</si>
  <si>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</si>
  <si>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</si>
  <si>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</si>
  <si>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</si>
  <si>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</si>
  <si>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</si>
  <si>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</si>
  <si>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</si>
  <si>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</si>
  <si>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</si>
  <si>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</si>
  <si>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</si>
  <si>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</si>
  <si>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</si>
  <si>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</si>
  <si>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</si>
  <si>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</si>
  <si>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</si>
  <si>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</si>
  <si>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</si>
  <si>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</si>
  <si>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</si>
  <si>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</si>
  <si>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</si>
  <si>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</si>
  <si>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</si>
  <si>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</si>
  <si>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</si>
  <si>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</si>
  <si>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</si>
  <si>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</si>
  <si>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</si>
  <si>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</si>
  <si>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</si>
  <si>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</si>
  <si>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</si>
  <si>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</si>
  <si>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</si>
  <si>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</si>
  <si>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</si>
  <si>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</si>
  <si>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</si>
  <si>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</si>
  <si>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</si>
  <si>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</si>
  <si>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</si>
  <si>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</si>
  <si>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</si>
  <si>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</si>
  <si>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</si>
  <si>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</si>
  <si>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</si>
  <si>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</si>
  <si>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</si>
  <si>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</si>
  <si>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</si>
  <si>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</si>
  <si>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</si>
  <si>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</si>
  <si>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</si>
  <si>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</si>
  <si>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</si>
  <si>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</si>
  <si>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</si>
  <si>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</si>
  <si>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</si>
  <si>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</si>
  <si>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</si>
  <si>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</si>
  <si>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</si>
  <si>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</si>
  <si>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</si>
  <si>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</si>
  <si>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</si>
  <si>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</si>
  <si>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</si>
  <si>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</si>
  <si>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</si>
  <si>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</si>
  <si>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</si>
  <si>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</si>
  <si>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</si>
  <si>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</si>
  <si>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</si>
  <si>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</si>
  <si>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</si>
  <si>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</si>
  <si>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</si>
  <si>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</si>
  <si>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</si>
  <si>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</si>
  <si>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</si>
  <si>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</si>
  <si>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</si>
  <si>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</si>
  <si>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</si>
  <si>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</si>
  <si>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</si>
  <si>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</si>
  <si>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</si>
  <si>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</si>
  <si>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</si>
  <si>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</si>
  <si>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</si>
  <si>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</si>
  <si>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</si>
  <si>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</si>
  <si>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</si>
  <si>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</si>
  <si>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</si>
  <si>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</si>
  <si>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</si>
  <si>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</si>
  <si>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</si>
  <si>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</si>
  <si>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</si>
  <si>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</si>
  <si>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</si>
  <si>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</si>
  <si>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</si>
  <si>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</si>
  <si>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</si>
  <si>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</si>
  <si>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</si>
  <si>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</si>
  <si>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</si>
  <si>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</si>
  <si>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</si>
  <si>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</si>
  <si>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</si>
  <si>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</si>
  <si>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</si>
  <si>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</si>
  <si>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</si>
  <si>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</si>
  <si>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</si>
  <si>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</si>
  <si>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</si>
  <si>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</si>
  <si>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</si>
  <si>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</si>
  <si>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</si>
  <si>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</si>
  <si>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</si>
  <si>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</si>
  <si>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</si>
  <si>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</si>
  <si>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</si>
  <si>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</si>
  <si>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</si>
  <si>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</si>
  <si>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</si>
  <si>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</si>
  <si>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</si>
  <si>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</si>
  <si>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</si>
  <si>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</si>
  <si>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</si>
  <si>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</si>
  <si>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</si>
  <si>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</si>
  <si>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</si>
  <si>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</si>
  <si>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</si>
  <si>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</si>
  <si>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</si>
  <si>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</si>
  <si>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</si>
  <si>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</si>
  <si>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</si>
  <si>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</si>
  <si>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</si>
  <si>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</si>
  <si>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</si>
  <si>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</si>
  <si>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</si>
  <si>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</si>
  <si>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</si>
  <si>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</si>
  <si>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</si>
  <si>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</si>
  <si>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</si>
  <si>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</si>
  <si>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</si>
  <si>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</si>
  <si>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</si>
  <si>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</si>
  <si>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</si>
  <si>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</si>
  <si>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</si>
  <si>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</si>
  <si>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</si>
  <si>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</si>
  <si>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</si>
  <si>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</si>
  <si>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</si>
  <si>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</si>
  <si>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</si>
  <si>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</si>
  <si>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</si>
  <si>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</si>
  <si>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</si>
  <si>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</si>
  <si>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</si>
  <si>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</si>
  <si>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</si>
  <si>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</si>
  <si>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</si>
  <si>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</si>
  <si>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</si>
  <si>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</si>
  <si>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</si>
  <si>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</si>
  <si>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</si>
  <si>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</si>
  <si>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</si>
  <si>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</si>
  <si>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</si>
  <si>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</si>
  <si>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</si>
  <si>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</si>
  <si>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</si>
  <si>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</si>
  <si>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</si>
  <si>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</si>
  <si>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</si>
  <si>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</si>
  <si>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</si>
  <si>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</si>
  <si>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</si>
  <si>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</si>
  <si>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</si>
  <si>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</si>
  <si>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</si>
  <si>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</si>
  <si>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</si>
  <si>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</si>
  <si>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</si>
  <si>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</si>
  <si>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</si>
  <si>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</si>
  <si>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</si>
  <si>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</si>
  <si>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</si>
  <si>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</si>
  <si>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</si>
  <si>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</si>
  <si>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</si>
  <si>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</si>
  <si>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</si>
  <si>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</si>
  <si>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</si>
  <si>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</si>
  <si>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</si>
  <si>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</si>
  <si>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</si>
  <si>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</si>
  <si>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</si>
  <si>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</si>
  <si>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</si>
  <si>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</si>
  <si>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</si>
  <si>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</si>
  <si>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</si>
  <si>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</si>
  <si>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</si>
  <si>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</si>
  <si>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</si>
  <si>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</si>
  <si>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</si>
  <si>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</si>
  <si>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</si>
  <si>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</si>
  <si>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</si>
  <si>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</si>
  <si>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</si>
  <si>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</si>
  <si>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</si>
  <si>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</si>
  <si>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</si>
  <si>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</si>
  <si>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</si>
  <si>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</si>
  <si>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</si>
  <si>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</si>
  <si>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</si>
  <si>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</si>
  <si>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</si>
  <si>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</si>
  <si>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</si>
  <si>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</si>
  <si>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</si>
  <si>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</si>
  <si>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</si>
  <si>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</si>
  <si>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</si>
  <si>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</si>
  <si>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</si>
  <si>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</si>
  <si>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</si>
  <si>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</si>
  <si>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</si>
  <si>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</si>
  <si>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</si>
  <si>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</si>
  <si>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</si>
  <si>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</si>
  <si>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</si>
  <si>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</si>
  <si>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</si>
  <si>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</si>
  <si>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</si>
  <si>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</si>
  <si>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</si>
  <si>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</si>
  <si>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</si>
  <si>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</si>
  <si>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</si>
  <si>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</si>
  <si>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</si>
  <si>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</si>
  <si>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</si>
  <si>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</si>
  <si>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</si>
  <si>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</si>
  <si>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</si>
  <si>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</si>
  <si>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</si>
  <si>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</si>
  <si>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</si>
  <si>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</si>
  <si>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</si>
  <si>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</si>
  <si>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</si>
  <si>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</si>
  <si>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</si>
  <si>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</si>
  <si>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</si>
  <si>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</si>
  <si>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</si>
  <si>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</si>
  <si>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</si>
  <si>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</si>
  <si>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</si>
  <si>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</si>
  <si>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</si>
  <si>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</si>
  <si>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</si>
  <si>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</si>
  <si>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</si>
  <si>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</si>
  <si>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</si>
  <si>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</si>
  <si>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</si>
  <si>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</si>
  <si>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</si>
  <si>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</si>
  <si>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</si>
  <si>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</si>
  <si>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</si>
  <si>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</si>
  <si>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</si>
  <si>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</si>
  <si>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</si>
  <si>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</si>
  <si>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</si>
  <si>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</si>
  <si>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</si>
  <si>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</si>
  <si>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</si>
  <si>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</si>
  <si>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</si>
  <si>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</si>
  <si>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</si>
  <si>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</si>
  <si>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</si>
  <si>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</si>
  <si>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</si>
  <si>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</si>
  <si>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</si>
  <si>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</si>
  <si>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</si>
  <si>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</si>
  <si>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</si>
  <si>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</si>
  <si>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</si>
  <si>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</si>
  <si>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</si>
  <si>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</si>
  <si>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</si>
  <si>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</si>
  <si>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</si>
  <si>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</si>
  <si>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</si>
  <si>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</si>
  <si>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</si>
  <si>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</si>
  <si>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</si>
  <si>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</si>
  <si>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</si>
  <si>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</si>
  <si>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</si>
  <si>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</si>
  <si>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</si>
  <si>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</si>
  <si>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</si>
  <si>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</si>
  <si>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</si>
  <si>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</si>
  <si>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</si>
  <si>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</si>
  <si>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</si>
  <si>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</si>
  <si>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</si>
  <si>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</si>
  <si>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</si>
  <si>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</si>
  <si>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</si>
  <si>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</si>
  <si>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</si>
  <si>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</si>
  <si>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</si>
  <si>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</si>
  <si>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</si>
  <si>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</si>
  <si>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</si>
  <si>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</si>
  <si>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</si>
  <si>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</si>
  <si>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</si>
  <si>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</si>
  <si>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</si>
  <si>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</si>
  <si>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</si>
  <si>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</si>
  <si>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</si>
  <si>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</si>
  <si>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</si>
  <si>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</si>
  <si>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</si>
  <si>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</si>
  <si>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</si>
  <si>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33-066-4040-26</t>
  </si>
  <si>
    <t>Mercer</t>
  </si>
  <si>
    <t>Mercer County SD 404</t>
  </si>
  <si>
    <t>1002 SW 6th St</t>
  </si>
  <si>
    <t>Aledo</t>
  </si>
  <si>
    <t>petries@mercerschools.org</t>
  </si>
  <si>
    <t>x</t>
  </si>
  <si>
    <t>Scott Petrie</t>
  </si>
  <si>
    <t>309-582-2238</t>
  </si>
  <si>
    <t>309-582-7428</t>
  </si>
  <si>
    <t>jhohulin@gorenzcpa.com</t>
  </si>
  <si>
    <t>Jason A. Hohulin, CPA</t>
  </si>
  <si>
    <t>2016 Technology Lease Purchase</t>
  </si>
  <si>
    <t>2015 Bus Lease Purchase</t>
  </si>
  <si>
    <t>General Obligation Bond Series, 2014</t>
  </si>
  <si>
    <t>2016 Life Safety Bonds</t>
  </si>
  <si>
    <t>Life Safety and Refunding Bonds, 2018</t>
  </si>
  <si>
    <t>Computer Lease, 2017</t>
  </si>
  <si>
    <t>3&amp;4</t>
  </si>
  <si>
    <t>Bus Lease</t>
  </si>
  <si>
    <t>Technology Lease</t>
  </si>
  <si>
    <t>Alternative HS through ROE #33</t>
  </si>
  <si>
    <t>IEC/Next Era</t>
  </si>
  <si>
    <t>US/Hawkeye Food</t>
  </si>
  <si>
    <t>Prairie State - PSIC; Worker's Comp-WCSIT</t>
  </si>
  <si>
    <t>HLERK</t>
  </si>
  <si>
    <t>Blackhawk Area Special Ed</t>
  </si>
  <si>
    <t>Western Area Purchasing, GreenhWood Cleaning Systems</t>
  </si>
  <si>
    <t>Johannes Bus Service</t>
  </si>
  <si>
    <t>Quad City Area Vo Tech</t>
  </si>
  <si>
    <t>2018-001</t>
  </si>
  <si>
    <t>2018-002</t>
  </si>
  <si>
    <t>2018-003</t>
  </si>
  <si>
    <t>2018-004</t>
  </si>
  <si>
    <t>2018-005</t>
  </si>
  <si>
    <t>Inadequate Segregation of Duties</t>
  </si>
  <si>
    <t>Not all transactions of the District were recorded</t>
  </si>
  <si>
    <t>Expenditures exceeded budget</t>
  </si>
  <si>
    <t>Non-compliance with Truth in Taxation Act</t>
  </si>
  <si>
    <t>Unreconciled bank account</t>
  </si>
  <si>
    <t>Unresolved - See Finding 2019-001</t>
  </si>
  <si>
    <t>Resolved</t>
  </si>
  <si>
    <t>(3) Nonmonetary assistance is reported in the schedule at the fair market value of the commodities received and disbursed.</t>
  </si>
  <si>
    <t>(2) Carryover from Prior Year Project.</t>
  </si>
  <si>
    <t>(1) Project Not Complete as of June 30, 2019.</t>
  </si>
  <si>
    <t>(M) Indicates Major Federal Financial Assistance Program.</t>
  </si>
  <si>
    <t>Total Federal Awards</t>
  </si>
  <si>
    <t>Total Federal Awards Passed Through Other Entities</t>
  </si>
  <si>
    <t>Total Federal Awards Passed Through Illinois State Board of Education</t>
  </si>
  <si>
    <t>Total Federal Emergency Management Agency</t>
  </si>
  <si>
    <t>N/A</t>
  </si>
  <si>
    <t>11-4998-00</t>
  </si>
  <si>
    <t>Emergency Snow Removal</t>
  </si>
  <si>
    <t xml:space="preserve">  Passed Thruough the Illinois Emergency Management Agency</t>
  </si>
  <si>
    <t>Federal Emergency Management Agency</t>
  </si>
  <si>
    <t>Total U.S. Department of Health and Human Services - Pass-through programs</t>
  </si>
  <si>
    <t>11-4991-00</t>
  </si>
  <si>
    <t>Medicaid Administrative Outreach</t>
  </si>
  <si>
    <t>10-4991-00</t>
  </si>
  <si>
    <t xml:space="preserve">   Peoria School District #150</t>
  </si>
  <si>
    <t xml:space="preserve">   Pass-through program from</t>
  </si>
  <si>
    <t>19-4991-00</t>
  </si>
  <si>
    <t>18-4991-00</t>
  </si>
  <si>
    <t xml:space="preserve">   and Family Services</t>
  </si>
  <si>
    <t xml:space="preserve">   Illinois Department of Healthcare</t>
  </si>
  <si>
    <t xml:space="preserve">U.S. Department of Health and Human Services - </t>
  </si>
  <si>
    <t>Total U.S. Department of Education - Pass through programs</t>
  </si>
  <si>
    <t>19-4620-00</t>
  </si>
  <si>
    <t>I.D.E.A. Flow-Through</t>
  </si>
  <si>
    <t>(M)</t>
  </si>
  <si>
    <t>18-4620-00</t>
  </si>
  <si>
    <t>11-4857-00</t>
  </si>
  <si>
    <t>84.391A</t>
  </si>
  <si>
    <t>ARRA - I.D.E.A. Flow-Through</t>
  </si>
  <si>
    <t>14-4600-00</t>
  </si>
  <si>
    <t>I.D.E.A. - Preschool Incentive Grant</t>
  </si>
  <si>
    <t xml:space="preserve">   Blackhack Area Special Education District</t>
  </si>
  <si>
    <t>46CVF00048</t>
  </si>
  <si>
    <t>S.T.E.P.    (Note #4)</t>
  </si>
  <si>
    <t>46CUD00048</t>
  </si>
  <si>
    <t xml:space="preserve">   Illinois Department of Human Services</t>
  </si>
  <si>
    <t>10-4862-00</t>
  </si>
  <si>
    <t>84.387A</t>
  </si>
  <si>
    <t>ARRA - McKinney-Vento Homeless</t>
  </si>
  <si>
    <t xml:space="preserve">   Hancock/McDonough Counties ROE</t>
  </si>
  <si>
    <t>19-4625-XC</t>
  </si>
  <si>
    <t>84.027A</t>
  </si>
  <si>
    <t>Sp. Ed. - I.D.E.A. - Room &amp; Board-Excess Cost</t>
  </si>
  <si>
    <t>18-4625-XC</t>
  </si>
  <si>
    <t>17-4625-XC</t>
  </si>
  <si>
    <t>I.D.E.A. - Room &amp; Board - Excess Cost</t>
  </si>
  <si>
    <t>16-4625-XC</t>
  </si>
  <si>
    <t>17-4901-IM</t>
  </si>
  <si>
    <t>16-4901-IM</t>
  </si>
  <si>
    <t>17-4901-00</t>
  </si>
  <si>
    <t>16-4901-00</t>
  </si>
  <si>
    <t>15-4421-10</t>
  </si>
  <si>
    <t>84.287C</t>
  </si>
  <si>
    <t>21st Century Community Learning Centers</t>
  </si>
  <si>
    <t>14-4421-10</t>
  </si>
  <si>
    <t>17-4107-00</t>
  </si>
  <si>
    <t>Title VI - Rural Education Initiative</t>
  </si>
  <si>
    <t>15-4107-00</t>
  </si>
  <si>
    <t>84.365B</t>
  </si>
  <si>
    <t>12-4421-08</t>
  </si>
  <si>
    <t>11-4851-00</t>
  </si>
  <si>
    <t>84.389A</t>
  </si>
  <si>
    <t>19-4932-00</t>
  </si>
  <si>
    <t>84.367A</t>
  </si>
  <si>
    <t>18-4932-00</t>
  </si>
  <si>
    <t>19-4400-00</t>
  </si>
  <si>
    <t>Title IVA - Student Support &amp; Academic Enrichment</t>
  </si>
  <si>
    <t>18-4400-00</t>
  </si>
  <si>
    <t>19-4331-19</t>
  </si>
  <si>
    <t>84.010A</t>
  </si>
  <si>
    <t>Title I - School Improvement &amp; Accountability</t>
  </si>
  <si>
    <t>19-4300-00</t>
  </si>
  <si>
    <t>18-4300-00</t>
  </si>
  <si>
    <t>13-4107-00</t>
  </si>
  <si>
    <t>84.358B</t>
  </si>
  <si>
    <t>12-4107-00</t>
  </si>
  <si>
    <t>13-4880-00</t>
  </si>
  <si>
    <t>84.410A</t>
  </si>
  <si>
    <t>ARRA - Education Jobs Fund Program</t>
  </si>
  <si>
    <t>12-4880-00</t>
  </si>
  <si>
    <t xml:space="preserve">   Illinois State Board of Education</t>
  </si>
  <si>
    <t xml:space="preserve">U.S. Department of Education - </t>
  </si>
  <si>
    <t xml:space="preserve">Total U.S. Department of Agriculture - Pass-through programs  </t>
  </si>
  <si>
    <t>17-4226-00</t>
  </si>
  <si>
    <t>Child &amp; Adult Care Food Program</t>
  </si>
  <si>
    <t>16-4226-00</t>
  </si>
  <si>
    <t>19-4220-00</t>
  </si>
  <si>
    <t>18-4220-00</t>
  </si>
  <si>
    <t>FY19</t>
  </si>
  <si>
    <t>Fresh Fruits and Vegetables (3)</t>
  </si>
  <si>
    <t>FY18</t>
  </si>
  <si>
    <t>Dept. of Defense -</t>
  </si>
  <si>
    <t>FY08</t>
  </si>
  <si>
    <t>Commodity Salvage</t>
  </si>
  <si>
    <t>Food Donation (3)</t>
  </si>
  <si>
    <t>19-4210-00</t>
  </si>
  <si>
    <t>18-4210-00</t>
  </si>
  <si>
    <t xml:space="preserve">U.S. Department of Agriculture - </t>
  </si>
  <si>
    <t xml:space="preserve">         (I)         </t>
  </si>
  <si>
    <t xml:space="preserve">         (H)         </t>
  </si>
  <si>
    <t xml:space="preserve">         (G)         </t>
  </si>
  <si>
    <t xml:space="preserve">         (F)         </t>
  </si>
  <si>
    <t xml:space="preserve">         (E)         </t>
  </si>
  <si>
    <t xml:space="preserve">         (D)         </t>
  </si>
  <si>
    <t xml:space="preserve">         (C)         </t>
  </si>
  <si>
    <t xml:space="preserve">         (B)         </t>
  </si>
  <si>
    <t xml:space="preserve">        (A)        </t>
  </si>
  <si>
    <t>Program Title &amp; Major Program Designation</t>
  </si>
  <si>
    <t>Encumbrances</t>
  </si>
  <si>
    <t>6/30/19</t>
  </si>
  <si>
    <t>7/1/18</t>
  </si>
  <si>
    <t>Number</t>
  </si>
  <si>
    <t>Federal Grantor/Pass-Through Grantor,</t>
  </si>
  <si>
    <t>Final</t>
  </si>
  <si>
    <t>Prior to</t>
  </si>
  <si>
    <t>7/1/18 -</t>
  </si>
  <si>
    <t>Project</t>
  </si>
  <si>
    <t>ISBE</t>
  </si>
  <si>
    <t xml:space="preserve">                                 Expenditures/Disbursements                                 </t>
  </si>
  <si>
    <t xml:space="preserve">          Receipts/Revenues          </t>
  </si>
  <si>
    <t xml:space="preserve">                              Year Ending June 30, 2019                             </t>
  </si>
  <si>
    <t>SCHEDULE OF EXENDITURES OF FEDERAL AWARDS</t>
  </si>
  <si>
    <t>Mercer County School District No. 404</t>
  </si>
  <si>
    <r>
      <t xml:space="preserve">The accompanying Schedule of Expenditures of Federal Awards includes the federal grant activity of </t>
    </r>
    <r>
      <rPr>
        <b/>
        <sz val="9"/>
        <rFont val="Calibri"/>
        <family val="2"/>
        <scheme val="minor"/>
      </rPr>
      <t>Mercer County School District No. 404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</si>
  <si>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Mercer County School District No. 404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</si>
  <si>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</si>
  <si>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Unmodified</t>
  </si>
  <si>
    <t>10.555, 10.553</t>
  </si>
  <si>
    <t>Child Nutrition Cluster</t>
  </si>
  <si>
    <t>One individual has the ability to complete and record accounting functions which ideally would be segregated to allow for a more controlled system of checks and balances.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</si>
  <si>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</si>
  <si>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For the Year Ended June 30, 2019</t>
  </si>
  <si>
    <t>Total for CFDA 10.555</t>
  </si>
  <si>
    <t>Total Child Nutrition Cluster</t>
  </si>
  <si>
    <t>Total for CFDA 10.553</t>
  </si>
  <si>
    <t>Total for CFDA 84.010A</t>
  </si>
  <si>
    <t>Total for CFDA 84.424</t>
  </si>
  <si>
    <t>Total for CFDA 84.367A</t>
  </si>
  <si>
    <t>Total for CFDA 84.027</t>
  </si>
  <si>
    <t>Total Special Education Cluster (IDEA)</t>
  </si>
  <si>
    <t>Total for CDA 93.778</t>
  </si>
  <si>
    <t>Special Education Cluster (IDEA)</t>
  </si>
  <si>
    <t>Special Education Cluster (IDEA) - 2019</t>
  </si>
  <si>
    <t>Blackhawk Area Special Education District</t>
  </si>
  <si>
    <t>U.S. Department of Education</t>
  </si>
  <si>
    <t>None.</t>
  </si>
  <si>
    <t>Disposition of Questioned Costs Code Letter</t>
  </si>
  <si>
    <t xml:space="preserve">Initials: </t>
  </si>
  <si>
    <t>Resolution Criteria Code Number</t>
  </si>
  <si>
    <t xml:space="preserve">Date:   </t>
  </si>
  <si>
    <t>For ISBE Review</t>
  </si>
  <si>
    <t xml:space="preserve">None. </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</si>
  <si>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Internal controls with the purpose of monitoring these key employees have been neglected.</t>
  </si>
  <si>
    <t>All District accounting and financial records are maintained by a limited number of employees. The treasurer of the District is not performing independent reconciliations to verify accounting and financial records.</t>
  </si>
  <si>
    <t>Limited funding currently precludes the hiring of additional staff. Improper monitoring of internal controls has resulted in improper implementation of those controls.</t>
  </si>
  <si>
    <t>Segregation of duties is normally difficult to accomplish within a small governmental entity. Management should be ever mindful of areas that could be improved including, but not limited to, hiring additional personnel. Internal controls should be monitored to verify the effectiveness of the internal control system and integrity of financial records.</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</si>
  <si>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 basis, the District will pursue this option. Internal controls involving the District's treasurer will be evaluated for effectiveness.</t>
  </si>
  <si>
    <t>The Code of Federal Regulations (CFR) Title 2, part 200.430 cost principles, compensation - personal services states cost of compensation are allowable to the extent that they satisfy specific requirements one of which is Standards for Documentation of Personnel Expenses. These standards required that charges to federal awards for salaries and wages must be based on records that accurately reflect the work performed.</t>
  </si>
  <si>
    <t>The District had several employees paid with federal funds from the Special Education Cluster (IDEA).  The District did not require employees to submit time and effort reports detailing the activities and programs the employees worked on. Upon further review, it was determined that the compensation charged to the Special Education Cluster (IDEA) was allowable.</t>
  </si>
  <si>
    <t>The District did not maintain time and effort reports for the Special Education Cluster (IDEA).</t>
  </si>
  <si>
    <t>Noncompliance with the federal award program's standards for documentation of personnel expenses could occur and not be detected and corrected in a timely manner.</t>
  </si>
  <si>
    <t>Procedures were not in place that required all employees paid with federal funds (Special Education Cluster) to report the activities and programs they worked on.</t>
  </si>
  <si>
    <t>Employees paid with federal awards should be required to provide reports that detail their time and effort by activity spent on grants and other activities.</t>
  </si>
  <si>
    <t>There is no disagreement with this finding and procedures will be implemented to ensure time and effort is documented for federal awards.</t>
  </si>
  <si>
    <t>Part C - 20 - See Findings 2019-001 and  2019-002</t>
  </si>
  <si>
    <t>Computer Lease, 2018</t>
  </si>
  <si>
    <t>53-060-1910-26</t>
  </si>
  <si>
    <r>
      <t>CORRECTIVE ACTION PLAN FOR CURRENT YEAR AUDIT FINDINGS</t>
    </r>
    <r>
      <rPr>
        <b/>
        <vertAlign val="superscript"/>
        <sz val="9"/>
        <rFont val="Arial"/>
        <family val="2"/>
      </rPr>
      <t>21</t>
    </r>
  </si>
  <si>
    <t>Corrective Action Plan</t>
  </si>
  <si>
    <t>Finding No.:</t>
  </si>
  <si>
    <t>Condition:</t>
  </si>
  <si>
    <t>Plan:</t>
  </si>
  <si>
    <t>Procedures will be implemented to ensure time and effort reporting is maintained for federal award programs.</t>
  </si>
  <si>
    <t>Anticipated Date of Completion:</t>
  </si>
  <si>
    <t>Name of Contact Person:</t>
  </si>
  <si>
    <t>Scott Petrie, Superintendent</t>
  </si>
  <si>
    <t>Management Response:</t>
  </si>
  <si>
    <t>Not Required.</t>
  </si>
  <si>
    <r>
      <t>21</t>
    </r>
    <r>
      <rPr>
        <sz val="8"/>
        <rFont val="Arial"/>
        <family val="2"/>
      </rPr>
      <t xml:space="preserve">  Must address </t>
    </r>
    <r>
      <rPr>
        <b/>
        <sz val="8"/>
        <rFont val="Arial"/>
        <family val="2"/>
      </rPr>
      <t>each</t>
    </r>
    <r>
      <rPr>
        <sz val="8"/>
        <rFont val="Arial"/>
        <family val="2"/>
      </rPr>
      <t xml:space="preserve"> audit finding  - §200.511 ( c)</t>
    </r>
  </si>
  <si>
    <t>The District will continue to monitor their internal control system. Management oversight and other mitigating controls have lowered risks associated with inadequate segregation of duties. Assessment of internal controls will be performed annually.  Internal controls implemented to monitor key employees will be evaluated for effectiveness.</t>
  </si>
  <si>
    <t>Unknown</t>
  </si>
  <si>
    <t xml:space="preserve">The Board of Education has determined that the current internal control system is </t>
  </si>
  <si>
    <t xml:space="preserve">acceptable, providing a tolerable amount of risk. </t>
  </si>
  <si>
    <t>Value of Commodities</t>
  </si>
  <si>
    <t xml:space="preserve">Page 9, Line 17 - Eliza School Tax   </t>
  </si>
  <si>
    <t xml:space="preserve">Page 10, Line 78 - Tournament Registrations Fees  </t>
  </si>
  <si>
    <t xml:space="preserve">Page 10, Line 81 - Sport Participation Fees  </t>
  </si>
  <si>
    <t xml:space="preserve">Page 10, Line 87 - Technology Fees  </t>
  </si>
  <si>
    <t xml:space="preserve">Page 10, Line 107 - Educational Fund: $142,837-Erate Reimbursements, $12,714-Misc. Refunds  </t>
  </si>
  <si>
    <t xml:space="preserve">Operations and Maintenance Fund: Workman's Compensation Reimbursements  </t>
  </si>
  <si>
    <t xml:space="preserve">Transportation Fund: Misc. Refunds and Reimbursements   </t>
  </si>
  <si>
    <t xml:space="preserve">Municipal Retirement/Social Security: Refund of Current Year Benefits Overpayment  </t>
  </si>
  <si>
    <t xml:space="preserve">Page 12, Line 168 - $941-Library Grant, $2,220-PSAT Grant  </t>
  </si>
  <si>
    <t xml:space="preserve">Page 15, Line 41 - Tutor Salary, Benefits, and Reimbursement  </t>
  </si>
  <si>
    <t xml:space="preserve">Page 18, Line 183 - Transportation Director Salary and Benefits  </t>
  </si>
  <si>
    <t xml:space="preserve">Page 19, Line 237 - Tutor Benefits   </t>
  </si>
  <si>
    <t xml:space="preserve">Page 20, Line 278 - Transportation Director Benefits  </t>
  </si>
  <si>
    <t xml:space="preserve">Page 24, Line 31 - Retirement of Debt  </t>
  </si>
  <si>
    <t xml:space="preserve">Page 24, Line 36 - Lease Retirement  </t>
  </si>
  <si>
    <t xml:space="preserve">Page 24, Line 32 - Retirement of Debt  </t>
  </si>
  <si>
    <t xml:space="preserve">Page 24, Line 37 - Difference of amount of new lease $85,762 and the amount retired $22,596   </t>
  </si>
  <si>
    <t xml:space="preserve">Audit Check: Line 80 - "PLEASE ENTER CONTRACTS PAID IN THE CURRENT YEAR"    </t>
  </si>
  <si>
    <t xml:space="preserve">For the fiscal year under audit, the district did not have any qualifying contracts    </t>
  </si>
  <si>
    <t xml:space="preserve">exceeding the $25,000 limit.     </t>
  </si>
  <si>
    <t>The District had several employees paid with federal funds from the Special Education Cluster (IDEA) programs. The District did not require employees to submit time and effort reports detailing the activities and programs the employees worked on. Upon further review, it was determined that the compensation charged to the Special Education Cluster (IDEA) was allowable.</t>
  </si>
  <si>
    <t>Year Ending June 30, 2018</t>
  </si>
  <si>
    <t>Gorenz and Associates, Ltd</t>
  </si>
  <si>
    <t>See PDF version</t>
  </si>
  <si>
    <t>Mercer County School District 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</si>
</sst>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_(* #,##0_);_(* \(#,##0\);_(* &quot;0&quot;_);_(@_)"/>
    <numFmt numFmtId="183" formatCode="0.000_)"/>
    <numFmt numFmtId="184" formatCode="_(* #,##0_);_(* \(#,##0\);_(* &quot;-&quot;??_);_(@_)"/>
    <numFmt numFmtId="185" formatCode="#,##0.000_);\(#,##0.000\)"/>
    <numFmt numFmtId="186" formatCode="_(* #,##0.00_);_(* \(#,##0.00\);_(* &quot; &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1"/>
      <name val="Courier"/>
      <family val="3"/>
    </font>
    <font>
      <sz val="11"/>
      <name val="Times New Roman"/>
      <family val="1"/>
    </font>
    <font>
      <sz val="10"/>
      <name val="Courier"/>
      <family val="3"/>
    </font>
    <font>
      <u val="singleAccounting"/>
      <sz val="11"/>
      <name val="Times New Roman"/>
      <family val="1"/>
    </font>
    <font>
      <u val="doubleAccounting"/>
      <sz val="11"/>
      <name val="Times New Roman"/>
      <family val="1"/>
    </font>
    <font>
      <b/>
      <sz val="11"/>
      <name val="Times New Roman"/>
      <family val="1"/>
    </font>
    <font>
      <u/>
      <sz val="11"/>
      <name val="Times New Roman"/>
      <family val="1"/>
    </font>
    <font>
      <b/>
      <u/>
      <sz val="11"/>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40" fillId="0" borderId="0" applyProtection="0"/>
    <xf numFmtId="43" fontId="44" fillId="0" borderId="0" applyFont="0" applyFill="0" applyBorder="0" applyAlignment="0" applyProtection="0"/>
  </cellStyleXfs>
  <cellXfs count="262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37" fontId="138" fillId="0" borderId="0" xfId="19" applyFont="1" applyAlignment="1">
      <alignment vertical="center"/>
    </xf>
    <xf numFmtId="37" fontId="138" fillId="0" borderId="0" xfId="19" applyFont="1" applyAlignment="1">
      <alignment horizontal="center" vertical="center"/>
    </xf>
    <xf numFmtId="37" fontId="138" fillId="0" borderId="0" xfId="19" applyFont="1" applyFill="1" applyAlignment="1">
      <alignment vertical="center"/>
    </xf>
    <xf numFmtId="37" fontId="139" fillId="0" borderId="0" xfId="19" applyFont="1" applyAlignment="1">
      <alignment horizontal="center" vertical="center"/>
    </xf>
    <xf numFmtId="37" fontId="139" fillId="0" borderId="0" xfId="19" applyFont="1" applyFill="1" applyAlignment="1">
      <alignment horizontal="left" vertical="center"/>
    </xf>
    <xf numFmtId="37" fontId="138" fillId="0" borderId="0" xfId="19" applyFont="1" applyFill="1" applyAlignment="1">
      <alignment horizontal="center" vertical="center"/>
    </xf>
    <xf numFmtId="181" fontId="139" fillId="0" borderId="0" xfId="19" applyNumberFormat="1" applyFont="1" applyFill="1" applyAlignment="1">
      <alignment vertical="center"/>
    </xf>
    <xf numFmtId="181" fontId="139" fillId="0" borderId="0" xfId="19" applyNumberFormat="1" applyFont="1" applyFill="1" applyAlignment="1">
      <alignment horizontal="center" vertical="center"/>
    </xf>
    <xf numFmtId="37" fontId="139" fillId="0" borderId="0" xfId="19" applyFont="1" applyFill="1" applyAlignment="1">
      <alignment horizontal="center" vertical="center"/>
    </xf>
    <xf numFmtId="37" fontId="139" fillId="0" borderId="0" xfId="19" applyFont="1" applyFill="1" applyAlignment="1">
      <alignment vertical="center"/>
    </xf>
    <xf numFmtId="37" fontId="139" fillId="0" borderId="0" xfId="19" quotePrefix="1" applyFont="1" applyFill="1" applyAlignment="1">
      <alignment horizontal="left" vertical="center"/>
    </xf>
    <xf numFmtId="182" fontId="141" fillId="0" borderId="0" xfId="19" applyNumberFormat="1" applyFont="1" applyFill="1" applyAlignment="1">
      <alignment vertical="center"/>
    </xf>
    <xf numFmtId="181" fontId="139" fillId="0" borderId="0" xfId="19" applyNumberFormat="1" applyFont="1" applyFill="1" applyAlignment="1">
      <alignment horizontal="left" vertical="center"/>
    </xf>
    <xf numFmtId="181" fontId="142" fillId="0" borderId="0" xfId="19" applyNumberFormat="1" applyFont="1" applyFill="1" applyAlignment="1">
      <alignment vertical="center"/>
    </xf>
    <xf numFmtId="183" fontId="139" fillId="0" borderId="0" xfId="19" applyNumberFormat="1" applyFont="1" applyFill="1" applyAlignment="1" applyProtection="1">
      <alignment vertical="center"/>
    </xf>
    <xf numFmtId="181" fontId="139" fillId="0" borderId="0" xfId="19" applyNumberFormat="1" applyFont="1" applyFill="1" applyAlignment="1">
      <alignment horizontal="fill" vertical="center"/>
    </xf>
    <xf numFmtId="184" fontId="142" fillId="0" borderId="0" xfId="19" applyNumberFormat="1" applyFont="1" applyFill="1" applyAlignment="1">
      <alignment vertical="center"/>
    </xf>
    <xf numFmtId="37" fontId="143" fillId="0" borderId="0" xfId="19" applyFont="1" applyFill="1" applyAlignment="1">
      <alignment horizontal="left" vertical="center"/>
    </xf>
    <xf numFmtId="181" fontId="141" fillId="0" borderId="0" xfId="19" applyNumberFormat="1" applyFont="1" applyFill="1" applyAlignment="1">
      <alignment vertical="center"/>
    </xf>
    <xf numFmtId="184" fontId="141" fillId="0" borderId="0" xfId="19" applyNumberFormat="1" applyFont="1" applyFill="1" applyAlignment="1">
      <alignment vertical="center"/>
    </xf>
    <xf numFmtId="184" fontId="139" fillId="0" borderId="0" xfId="19" applyNumberFormat="1" applyFont="1" applyFill="1" applyAlignment="1">
      <alignment vertical="center"/>
    </xf>
    <xf numFmtId="37" fontId="143" fillId="0" borderId="0" xfId="19" quotePrefix="1" applyFont="1" applyFill="1" applyAlignment="1">
      <alignment horizontal="left" vertical="center"/>
    </xf>
    <xf numFmtId="181" fontId="139" fillId="0" borderId="0" xfId="19" applyNumberFormat="1" applyFont="1" applyFill="1" applyAlignment="1">
      <alignment horizontal="right" vertical="center"/>
    </xf>
    <xf numFmtId="181" fontId="141" fillId="0" borderId="0" xfId="19" applyNumberFormat="1" applyFont="1" applyFill="1" applyAlignment="1">
      <alignment horizontal="center" vertical="center"/>
    </xf>
    <xf numFmtId="185" fontId="139" fillId="0" borderId="0" xfId="19" applyNumberFormat="1" applyFont="1" applyFill="1" applyAlignment="1">
      <alignment vertical="center"/>
    </xf>
    <xf numFmtId="37" fontId="143" fillId="0" borderId="0" xfId="19" applyFont="1" applyFill="1" applyAlignment="1">
      <alignment vertical="center"/>
    </xf>
    <xf numFmtId="37" fontId="138" fillId="0" borderId="0" xfId="19" applyFont="1" applyAlignment="1" applyProtection="1">
      <alignment vertical="center"/>
      <protection locked="0"/>
    </xf>
    <xf numFmtId="181" fontId="139" fillId="0" borderId="0" xfId="19" applyNumberFormat="1" applyFont="1" applyFill="1" applyBorder="1" applyAlignment="1">
      <alignment horizontal="right" vertical="center"/>
    </xf>
    <xf numFmtId="184" fontId="141" fillId="0" borderId="0" xfId="19" applyNumberFormat="1" applyFont="1" applyFill="1" applyAlignment="1" applyProtection="1">
      <alignment vertical="center"/>
    </xf>
    <xf numFmtId="185" fontId="139" fillId="0" borderId="0" xfId="19" applyNumberFormat="1" applyFont="1" applyFill="1" applyAlignment="1">
      <alignment horizontal="center" vertical="center"/>
    </xf>
    <xf numFmtId="37" fontId="138" fillId="0" borderId="0" xfId="19" applyFont="1" applyAlignment="1" applyProtection="1">
      <alignment horizontal="left" vertical="center"/>
    </xf>
    <xf numFmtId="181" fontId="141" fillId="0" borderId="0" xfId="19" applyNumberFormat="1" applyFont="1" applyFill="1" applyBorder="1" applyAlignment="1">
      <alignment horizontal="right" vertical="center"/>
    </xf>
    <xf numFmtId="181" fontId="139" fillId="0" borderId="0" xfId="19" applyNumberFormat="1" applyFont="1" applyFill="1" applyBorder="1" applyAlignment="1">
      <alignment vertical="center"/>
    </xf>
    <xf numFmtId="181" fontId="141" fillId="0" borderId="0" xfId="19" applyNumberFormat="1" applyFont="1" applyFill="1" applyBorder="1" applyAlignment="1">
      <alignment vertical="center"/>
    </xf>
    <xf numFmtId="181" fontId="139" fillId="0" borderId="0" xfId="19" applyNumberFormat="1" applyFont="1" applyFill="1" applyAlignment="1" applyProtection="1">
      <alignment vertical="center"/>
    </xf>
    <xf numFmtId="186" fontId="139" fillId="0" borderId="0" xfId="19" applyNumberFormat="1" applyFont="1" applyFill="1" applyAlignment="1">
      <alignment vertical="center"/>
    </xf>
    <xf numFmtId="37" fontId="139" fillId="0" borderId="0" xfId="20" applyFont="1" applyFill="1" applyAlignment="1">
      <alignment vertical="center"/>
    </xf>
    <xf numFmtId="37" fontId="143" fillId="0" borderId="0" xfId="20" applyFont="1" applyFill="1" applyAlignment="1">
      <alignment horizontal="left" vertical="center"/>
    </xf>
    <xf numFmtId="181" fontId="144" fillId="0" borderId="0" xfId="19" applyNumberFormat="1" applyFont="1" applyFill="1" applyAlignment="1">
      <alignment vertical="center"/>
    </xf>
    <xf numFmtId="184" fontId="139" fillId="0" borderId="0" xfId="19" applyNumberFormat="1" applyFont="1" applyFill="1" applyAlignment="1" applyProtection="1">
      <alignment vertical="center"/>
    </xf>
    <xf numFmtId="37" fontId="139" fillId="0" borderId="0" xfId="19" quotePrefix="1" applyFont="1" applyFill="1" applyAlignment="1">
      <alignment horizontal="right" vertical="center"/>
    </xf>
    <xf numFmtId="37" fontId="139" fillId="0" borderId="0" xfId="19" applyFont="1" applyFill="1" applyAlignment="1">
      <alignment horizontal="right" vertical="center"/>
    </xf>
    <xf numFmtId="181" fontId="139" fillId="20" borderId="0" xfId="19" applyNumberFormat="1" applyFont="1" applyFill="1" applyAlignment="1">
      <alignment vertical="center"/>
    </xf>
    <xf numFmtId="181" fontId="139" fillId="20" borderId="0" xfId="19" applyNumberFormat="1" applyFont="1" applyFill="1" applyAlignment="1" applyProtection="1">
      <alignment vertical="center"/>
    </xf>
    <xf numFmtId="181" fontId="139" fillId="20" borderId="0" xfId="19" applyNumberFormat="1" applyFont="1" applyFill="1" applyAlignment="1">
      <alignment horizontal="center" vertical="center"/>
    </xf>
    <xf numFmtId="37" fontId="139" fillId="20" borderId="0" xfId="19" applyFont="1" applyFill="1" applyAlignment="1">
      <alignment horizontal="center" vertical="center"/>
    </xf>
    <xf numFmtId="37" fontId="139" fillId="20" borderId="0" xfId="19" applyFont="1" applyFill="1" applyAlignment="1">
      <alignment vertical="center"/>
    </xf>
    <xf numFmtId="185" fontId="139" fillId="20" borderId="0" xfId="19" applyNumberFormat="1" applyFont="1" applyFill="1" applyAlignment="1">
      <alignment horizontal="center" vertical="center"/>
    </xf>
    <xf numFmtId="184" fontId="139" fillId="20" borderId="0" xfId="19" applyNumberFormat="1" applyFont="1" applyFill="1" applyAlignment="1" applyProtection="1">
      <alignment vertical="center"/>
    </xf>
    <xf numFmtId="37" fontId="139" fillId="20" borderId="0" xfId="19" applyFont="1" applyFill="1" applyAlignment="1">
      <alignment horizontal="right" vertical="center"/>
    </xf>
    <xf numFmtId="37" fontId="139" fillId="20" borderId="0" xfId="19" quotePrefix="1" applyFont="1" applyFill="1" applyAlignment="1">
      <alignment horizontal="center" vertical="center"/>
    </xf>
    <xf numFmtId="37" fontId="138" fillId="20" borderId="0" xfId="19" applyFont="1" applyFill="1" applyAlignment="1">
      <alignment horizontal="center" vertical="center"/>
    </xf>
    <xf numFmtId="181" fontId="139" fillId="20" borderId="0" xfId="19" applyNumberFormat="1" applyFont="1" applyFill="1" applyAlignment="1">
      <alignment horizontal="right" vertical="center"/>
    </xf>
    <xf numFmtId="181" fontId="139" fillId="20" borderId="0" xfId="19" quotePrefix="1" applyNumberFormat="1" applyFont="1" applyFill="1" applyAlignment="1">
      <alignment horizontal="center" vertical="center"/>
    </xf>
    <xf numFmtId="37" fontId="139" fillId="20" borderId="0" xfId="19" quotePrefix="1" applyFont="1" applyFill="1" applyAlignment="1">
      <alignment horizontal="left" vertical="center"/>
    </xf>
    <xf numFmtId="181" fontId="139" fillId="20" borderId="0" xfId="19" applyNumberFormat="1" applyFont="1" applyFill="1" applyAlignment="1" applyProtection="1">
      <alignment horizontal="center" vertical="center"/>
    </xf>
    <xf numFmtId="1" fontId="139" fillId="20" borderId="0" xfId="19" applyNumberFormat="1" applyFont="1" applyFill="1" applyAlignment="1">
      <alignment vertical="center"/>
    </xf>
    <xf numFmtId="183" fontId="139" fillId="20" borderId="0" xfId="19" applyNumberFormat="1" applyFont="1" applyFill="1" applyAlignment="1" applyProtection="1">
      <alignment horizontal="center" vertical="center"/>
    </xf>
    <xf numFmtId="37" fontId="139" fillId="20" borderId="0" xfId="19" applyFont="1" applyFill="1" applyAlignment="1">
      <alignment horizontal="left" vertical="center"/>
    </xf>
    <xf numFmtId="37" fontId="143" fillId="20" borderId="0" xfId="19" applyFont="1" applyFill="1" applyAlignment="1">
      <alignment horizontal="left" vertical="center"/>
    </xf>
    <xf numFmtId="181" fontId="139" fillId="0" borderId="0" xfId="19" applyNumberFormat="1" applyFont="1" applyFill="1" applyAlignment="1" applyProtection="1">
      <alignment horizontal="center" vertical="center"/>
    </xf>
    <xf numFmtId="183" fontId="139" fillId="0" borderId="0" xfId="19" applyNumberFormat="1" applyFont="1" applyFill="1" applyAlignment="1" applyProtection="1">
      <alignment horizontal="center" vertical="center"/>
    </xf>
    <xf numFmtId="37" fontId="138" fillId="20" borderId="0" xfId="19" applyFont="1" applyFill="1" applyAlignment="1">
      <alignment vertical="center"/>
    </xf>
    <xf numFmtId="37" fontId="139" fillId="0" borderId="0" xfId="19" quotePrefix="1" applyFont="1" applyFill="1" applyAlignment="1">
      <alignment horizontal="center" vertical="center"/>
    </xf>
    <xf numFmtId="183" fontId="139" fillId="20" borderId="0" xfId="19" applyNumberFormat="1" applyFont="1" applyFill="1" applyAlignment="1" applyProtection="1">
      <alignment horizontal="left" vertical="center"/>
    </xf>
    <xf numFmtId="181" fontId="139" fillId="20" borderId="0" xfId="19" applyNumberFormat="1" applyFont="1" applyFill="1" applyAlignment="1" applyProtection="1">
      <alignment horizontal="right" vertical="center"/>
    </xf>
    <xf numFmtId="181" fontId="141" fillId="0" borderId="0" xfId="19" applyNumberFormat="1" applyFont="1" applyFill="1" applyAlignment="1" applyProtection="1">
      <alignment vertical="center"/>
    </xf>
    <xf numFmtId="181" fontId="139" fillId="0" borderId="0" xfId="19" applyNumberFormat="1" applyFont="1" applyFill="1" applyAlignment="1" applyProtection="1">
      <alignment horizontal="right" vertical="center"/>
    </xf>
    <xf numFmtId="181" fontId="141" fillId="20" borderId="0" xfId="19" applyNumberFormat="1" applyFont="1" applyFill="1" applyAlignment="1">
      <alignment vertical="center"/>
    </xf>
    <xf numFmtId="181" fontId="141" fillId="20" borderId="0" xfId="19" applyNumberFormat="1" applyFont="1" applyFill="1" applyAlignment="1">
      <alignment horizontal="center" vertical="center"/>
    </xf>
    <xf numFmtId="37" fontId="139" fillId="0" borderId="0" xfId="19" applyNumberFormat="1" applyFont="1" applyFill="1" applyAlignment="1" applyProtection="1">
      <alignment vertical="center"/>
    </xf>
    <xf numFmtId="37" fontId="139" fillId="0" borderId="0" xfId="19" applyNumberFormat="1" applyFont="1" applyFill="1" applyAlignment="1" applyProtection="1">
      <alignment horizontal="center" vertical="center"/>
    </xf>
    <xf numFmtId="37" fontId="144" fillId="0" borderId="0" xfId="19" applyNumberFormat="1" applyFont="1" applyFill="1" applyAlignment="1" applyProtection="1">
      <alignment horizontal="center" vertical="center"/>
    </xf>
    <xf numFmtId="37" fontId="144" fillId="0" borderId="0" xfId="19" applyFont="1" applyFill="1" applyAlignment="1">
      <alignment horizontal="center" vertical="center"/>
    </xf>
    <xf numFmtId="37" fontId="144" fillId="0" borderId="0" xfId="19" applyFont="1" applyFill="1" applyAlignment="1">
      <alignment horizontal="left" vertical="center"/>
    </xf>
    <xf numFmtId="14" fontId="139" fillId="0" borderId="0" xfId="19" applyNumberFormat="1" applyFont="1" applyFill="1" applyAlignment="1">
      <alignment horizontal="center" vertical="center"/>
    </xf>
    <xf numFmtId="14" fontId="139" fillId="0" borderId="0" xfId="19" quotePrefix="1" applyNumberFormat="1" applyFont="1" applyFill="1" applyAlignment="1">
      <alignment horizontal="center" vertical="center"/>
    </xf>
    <xf numFmtId="37" fontId="139" fillId="0" borderId="0" xfId="19" applyFont="1" applyFill="1" applyBorder="1" applyAlignment="1">
      <alignment vertical="center"/>
    </xf>
    <xf numFmtId="37" fontId="139" fillId="0" borderId="0" xfId="19" applyFont="1" applyFill="1" applyBorder="1" applyAlignment="1">
      <alignment horizontal="center" vertical="center"/>
    </xf>
    <xf numFmtId="37" fontId="144" fillId="0" borderId="0" xfId="19" applyFont="1" applyFill="1" applyBorder="1" applyAlignment="1">
      <alignment horizontal="centerContinuous" vertical="center"/>
    </xf>
    <xf numFmtId="37" fontId="139" fillId="0" borderId="0" xfId="19" applyFont="1" applyFill="1" applyBorder="1" applyAlignment="1">
      <alignment horizontal="left" vertical="center"/>
    </xf>
    <xf numFmtId="37" fontId="139" fillId="0" borderId="0" xfId="19" applyFont="1" applyFill="1" applyBorder="1" applyAlignment="1">
      <alignment horizontal="centerContinuous" vertical="center"/>
    </xf>
    <xf numFmtId="37" fontId="143" fillId="0" borderId="0" xfId="19" applyFont="1" applyFill="1" applyBorder="1" applyAlignment="1">
      <alignment vertical="center"/>
    </xf>
    <xf numFmtId="37" fontId="143" fillId="0" borderId="0" xfId="19" applyFont="1" applyFill="1" applyBorder="1" applyAlignment="1">
      <alignment horizontal="center" vertical="center"/>
    </xf>
    <xf numFmtId="37" fontId="139" fillId="0" borderId="0" xfId="19" applyFont="1" applyFill="1" applyAlignment="1">
      <alignment horizontal="centerContinuous" vertical="center"/>
    </xf>
    <xf numFmtId="37" fontId="138" fillId="0" borderId="0" xfId="19" applyFont="1" applyFill="1" applyBorder="1" applyAlignment="1">
      <alignment vertical="center"/>
    </xf>
    <xf numFmtId="37" fontId="138" fillId="0" borderId="0" xfId="19" applyFont="1" applyFill="1" applyBorder="1" applyAlignment="1">
      <alignment horizontal="center" vertical="center"/>
    </xf>
    <xf numFmtId="43" fontId="141" fillId="0" borderId="0" xfId="1" applyFont="1" applyFill="1" applyAlignment="1">
      <alignment vertical="center"/>
    </xf>
    <xf numFmtId="43" fontId="141" fillId="0" borderId="0" xfId="1" applyFont="1" applyFill="1" applyAlignment="1" applyProtection="1">
      <alignment vertical="center"/>
    </xf>
    <xf numFmtId="0" fontId="53" fillId="0" borderId="0" xfId="3" applyFont="1" applyAlignment="1" applyProtection="1">
      <alignment horizontal="center" vertical="center"/>
    </xf>
    <xf numFmtId="0" fontId="56" fillId="0" borderId="5" xfId="3" applyFont="1" applyFill="1" applyBorder="1" applyProtection="1"/>
    <xf numFmtId="0" fontId="56" fillId="27" borderId="59" xfId="3" applyFont="1" applyFill="1" applyBorder="1" applyProtection="1"/>
    <xf numFmtId="0" fontId="56" fillId="27" borderId="9" xfId="3" applyFont="1" applyFill="1" applyBorder="1" applyProtection="1"/>
    <xf numFmtId="0" fontId="56" fillId="27" borderId="9" xfId="3" applyFont="1" applyFill="1" applyBorder="1" applyAlignment="1" applyProtection="1">
      <alignment horizontal="center"/>
    </xf>
    <xf numFmtId="0" fontId="56" fillId="27" borderId="50" xfId="3" applyFont="1" applyFill="1" applyBorder="1" applyProtection="1"/>
    <xf numFmtId="0" fontId="56" fillId="27" borderId="40" xfId="3" applyFont="1" applyFill="1" applyBorder="1" applyProtection="1"/>
    <xf numFmtId="0" fontId="56" fillId="27" borderId="74" xfId="3" applyFont="1" applyFill="1" applyBorder="1" applyAlignment="1" applyProtection="1">
      <alignment horizontal="center"/>
    </xf>
    <xf numFmtId="0" fontId="56" fillId="27" borderId="0" xfId="3" applyFont="1" applyFill="1" applyBorder="1" applyAlignment="1" applyProtection="1">
      <alignment horizontal="center"/>
    </xf>
    <xf numFmtId="0" fontId="56" fillId="27" borderId="0" xfId="3" applyFont="1" applyFill="1" applyBorder="1" applyProtection="1"/>
    <xf numFmtId="0" fontId="61" fillId="27" borderId="0" xfId="3" applyFont="1" applyFill="1" applyBorder="1" applyProtection="1"/>
    <xf numFmtId="0" fontId="61" fillId="27" borderId="165" xfId="3" applyFont="1" applyFill="1" applyBorder="1" applyProtection="1"/>
    <xf numFmtId="0" fontId="61" fillId="27" borderId="5" xfId="3" applyFont="1" applyFill="1" applyBorder="1" applyProtection="1"/>
    <xf numFmtId="14" fontId="56" fillId="27" borderId="0" xfId="3" applyNumberFormat="1" applyFont="1" applyFill="1" applyBorder="1" applyProtection="1"/>
    <xf numFmtId="14" fontId="56" fillId="27" borderId="74" xfId="3" applyNumberFormat="1" applyFont="1" applyFill="1" applyBorder="1" applyAlignment="1" applyProtection="1">
      <alignment horizontal="center"/>
    </xf>
    <xf numFmtId="0" fontId="56" fillId="27" borderId="145" xfId="3" applyFont="1" applyFill="1" applyBorder="1" applyProtection="1"/>
    <xf numFmtId="0" fontId="56" fillId="27" borderId="144" xfId="3" applyFont="1" applyFill="1" applyBorder="1" applyProtection="1"/>
    <xf numFmtId="0" fontId="56" fillId="27" borderId="144" xfId="3" applyFont="1" applyFill="1" applyBorder="1" applyAlignment="1" applyProtection="1">
      <alignment horizontal="center"/>
    </xf>
    <xf numFmtId="0" fontId="63" fillId="27" borderId="144" xfId="3" applyFont="1" applyFill="1" applyBorder="1" applyProtection="1"/>
    <xf numFmtId="0" fontId="63" fillId="27" borderId="143" xfId="3" applyFont="1" applyFill="1" applyBorder="1" applyProtection="1"/>
    <xf numFmtId="0" fontId="1" fillId="0" borderId="157" xfId="17" applyFont="1" applyBorder="1" applyAlignment="1" applyProtection="1">
      <alignment horizontal="left" vertical="top" wrapText="1"/>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47"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48"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9" fillId="0" borderId="0" xfId="3" applyFont="1" applyAlignment="1">
      <alignment horizontal="left"/>
    </xf>
    <xf numFmtId="0" fontId="10" fillId="0" borderId="0" xfId="3" applyFont="1" applyAlignment="1">
      <alignment horizontal="left"/>
    </xf>
    <xf numFmtId="0" fontId="35" fillId="0" borderId="0" xfId="3" applyFont="1"/>
    <xf numFmtId="0" fontId="149" fillId="0" borderId="0" xfId="3"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3" fillId="0" borderId="0" xfId="19" applyFont="1" applyFill="1" applyAlignment="1">
      <alignment horizontal="center" vertical="center"/>
    </xf>
    <xf numFmtId="0" fontId="145" fillId="0" borderId="0" xfId="19" applyNumberFormat="1" applyFont="1" applyFill="1" applyAlignment="1">
      <alignment horizontal="center" vertical="center"/>
    </xf>
    <xf numFmtId="37" fontId="144" fillId="0" borderId="0" xfId="19" applyFont="1" applyFill="1" applyBorder="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2">
    <cellStyle name="Comma" xfId="1" builtinId="3"/>
    <cellStyle name="Comma 2" xfId="21"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0"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1039091</xdr:colOff>
          <xdr:row>1</xdr:row>
          <xdr:rowOff>1</xdr:rowOff>
        </xdr:from>
        <xdr:to>
          <xdr:col>1</xdr:col>
          <xdr:colOff>1950027</xdr:colOff>
          <xdr:row>5</xdr:row>
          <xdr:rowOff>38101</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552700" y="275272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657600" y="16192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109" t="s">
        <v>405</v>
      </c>
      <c r="J1" s="2110"/>
      <c r="K1" s="2110"/>
      <c r="L1" s="2110"/>
      <c r="M1" s="2110"/>
      <c r="N1" s="2110"/>
      <c r="O1" s="2110"/>
      <c r="P1" s="2110"/>
      <c r="Q1" s="2110"/>
      <c r="R1" s="2110"/>
      <c r="S1" s="2110"/>
    </row>
    <row r="2" spans="1:28" ht="12" customHeight="1" x14ac:dyDescent="0.2">
      <c r="A2" s="47" t="s">
        <v>1991</v>
      </c>
      <c r="D2" s="48"/>
      <c r="I2" s="2111" t="s">
        <v>979</v>
      </c>
      <c r="J2" s="2110"/>
      <c r="K2" s="2110"/>
      <c r="L2" s="2110"/>
      <c r="M2" s="2110"/>
      <c r="N2" s="2110"/>
      <c r="O2" s="2110"/>
      <c r="P2" s="2110"/>
      <c r="Q2" s="2110"/>
      <c r="R2" s="2110"/>
      <c r="S2" s="2110"/>
    </row>
    <row r="3" spans="1:28" ht="12" customHeight="1" x14ac:dyDescent="0.2">
      <c r="A3" s="155" t="s">
        <v>1943</v>
      </c>
      <c r="B3" s="156"/>
      <c r="C3" s="156"/>
      <c r="D3" s="157"/>
      <c r="I3" s="2111" t="s">
        <v>52</v>
      </c>
      <c r="J3" s="2110"/>
      <c r="K3" s="2110"/>
      <c r="L3" s="2110"/>
      <c r="M3" s="2110"/>
      <c r="N3" s="2110"/>
      <c r="O3" s="2110"/>
      <c r="P3" s="2110"/>
      <c r="Q3" s="2110"/>
      <c r="R3" s="2110"/>
      <c r="S3" s="2110"/>
    </row>
    <row r="4" spans="1:28" ht="12" customHeight="1" x14ac:dyDescent="0.2">
      <c r="A4" s="37"/>
      <c r="I4" s="2111" t="s">
        <v>524</v>
      </c>
      <c r="J4" s="2110"/>
      <c r="K4" s="2110"/>
      <c r="L4" s="2110"/>
      <c r="M4" s="2110"/>
      <c r="N4" s="2110"/>
      <c r="O4" s="2110"/>
      <c r="P4" s="2110"/>
      <c r="Q4" s="2110"/>
      <c r="R4" s="2110"/>
      <c r="S4" s="2110"/>
    </row>
    <row r="5" spans="1:28" ht="14.1" customHeight="1" x14ac:dyDescent="0.2">
      <c r="B5" s="104" t="s">
        <v>2068</v>
      </c>
      <c r="C5" s="26" t="s">
        <v>910</v>
      </c>
      <c r="D5" s="84"/>
      <c r="E5" s="84"/>
      <c r="H5" s="38"/>
      <c r="I5" s="2119" t="s">
        <v>680</v>
      </c>
      <c r="J5" s="2118"/>
      <c r="K5" s="2118"/>
      <c r="L5" s="2118"/>
      <c r="M5" s="2118"/>
      <c r="N5" s="2118"/>
      <c r="O5" s="2118"/>
      <c r="P5" s="2118"/>
      <c r="Q5" s="2118"/>
      <c r="R5" s="2118"/>
      <c r="S5" s="2118"/>
    </row>
    <row r="6" spans="1:28" ht="14.1" customHeight="1" x14ac:dyDescent="0.2">
      <c r="B6" s="104"/>
      <c r="C6" s="26" t="s">
        <v>911</v>
      </c>
      <c r="D6" s="84"/>
      <c r="E6" s="84"/>
      <c r="I6" s="2117" t="s">
        <v>883</v>
      </c>
      <c r="J6" s="2118"/>
      <c r="K6" s="2118"/>
      <c r="L6" s="2118"/>
      <c r="M6" s="2118"/>
      <c r="N6" s="2118"/>
      <c r="O6" s="2118"/>
      <c r="P6" s="2118"/>
      <c r="Q6" s="2118"/>
      <c r="R6" s="2118"/>
      <c r="S6" s="2118"/>
    </row>
    <row r="7" spans="1:28" ht="12.2" customHeight="1" x14ac:dyDescent="0.2">
      <c r="I7" s="2112">
        <v>43646</v>
      </c>
      <c r="J7" s="2113"/>
      <c r="K7" s="2113"/>
      <c r="L7" s="2113"/>
      <c r="M7" s="2113"/>
      <c r="N7" s="2113"/>
      <c r="O7" s="2113"/>
      <c r="P7" s="2113"/>
      <c r="Q7" s="2113"/>
      <c r="R7" s="2113"/>
      <c r="S7" s="21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4" t="s">
        <v>674</v>
      </c>
      <c r="J9" s="2115"/>
      <c r="K9" s="2115"/>
      <c r="L9" s="2115"/>
      <c r="M9" s="2115"/>
      <c r="N9" s="2115"/>
      <c r="O9" s="2115"/>
      <c r="P9" s="2115"/>
      <c r="Q9" s="2115"/>
      <c r="R9" s="2115"/>
      <c r="S9" s="2116"/>
      <c r="T9" s="2130" t="s">
        <v>533</v>
      </c>
      <c r="U9" s="2131"/>
      <c r="V9" s="2131"/>
      <c r="W9" s="2131"/>
      <c r="X9" s="2131"/>
      <c r="Y9" s="2131"/>
      <c r="Z9" s="2131"/>
      <c r="AA9" s="2132"/>
    </row>
    <row r="10" spans="1:28" ht="13.5" customHeight="1" x14ac:dyDescent="0.2">
      <c r="A10" s="2137" t="s">
        <v>675</v>
      </c>
      <c r="B10" s="2138"/>
      <c r="C10" s="2138"/>
      <c r="D10" s="2138"/>
      <c r="E10" s="2138"/>
      <c r="F10" s="2138"/>
      <c r="G10" s="2138"/>
      <c r="H10" s="2139"/>
      <c r="I10" s="29"/>
      <c r="J10" s="30"/>
      <c r="K10" s="28"/>
      <c r="R10" s="30"/>
      <c r="S10" s="30"/>
      <c r="T10" s="2133"/>
      <c r="U10" s="2118"/>
      <c r="V10" s="2118"/>
      <c r="W10" s="2118"/>
      <c r="X10" s="2118"/>
      <c r="Y10" s="2118"/>
      <c r="Z10" s="2118"/>
      <c r="AA10" s="2124"/>
    </row>
    <row r="11" spans="1:28" ht="14.25" customHeight="1" x14ac:dyDescent="0.2">
      <c r="A11" s="2140" t="s">
        <v>955</v>
      </c>
      <c r="B11" s="2141"/>
      <c r="C11" s="2141"/>
      <c r="D11" s="2141"/>
      <c r="E11" s="2141"/>
      <c r="F11" s="2141"/>
      <c r="G11" s="2141"/>
      <c r="H11" s="2142"/>
      <c r="I11" s="27"/>
      <c r="J11" s="74"/>
      <c r="K11" s="27"/>
      <c r="O11" s="148" t="s">
        <v>2068</v>
      </c>
      <c r="P11" s="100" t="s">
        <v>201</v>
      </c>
      <c r="Q11" s="30"/>
      <c r="R11" s="28"/>
      <c r="S11" s="27"/>
      <c r="T11" s="2134"/>
      <c r="U11" s="2135"/>
      <c r="V11" s="2135"/>
      <c r="W11" s="2135"/>
      <c r="X11" s="2135"/>
      <c r="Y11" s="2135"/>
      <c r="Z11" s="2135"/>
      <c r="AA11" s="213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44">
        <v>33066404026</v>
      </c>
      <c r="B13" s="2145"/>
      <c r="C13" s="2145"/>
      <c r="D13" s="2145"/>
      <c r="E13" s="2145"/>
      <c r="F13" s="2145"/>
      <c r="G13" s="2145"/>
      <c r="H13" s="2146"/>
      <c r="I13" s="31"/>
      <c r="J13" s="30"/>
      <c r="K13" s="28"/>
      <c r="L13" s="30"/>
      <c r="M13" s="30"/>
      <c r="N13" s="30"/>
      <c r="O13" s="30"/>
      <c r="P13" s="30"/>
      <c r="Q13" s="30"/>
      <c r="R13" s="30"/>
      <c r="S13" s="30"/>
      <c r="T13" s="2149" t="s">
        <v>2070</v>
      </c>
      <c r="U13" s="2150"/>
      <c r="V13" s="2150"/>
      <c r="W13" s="2150"/>
      <c r="X13" s="2150"/>
      <c r="Y13" s="2151"/>
      <c r="Z13" s="2151"/>
      <c r="AA13" s="215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43" t="s">
        <v>2072</v>
      </c>
      <c r="B15" s="2147"/>
      <c r="C15" s="2147"/>
      <c r="D15" s="2147"/>
      <c r="E15" s="2147"/>
      <c r="F15" s="2147"/>
      <c r="G15" s="2147"/>
      <c r="H15" s="2148"/>
      <c r="T15" s="2153" t="s">
        <v>2082</v>
      </c>
      <c r="U15" s="2097"/>
      <c r="V15" s="2097"/>
      <c r="W15" s="2097"/>
      <c r="X15" s="2097"/>
      <c r="Y15" s="2154"/>
      <c r="Z15" s="2154"/>
      <c r="AA15" s="215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03" t="s">
        <v>2324</v>
      </c>
      <c r="B17" s="2104"/>
      <c r="C17" s="2104"/>
      <c r="D17" s="2104"/>
      <c r="E17" s="2104"/>
      <c r="F17" s="2104"/>
      <c r="G17" s="2104"/>
      <c r="H17" s="2129"/>
      <c r="T17" s="2160" t="s">
        <v>2062</v>
      </c>
      <c r="U17" s="2161"/>
      <c r="V17" s="2161"/>
      <c r="W17" s="2161"/>
      <c r="X17" s="2161"/>
      <c r="Y17" s="2161"/>
      <c r="Z17" s="2161"/>
      <c r="AA17" s="2162"/>
    </row>
    <row r="18" spans="1:27" ht="13.5" customHeight="1" x14ac:dyDescent="0.2">
      <c r="A18" s="85" t="s">
        <v>530</v>
      </c>
      <c r="B18" s="76"/>
      <c r="C18" s="72"/>
      <c r="D18" s="76"/>
      <c r="E18" s="76"/>
      <c r="F18" s="76"/>
      <c r="G18" s="76"/>
      <c r="H18" s="56"/>
      <c r="I18" s="2128" t="s">
        <v>676</v>
      </c>
      <c r="J18" s="2079"/>
      <c r="K18" s="2079"/>
      <c r="L18" s="2079"/>
      <c r="M18" s="2079"/>
      <c r="N18" s="2079"/>
      <c r="O18" s="2079"/>
      <c r="P18" s="2079"/>
      <c r="Q18" s="2079"/>
      <c r="R18" s="2079"/>
      <c r="S18" s="2080"/>
      <c r="T18" s="85" t="s">
        <v>711</v>
      </c>
      <c r="U18" s="51"/>
      <c r="V18" s="72"/>
      <c r="W18" s="50"/>
      <c r="X18" s="85" t="s">
        <v>266</v>
      </c>
      <c r="Y18" s="81"/>
      <c r="Z18" s="159" t="s">
        <v>677</v>
      </c>
      <c r="AA18" s="46"/>
    </row>
    <row r="19" spans="1:27" ht="13.5" customHeight="1" x14ac:dyDescent="0.2">
      <c r="A19" s="2143" t="s">
        <v>2074</v>
      </c>
      <c r="B19" s="2089"/>
      <c r="C19" s="2089"/>
      <c r="D19" s="2089"/>
      <c r="E19" s="2089"/>
      <c r="F19" s="2089"/>
      <c r="G19" s="2089"/>
      <c r="H19" s="2069"/>
      <c r="I19" s="30"/>
      <c r="J19" s="99"/>
      <c r="K19" s="40"/>
      <c r="L19" s="38"/>
      <c r="M19" s="112" t="s">
        <v>315</v>
      </c>
      <c r="P19" s="27"/>
      <c r="Q19" s="27"/>
      <c r="R19" s="27"/>
      <c r="S19" s="31"/>
      <c r="T19" s="2143" t="s">
        <v>2063</v>
      </c>
      <c r="U19" s="2068"/>
      <c r="V19" s="2068"/>
      <c r="W19" s="2069"/>
      <c r="X19" s="2158" t="s">
        <v>2064</v>
      </c>
      <c r="Y19" s="2159"/>
      <c r="Z19" s="2156">
        <v>61614</v>
      </c>
      <c r="AA19" s="215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67" t="s">
        <v>2075</v>
      </c>
      <c r="B21" s="2068"/>
      <c r="C21" s="2068"/>
      <c r="D21" s="2068"/>
      <c r="E21" s="2068"/>
      <c r="F21" s="2068"/>
      <c r="G21" s="2068"/>
      <c r="H21" s="2069"/>
      <c r="I21" s="2123" t="s">
        <v>678</v>
      </c>
      <c r="J21" s="2118"/>
      <c r="K21" s="2118"/>
      <c r="L21" s="2118"/>
      <c r="M21" s="2118"/>
      <c r="N21" s="2118"/>
      <c r="O21" s="2118"/>
      <c r="P21" s="2118"/>
      <c r="Q21" s="2118"/>
      <c r="R21" s="2118"/>
      <c r="S21" s="2124"/>
      <c r="T21" s="2167" t="s">
        <v>2065</v>
      </c>
      <c r="U21" s="2168"/>
      <c r="V21" s="2168"/>
      <c r="W21" s="2168"/>
      <c r="X21" s="2173" t="s">
        <v>2066</v>
      </c>
      <c r="Y21" s="2174"/>
      <c r="Z21" s="2174"/>
      <c r="AA21" s="2175"/>
    </row>
    <row r="22" spans="1:27" ht="13.5" customHeight="1" x14ac:dyDescent="0.2">
      <c r="A22" s="87" t="s">
        <v>531</v>
      </c>
      <c r="B22" s="59"/>
      <c r="C22" s="59"/>
      <c r="D22" s="59"/>
      <c r="E22" s="59"/>
      <c r="F22" s="59"/>
      <c r="G22" s="59"/>
      <c r="H22" s="60"/>
      <c r="I22" s="2125" t="s">
        <v>1429</v>
      </c>
      <c r="J22" s="2126"/>
      <c r="K22" s="2126"/>
      <c r="L22" s="2126"/>
      <c r="M22" s="2126"/>
      <c r="N22" s="2126"/>
      <c r="O22" s="2126"/>
      <c r="P22" s="2126"/>
      <c r="Q22" s="2126"/>
      <c r="R22" s="2126"/>
      <c r="S22" s="2127"/>
      <c r="T22" s="85" t="s">
        <v>1516</v>
      </c>
      <c r="U22" s="51"/>
      <c r="V22" s="72"/>
      <c r="W22" s="51"/>
      <c r="X22" s="160" t="s">
        <v>1318</v>
      </c>
      <c r="Z22" s="45"/>
      <c r="AA22" s="46"/>
    </row>
    <row r="23" spans="1:27" ht="13.5" customHeight="1" x14ac:dyDescent="0.2">
      <c r="A23" s="2120" t="s">
        <v>2076</v>
      </c>
      <c r="B23" s="2121"/>
      <c r="C23" s="2121"/>
      <c r="D23" s="2121"/>
      <c r="E23" s="2121"/>
      <c r="F23" s="2121"/>
      <c r="G23" s="2121"/>
      <c r="H23" s="2122"/>
      <c r="T23" s="2103" t="s">
        <v>2067</v>
      </c>
      <c r="U23" s="2166"/>
      <c r="V23" s="2166"/>
      <c r="W23" s="2166"/>
      <c r="X23" s="2170">
        <v>44501</v>
      </c>
      <c r="Y23" s="2171"/>
      <c r="Z23" s="2171"/>
      <c r="AA23" s="2172"/>
    </row>
    <row r="24" spans="1:27" ht="14.1" customHeight="1" x14ac:dyDescent="0.2">
      <c r="A24" s="88" t="s">
        <v>677</v>
      </c>
      <c r="B24" s="49"/>
      <c r="C24" s="49"/>
      <c r="D24" s="49"/>
      <c r="E24" s="49"/>
      <c r="F24" s="49"/>
      <c r="G24" s="49"/>
      <c r="H24" s="61"/>
      <c r="J24" s="2090">
        <f>IF(B5="x",IF(AUDITCHECK!D29="AFR form Incomplete.","",IF(AUDITCHECK!D29="Deficit reduction plan is required.","School District must complete a deficit reduction plan in the 2019-2020 Budget",)),"")</f>
        <v>0</v>
      </c>
      <c r="K24" s="2090"/>
      <c r="L24" s="2090"/>
      <c r="M24" s="2090"/>
      <c r="N24" s="2090"/>
      <c r="O24" s="2090"/>
      <c r="P24" s="2090"/>
      <c r="Q24" s="2090"/>
      <c r="R24" s="2090"/>
      <c r="S24" s="2091"/>
      <c r="T24" s="105" t="s">
        <v>531</v>
      </c>
      <c r="U24" s="106"/>
      <c r="V24" s="106"/>
      <c r="W24" s="106"/>
      <c r="X24" s="107"/>
      <c r="Y24" s="107"/>
      <c r="Z24" s="107"/>
      <c r="AA24" s="108"/>
    </row>
    <row r="25" spans="1:27" ht="14.1" customHeight="1" x14ac:dyDescent="0.2">
      <c r="A25" s="2067">
        <v>61231</v>
      </c>
      <c r="B25" s="2068"/>
      <c r="C25" s="2068"/>
      <c r="D25" s="2068"/>
      <c r="E25" s="2068"/>
      <c r="F25" s="2068"/>
      <c r="G25" s="2068"/>
      <c r="H25" s="2069"/>
      <c r="I25" s="113"/>
      <c r="J25" s="2092"/>
      <c r="K25" s="2092"/>
      <c r="L25" s="2092"/>
      <c r="M25" s="2092"/>
      <c r="N25" s="2092"/>
      <c r="O25" s="2092"/>
      <c r="P25" s="2092"/>
      <c r="Q25" s="2092"/>
      <c r="R25" s="2092"/>
      <c r="S25" s="2093"/>
      <c r="T25" s="2163" t="s">
        <v>2081</v>
      </c>
      <c r="U25" s="2164"/>
      <c r="V25" s="2164"/>
      <c r="W25" s="2164"/>
      <c r="X25" s="2164"/>
      <c r="Y25" s="2164"/>
      <c r="Z25" s="2164"/>
      <c r="AA25" s="21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8" t="s">
        <v>1511</v>
      </c>
      <c r="J27" s="2079"/>
      <c r="K27" s="2079"/>
      <c r="L27" s="2079"/>
      <c r="M27" s="2079"/>
      <c r="N27" s="2079"/>
      <c r="O27" s="2079"/>
      <c r="P27" s="2079"/>
      <c r="Q27" s="2079"/>
      <c r="R27" s="2079"/>
      <c r="S27" s="208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48" t="s">
        <v>2077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89"/>
      <c r="Q35" s="2068"/>
      <c r="R35" s="20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03" t="s">
        <v>2078</v>
      </c>
      <c r="B38" s="2104"/>
      <c r="C38" s="2104"/>
      <c r="D38" s="2104"/>
      <c r="E38" s="2104"/>
      <c r="F38" s="2068"/>
      <c r="G38" s="2068"/>
      <c r="H38" s="2069"/>
      <c r="I38" s="2096"/>
      <c r="J38" s="2097"/>
      <c r="K38" s="2097"/>
      <c r="L38" s="2097"/>
      <c r="M38" s="2097"/>
      <c r="N38" s="2097"/>
      <c r="O38" s="2097"/>
      <c r="P38" s="2098"/>
      <c r="Q38" s="2098"/>
      <c r="R38" s="2098"/>
      <c r="S38" s="2099"/>
      <c r="T38" s="2153"/>
      <c r="U38" s="2097"/>
      <c r="V38" s="2097"/>
      <c r="W38" s="2097"/>
      <c r="X38" s="2098"/>
      <c r="Y38" s="2098"/>
      <c r="Z38" s="2098"/>
      <c r="AA38" s="2099"/>
    </row>
    <row r="39" spans="1:27" ht="12" customHeight="1" x14ac:dyDescent="0.2">
      <c r="A39" s="2073" t="s">
        <v>531</v>
      </c>
      <c r="B39" s="2074"/>
      <c r="C39" s="72"/>
      <c r="D39" s="69"/>
      <c r="E39" s="69"/>
      <c r="F39" s="79"/>
      <c r="G39" s="69"/>
      <c r="H39" s="56"/>
      <c r="I39" s="2073" t="s">
        <v>531</v>
      </c>
      <c r="J39" s="2074"/>
      <c r="K39" s="2074"/>
      <c r="L39" s="2074"/>
      <c r="M39" s="2074"/>
      <c r="N39" s="67"/>
      <c r="O39" s="72"/>
      <c r="P39" s="72"/>
      <c r="Q39" s="78"/>
      <c r="R39" s="72"/>
      <c r="S39" s="56"/>
      <c r="T39" s="72" t="s">
        <v>531</v>
      </c>
      <c r="U39" s="51"/>
      <c r="V39" s="72"/>
      <c r="W39" s="50"/>
      <c r="X39" s="78"/>
      <c r="Y39" s="45"/>
      <c r="Z39" s="45"/>
      <c r="AA39" s="46"/>
    </row>
    <row r="40" spans="1:27" ht="13.5" customHeight="1" x14ac:dyDescent="0.2">
      <c r="A40" s="2081" t="s">
        <v>2076</v>
      </c>
      <c r="B40" s="2082"/>
      <c r="C40" s="2083"/>
      <c r="D40" s="2083"/>
      <c r="E40" s="2083"/>
      <c r="F40" s="2084"/>
      <c r="G40" s="2084"/>
      <c r="H40" s="2085"/>
      <c r="I40" s="2106"/>
      <c r="J40" s="2107"/>
      <c r="K40" s="2107"/>
      <c r="L40" s="2107"/>
      <c r="M40" s="2107"/>
      <c r="N40" s="2107"/>
      <c r="O40" s="2107"/>
      <c r="P40" s="2107"/>
      <c r="Q40" s="2107"/>
      <c r="R40" s="2107"/>
      <c r="S40" s="2108"/>
      <c r="T40" s="2106"/>
      <c r="U40" s="2169"/>
      <c r="V40" s="2107"/>
      <c r="W40" s="2107"/>
      <c r="X40" s="2107"/>
      <c r="Y40" s="2107"/>
      <c r="Z40" s="2107"/>
      <c r="AA40" s="210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5" t="s">
        <v>2079</v>
      </c>
      <c r="B42" s="2087"/>
      <c r="C42" s="2088"/>
      <c r="D42" s="2086" t="s">
        <v>2080</v>
      </c>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309" t="s">
        <v>1800</v>
      </c>
      <c r="B2" s="1525" t="s">
        <v>1949</v>
      </c>
      <c r="C2" s="711" t="s">
        <v>1950</v>
      </c>
      <c r="D2" s="711" t="s">
        <v>1951</v>
      </c>
      <c r="E2" s="711" t="s">
        <v>1952</v>
      </c>
      <c r="F2" s="711" t="s">
        <v>1953</v>
      </c>
    </row>
    <row r="3" spans="1:6" ht="12" customHeight="1" x14ac:dyDescent="0.2">
      <c r="A3" s="2310"/>
      <c r="B3" s="1522"/>
      <c r="C3" s="1523"/>
      <c r="D3" s="1524" t="s">
        <v>256</v>
      </c>
      <c r="E3" s="1523"/>
      <c r="F3" s="1524" t="s">
        <v>257</v>
      </c>
    </row>
    <row r="4" spans="1:6" ht="13.7" customHeight="1" x14ac:dyDescent="0.2">
      <c r="A4" s="712" t="s">
        <v>1155</v>
      </c>
      <c r="B4" s="1746">
        <f>'Revenues 9-14'!C5</f>
        <v>4018132</v>
      </c>
      <c r="C4" s="1521">
        <v>36740</v>
      </c>
      <c r="D4" s="1749">
        <f>B4-C4</f>
        <v>3981392</v>
      </c>
      <c r="E4" s="1521">
        <v>4220765</v>
      </c>
      <c r="F4" s="1749">
        <f>E4-C4</f>
        <v>4184025</v>
      </c>
    </row>
    <row r="5" spans="1:6" ht="13.7" customHeight="1" x14ac:dyDescent="0.2">
      <c r="A5" s="712" t="s">
        <v>870</v>
      </c>
      <c r="B5" s="1747">
        <f>'Revenues 9-14'!D5</f>
        <v>1041818</v>
      </c>
      <c r="C5" s="582">
        <v>9525</v>
      </c>
      <c r="D5" s="1750">
        <f t="shared" ref="D5:D18" si="0">B5-C5</f>
        <v>1032293</v>
      </c>
      <c r="E5" s="582">
        <v>1094317</v>
      </c>
      <c r="F5" s="1750">
        <f>E5-C5</f>
        <v>1084792</v>
      </c>
    </row>
    <row r="6" spans="1:6" ht="13.7" customHeight="1" x14ac:dyDescent="0.2">
      <c r="A6" s="712" t="s">
        <v>411</v>
      </c>
      <c r="B6" s="1747">
        <f>'Revenues 9-14'!E5</f>
        <v>398825</v>
      </c>
      <c r="C6" s="582">
        <v>3806</v>
      </c>
      <c r="D6" s="1750">
        <f t="shared" si="0"/>
        <v>395019</v>
      </c>
      <c r="E6" s="582">
        <v>437255</v>
      </c>
      <c r="F6" s="1750">
        <f t="shared" ref="F6:F18" si="1">E6-C6</f>
        <v>433449</v>
      </c>
    </row>
    <row r="7" spans="1:6" ht="13.7" customHeight="1" x14ac:dyDescent="0.2">
      <c r="A7" s="712" t="s">
        <v>155</v>
      </c>
      <c r="B7" s="1747">
        <f>'Revenues 9-14'!F5</f>
        <v>297748</v>
      </c>
      <c r="C7" s="582">
        <v>2722</v>
      </c>
      <c r="D7" s="1750">
        <f t="shared" si="0"/>
        <v>295026</v>
      </c>
      <c r="E7" s="582">
        <v>312705</v>
      </c>
      <c r="F7" s="1750">
        <f t="shared" si="1"/>
        <v>309983</v>
      </c>
    </row>
    <row r="8" spans="1:6" ht="13.7" customHeight="1" x14ac:dyDescent="0.2">
      <c r="A8" s="712" t="s">
        <v>1179</v>
      </c>
      <c r="B8" s="1747">
        <f>'Revenues 9-14'!G5</f>
        <v>222929</v>
      </c>
      <c r="C8" s="582">
        <v>1653</v>
      </c>
      <c r="D8" s="1750">
        <f t="shared" si="0"/>
        <v>221276</v>
      </c>
      <c r="E8" s="582">
        <v>189913</v>
      </c>
      <c r="F8" s="1750">
        <f t="shared" si="1"/>
        <v>188260</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74437</v>
      </c>
      <c r="C10" s="582">
        <v>680</v>
      </c>
      <c r="D10" s="1750">
        <f t="shared" si="0"/>
        <v>73757</v>
      </c>
      <c r="E10" s="582">
        <v>78172</v>
      </c>
      <c r="F10" s="1750">
        <f t="shared" si="1"/>
        <v>77492</v>
      </c>
    </row>
    <row r="11" spans="1:6" x14ac:dyDescent="0.2">
      <c r="A11" s="712" t="s">
        <v>409</v>
      </c>
      <c r="B11" s="1747">
        <f>'Revenues 9-14'!J5</f>
        <v>535743</v>
      </c>
      <c r="C11" s="582">
        <v>4863</v>
      </c>
      <c r="D11" s="1750">
        <f t="shared" si="0"/>
        <v>530880</v>
      </c>
      <c r="E11" s="582">
        <v>558638</v>
      </c>
      <c r="F11" s="1750">
        <f t="shared" si="1"/>
        <v>553775</v>
      </c>
    </row>
    <row r="12" spans="1:6" ht="13.7" customHeight="1" x14ac:dyDescent="0.2">
      <c r="A12" s="712" t="s">
        <v>157</v>
      </c>
      <c r="B12" s="1747">
        <f>'Revenues 9-14'!K5</f>
        <v>74437</v>
      </c>
      <c r="C12" s="582">
        <v>680</v>
      </c>
      <c r="D12" s="1750">
        <f t="shared" si="0"/>
        <v>73757</v>
      </c>
      <c r="E12" s="582">
        <v>78172</v>
      </c>
      <c r="F12" s="1750">
        <f t="shared" si="1"/>
        <v>77492</v>
      </c>
    </row>
    <row r="13" spans="1:6" ht="13.7" customHeight="1" x14ac:dyDescent="0.2">
      <c r="A13" s="712" t="s">
        <v>936</v>
      </c>
      <c r="B13" s="1747">
        <f>SUM('Revenues 9-14'!C6:D6)</f>
        <v>74437</v>
      </c>
      <c r="C13" s="582">
        <v>680</v>
      </c>
      <c r="D13" s="1750">
        <f t="shared" si="0"/>
        <v>73757</v>
      </c>
      <c r="E13" s="582">
        <v>78172</v>
      </c>
      <c r="F13" s="1750">
        <f t="shared" si="1"/>
        <v>77492</v>
      </c>
    </row>
    <row r="14" spans="1:6" ht="13.7" customHeight="1" x14ac:dyDescent="0.2">
      <c r="A14" s="712" t="s">
        <v>410</v>
      </c>
      <c r="B14" s="1747">
        <f>SUM('Revenues 9-14'!C7:D7,'Revenues 9-14'!F7:H7)</f>
        <v>59581</v>
      </c>
      <c r="C14" s="582">
        <v>546</v>
      </c>
      <c r="D14" s="1750">
        <f t="shared" si="0"/>
        <v>59035</v>
      </c>
      <c r="E14" s="582">
        <v>62671</v>
      </c>
      <c r="F14" s="1750">
        <f t="shared" si="1"/>
        <v>62125</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268474</v>
      </c>
      <c r="C16" s="582">
        <v>3046</v>
      </c>
      <c r="D16" s="1750">
        <f t="shared" si="0"/>
        <v>265428</v>
      </c>
      <c r="E16" s="582">
        <v>349899</v>
      </c>
      <c r="F16" s="1750">
        <f t="shared" si="1"/>
        <v>346853</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7066561</v>
      </c>
      <c r="C19" s="1748">
        <f>SUM(C4:C18)</f>
        <v>64941</v>
      </c>
      <c r="D19" s="1748">
        <f>SUM(D4:D18)</f>
        <v>7001620</v>
      </c>
      <c r="E19" s="1748">
        <f>SUM(E4:E18)</f>
        <v>7460679</v>
      </c>
      <c r="F19" s="1748">
        <f>SUM(F4:F18)</f>
        <v>7395738</v>
      </c>
    </row>
    <row r="20" spans="1:6" ht="13.5" thickTop="1" x14ac:dyDescent="0.2">
      <c r="B20" s="710"/>
      <c r="F20" s="713"/>
    </row>
    <row r="21" spans="1:6" x14ac:dyDescent="0.2">
      <c r="A21" s="714" t="s">
        <v>1806</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1" t="s">
        <v>629</v>
      </c>
      <c r="B1" s="2329"/>
      <c r="C1" s="718"/>
    </row>
    <row r="2" spans="1:7" ht="33.75" x14ac:dyDescent="0.2">
      <c r="A2" s="2336" t="s">
        <v>1800</v>
      </c>
      <c r="B2" s="2337"/>
      <c r="C2" s="1881" t="s">
        <v>1954</v>
      </c>
      <c r="D2" s="720" t="s">
        <v>1955</v>
      </c>
      <c r="E2" s="720" t="s">
        <v>1956</v>
      </c>
      <c r="F2" s="1881" t="s">
        <v>1957</v>
      </c>
    </row>
    <row r="3" spans="1:7" ht="15.75" customHeight="1" x14ac:dyDescent="0.2">
      <c r="A3" s="2338" t="s">
        <v>1114</v>
      </c>
      <c r="B3" s="2339"/>
      <c r="C3" s="2332"/>
      <c r="D3" s="2333"/>
      <c r="E3" s="2333"/>
      <c r="F3" s="2334"/>
    </row>
    <row r="4" spans="1:7" ht="12.75" customHeight="1" thickBot="1" x14ac:dyDescent="0.25">
      <c r="A4" s="2326" t="s">
        <v>630</v>
      </c>
      <c r="B4" s="2327"/>
      <c r="C4" s="578"/>
      <c r="D4" s="578"/>
      <c r="E4" s="578"/>
      <c r="F4" s="1752">
        <f>SUM(C4+D4)-E4</f>
        <v>0</v>
      </c>
    </row>
    <row r="5" spans="1:7" ht="15.75" customHeight="1" thickTop="1" x14ac:dyDescent="0.2">
      <c r="A5" s="2330" t="s">
        <v>1110</v>
      </c>
      <c r="B5" s="2325"/>
      <c r="C5" s="2319"/>
      <c r="D5" s="2320"/>
      <c r="E5" s="2320"/>
      <c r="F5" s="232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322" t="s">
        <v>631</v>
      </c>
      <c r="B15" s="2323"/>
      <c r="C15" s="1752">
        <f>SUM(C6:C14)</f>
        <v>0</v>
      </c>
      <c r="D15" s="1752">
        <f>SUM(D6:D14)</f>
        <v>0</v>
      </c>
      <c r="E15" s="1752">
        <f>SUM(E6:E14)</f>
        <v>0</v>
      </c>
      <c r="F15" s="1752">
        <f>SUM(F6:F14)</f>
        <v>0</v>
      </c>
      <c r="G15" s="549"/>
    </row>
    <row r="16" spans="1:7" s="202" customFormat="1" ht="15.75" customHeight="1" thickTop="1" x14ac:dyDescent="0.2">
      <c r="A16" s="2335" t="s">
        <v>1111</v>
      </c>
      <c r="B16" s="2325"/>
      <c r="C16" s="2319"/>
      <c r="D16" s="2320"/>
      <c r="E16" s="2320"/>
      <c r="F16" s="2321"/>
    </row>
    <row r="17" spans="1:11" ht="12.75" customHeight="1" thickBot="1" x14ac:dyDescent="0.25">
      <c r="A17" s="2317" t="s">
        <v>64</v>
      </c>
      <c r="B17" s="2318"/>
      <c r="C17" s="723"/>
      <c r="D17" s="582"/>
      <c r="E17" s="723"/>
      <c r="F17" s="1752">
        <f>SUM(C17+D17)-E17</f>
        <v>0</v>
      </c>
    </row>
    <row r="18" spans="1:11" ht="12.75" customHeight="1" thickTop="1" thickBot="1" x14ac:dyDescent="0.25">
      <c r="A18" s="2317" t="s">
        <v>6</v>
      </c>
      <c r="B18" s="2318"/>
      <c r="C18" s="723"/>
      <c r="D18" s="582"/>
      <c r="E18" s="723"/>
      <c r="F18" s="1752">
        <f>SUM(C18+D18)-E18</f>
        <v>0</v>
      </c>
    </row>
    <row r="19" spans="1:11" ht="12.75" customHeight="1" thickTop="1" thickBot="1" x14ac:dyDescent="0.25">
      <c r="A19" s="2317" t="s">
        <v>388</v>
      </c>
      <c r="B19" s="2318"/>
      <c r="C19" s="723"/>
      <c r="D19" s="582"/>
      <c r="E19" s="723"/>
      <c r="F19" s="1752">
        <f>SUM(C19+D19)-E19</f>
        <v>0</v>
      </c>
    </row>
    <row r="20" spans="1:11" ht="12.75" customHeight="1" thickTop="1" thickBot="1" x14ac:dyDescent="0.25">
      <c r="A20" s="2317" t="s">
        <v>448</v>
      </c>
      <c r="B20" s="2318"/>
      <c r="C20" s="723"/>
      <c r="D20" s="582"/>
      <c r="E20" s="723"/>
      <c r="F20" s="1752">
        <f>SUM(C20+D20)-E20</f>
        <v>0</v>
      </c>
    </row>
    <row r="21" spans="1:11" ht="14.25" thickTop="1" thickBot="1" x14ac:dyDescent="0.25">
      <c r="A21" s="2322" t="s">
        <v>632</v>
      </c>
      <c r="B21" s="2323"/>
      <c r="C21" s="1752">
        <f>SUM(C17:C20)</f>
        <v>0</v>
      </c>
      <c r="D21" s="1752">
        <f>SUM(D17:D20)</f>
        <v>0</v>
      </c>
      <c r="E21" s="1752">
        <f>SUM(E17:E20)</f>
        <v>0</v>
      </c>
      <c r="F21" s="1752">
        <f>SUM(F17:F20)</f>
        <v>0</v>
      </c>
      <c r="G21" s="549"/>
    </row>
    <row r="22" spans="1:11" ht="15.75" customHeight="1" thickTop="1" x14ac:dyDescent="0.2">
      <c r="A22" s="2324" t="s">
        <v>1112</v>
      </c>
      <c r="B22" s="2325"/>
      <c r="C22" s="2319"/>
      <c r="D22" s="2320"/>
      <c r="E22" s="2320"/>
      <c r="F22" s="2321"/>
    </row>
    <row r="23" spans="1:11" ht="13.5" thickBot="1" x14ac:dyDescent="0.25">
      <c r="A23" s="2326" t="s">
        <v>633</v>
      </c>
      <c r="B23" s="2327"/>
      <c r="C23" s="578"/>
      <c r="D23" s="578"/>
      <c r="E23" s="578"/>
      <c r="F23" s="1752">
        <f>SUM(C23+D23)-E23</f>
        <v>0</v>
      </c>
      <c r="G23" s="549"/>
    </row>
    <row r="24" spans="1:11" ht="15.75" customHeight="1" thickTop="1" x14ac:dyDescent="0.2">
      <c r="A24" s="2324" t="s">
        <v>1113</v>
      </c>
      <c r="B24" s="2325"/>
      <c r="C24" s="2319"/>
      <c r="D24" s="2320"/>
      <c r="E24" s="2320"/>
      <c r="F24" s="2321"/>
    </row>
    <row r="25" spans="1:11" ht="13.5" thickBot="1" x14ac:dyDescent="0.25">
      <c r="A25" s="2326" t="s">
        <v>634</v>
      </c>
      <c r="B25" s="2327"/>
      <c r="C25" s="578"/>
      <c r="D25" s="578"/>
      <c r="E25" s="578"/>
      <c r="F25" s="1752">
        <f>SUM(C25+D25)-E25</f>
        <v>0</v>
      </c>
      <c r="G25" s="549"/>
    </row>
    <row r="26" spans="1:11" ht="15.75" customHeight="1" thickTop="1" x14ac:dyDescent="0.2">
      <c r="A26" s="2330" t="s">
        <v>657</v>
      </c>
      <c r="B26" s="2325"/>
      <c r="C26" s="724"/>
      <c r="D26" s="724"/>
      <c r="E26" s="724"/>
      <c r="F26" s="725"/>
    </row>
    <row r="27" spans="1:11" ht="13.5" thickBot="1" x14ac:dyDescent="0.25">
      <c r="A27" s="2322" t="s">
        <v>1070</v>
      </c>
      <c r="B27" s="2323"/>
      <c r="C27" s="582"/>
      <c r="D27" s="582"/>
      <c r="E27" s="582"/>
      <c r="F27" s="1752">
        <f>SUM(C27+D27)-E27</f>
        <v>0</v>
      </c>
      <c r="G27" s="549"/>
    </row>
    <row r="28" spans="1:11" ht="7.5" customHeight="1" thickTop="1" x14ac:dyDescent="0.2">
      <c r="A28" s="590"/>
    </row>
    <row r="29" spans="1:11" ht="23.25" customHeight="1" x14ac:dyDescent="0.2">
      <c r="A29" s="2328" t="s">
        <v>582</v>
      </c>
      <c r="B29" s="2329"/>
      <c r="C29" s="726"/>
      <c r="D29" s="726"/>
      <c r="E29" s="726"/>
      <c r="F29" s="726"/>
      <c r="G29" s="726"/>
      <c r="H29" s="726"/>
      <c r="I29" s="726"/>
      <c r="J29" s="726"/>
    </row>
    <row r="30" spans="1:11" ht="33.75" x14ac:dyDescent="0.2">
      <c r="A30" s="1526" t="s">
        <v>1071</v>
      </c>
      <c r="B30" s="727" t="s">
        <v>1124</v>
      </c>
      <c r="C30" s="1882" t="s">
        <v>583</v>
      </c>
      <c r="D30" s="1882" t="s">
        <v>1673</v>
      </c>
      <c r="E30" s="1882" t="s">
        <v>1958</v>
      </c>
      <c r="F30" s="1882" t="s">
        <v>1959</v>
      </c>
      <c r="G30" s="1882" t="s">
        <v>1909</v>
      </c>
      <c r="H30" s="1882" t="s">
        <v>1960</v>
      </c>
      <c r="I30" s="1882" t="s">
        <v>1961</v>
      </c>
      <c r="J30" s="1883" t="s">
        <v>2</v>
      </c>
      <c r="K30" s="728"/>
    </row>
    <row r="31" spans="1:11" ht="12" customHeight="1" x14ac:dyDescent="0.2">
      <c r="A31" s="729" t="s">
        <v>2083</v>
      </c>
      <c r="B31" s="730">
        <v>42611</v>
      </c>
      <c r="C31" s="731">
        <v>44493</v>
      </c>
      <c r="D31" s="732">
        <v>8</v>
      </c>
      <c r="E31" s="731">
        <v>14851</v>
      </c>
      <c r="F31" s="731"/>
      <c r="G31" s="731">
        <v>-14851</v>
      </c>
      <c r="H31" s="731"/>
      <c r="I31" s="1753">
        <f>((E31+F31)-H31)+G31</f>
        <v>0</v>
      </c>
      <c r="J31" s="731">
        <v>0</v>
      </c>
      <c r="K31" s="733"/>
    </row>
    <row r="32" spans="1:11" ht="12" customHeight="1" x14ac:dyDescent="0.2">
      <c r="A32" s="729" t="s">
        <v>2084</v>
      </c>
      <c r="B32" s="730">
        <v>41915</v>
      </c>
      <c r="C32" s="731">
        <v>151428</v>
      </c>
      <c r="D32" s="732">
        <v>7</v>
      </c>
      <c r="E32" s="731">
        <v>30982</v>
      </c>
      <c r="F32" s="731"/>
      <c r="G32" s="731">
        <v>-30982</v>
      </c>
      <c r="H32" s="731"/>
      <c r="I32" s="1753">
        <f>((E32+F32)-H32)+G32</f>
        <v>0</v>
      </c>
      <c r="J32" s="731">
        <v>0</v>
      </c>
      <c r="K32" s="733"/>
    </row>
    <row r="33" spans="1:11" ht="12" customHeight="1" x14ac:dyDescent="0.2">
      <c r="A33" s="729" t="s">
        <v>2085</v>
      </c>
      <c r="B33" s="730">
        <v>41913</v>
      </c>
      <c r="C33" s="731">
        <v>1040000</v>
      </c>
      <c r="D33" s="732">
        <v>3</v>
      </c>
      <c r="E33" s="731">
        <v>303400</v>
      </c>
      <c r="F33" s="731"/>
      <c r="G33" s="731"/>
      <c r="H33" s="731">
        <v>192300</v>
      </c>
      <c r="I33" s="1753">
        <f t="shared" ref="I33:I48" si="1">((E33+F33)-H33)+G33</f>
        <v>111100</v>
      </c>
      <c r="J33" s="731">
        <f>I33-164250</f>
        <v>-53150</v>
      </c>
      <c r="K33" s="733"/>
    </row>
    <row r="34" spans="1:11" ht="12" customHeight="1" x14ac:dyDescent="0.2">
      <c r="A34" s="729" t="s">
        <v>2086</v>
      </c>
      <c r="B34" s="730">
        <v>42514</v>
      </c>
      <c r="C34" s="731">
        <v>1700000</v>
      </c>
      <c r="D34" s="732">
        <v>4</v>
      </c>
      <c r="E34" s="731">
        <v>1197400</v>
      </c>
      <c r="F34" s="731"/>
      <c r="G34" s="731"/>
      <c r="H34" s="731">
        <v>282700</v>
      </c>
      <c r="I34" s="1753">
        <f t="shared" si="1"/>
        <v>914700</v>
      </c>
      <c r="J34" s="731">
        <f>I34-81145</f>
        <v>833555</v>
      </c>
      <c r="K34" s="734"/>
    </row>
    <row r="35" spans="1:11" ht="12" customHeight="1" x14ac:dyDescent="0.2">
      <c r="A35" s="729" t="s">
        <v>2087</v>
      </c>
      <c r="B35" s="730">
        <v>43167</v>
      </c>
      <c r="C35" s="735">
        <v>3525200</v>
      </c>
      <c r="D35" s="732" t="s">
        <v>2089</v>
      </c>
      <c r="E35" s="735">
        <v>3525200</v>
      </c>
      <c r="F35" s="735"/>
      <c r="G35" s="735"/>
      <c r="H35" s="735">
        <v>22400</v>
      </c>
      <c r="I35" s="1753">
        <f t="shared" si="1"/>
        <v>3502800</v>
      </c>
      <c r="J35" s="735">
        <f>I35-1493</f>
        <v>3501307</v>
      </c>
      <c r="K35" s="734"/>
    </row>
    <row r="36" spans="1:11" ht="12" customHeight="1" x14ac:dyDescent="0.2">
      <c r="A36" s="729" t="s">
        <v>2088</v>
      </c>
      <c r="B36" s="730">
        <v>43006</v>
      </c>
      <c r="C36" s="731">
        <v>63526</v>
      </c>
      <c r="D36" s="732">
        <v>8</v>
      </c>
      <c r="E36" s="731">
        <v>42351</v>
      </c>
      <c r="F36" s="731"/>
      <c r="G36" s="731">
        <v>-20795</v>
      </c>
      <c r="H36" s="731"/>
      <c r="I36" s="1753">
        <f t="shared" si="1"/>
        <v>21556</v>
      </c>
      <c r="J36" s="731">
        <v>21556</v>
      </c>
      <c r="K36" s="736"/>
    </row>
    <row r="37" spans="1:11" ht="12" customHeight="1" x14ac:dyDescent="0.2">
      <c r="A37" s="729" t="s">
        <v>2281</v>
      </c>
      <c r="B37" s="730">
        <v>43471</v>
      </c>
      <c r="C37" s="467">
        <v>85762</v>
      </c>
      <c r="D37" s="737">
        <v>8</v>
      </c>
      <c r="E37" s="467"/>
      <c r="F37" s="467"/>
      <c r="G37" s="467">
        <f>85762-22956</f>
        <v>62806</v>
      </c>
      <c r="H37" s="467"/>
      <c r="I37" s="1753">
        <f t="shared" si="1"/>
        <v>62806</v>
      </c>
      <c r="J37" s="467">
        <v>62806</v>
      </c>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6610409</v>
      </c>
      <c r="D49" s="742"/>
      <c r="E49" s="1753">
        <f t="shared" ref="E49:J49" si="2">SUM(E31:E48)</f>
        <v>5114184</v>
      </c>
      <c r="F49" s="1753">
        <f t="shared" si="2"/>
        <v>0</v>
      </c>
      <c r="G49" s="1753">
        <f t="shared" si="2"/>
        <v>-3822</v>
      </c>
      <c r="H49" s="1753">
        <f t="shared" si="2"/>
        <v>497400</v>
      </c>
      <c r="I49" s="1753">
        <f t="shared" si="2"/>
        <v>4612962</v>
      </c>
      <c r="J49" s="1753">
        <f t="shared" si="2"/>
        <v>4366074</v>
      </c>
      <c r="K49" s="734"/>
    </row>
    <row r="50" spans="1:11" ht="6" customHeight="1" x14ac:dyDescent="0.2">
      <c r="A50" s="743"/>
      <c r="B50" s="733"/>
      <c r="C50" s="733"/>
      <c r="D50" s="733"/>
      <c r="E50" s="733"/>
      <c r="F50" s="733"/>
      <c r="G50" s="733"/>
      <c r="H50" s="733"/>
      <c r="I50" s="733"/>
      <c r="J50" s="743"/>
    </row>
    <row r="51" spans="1:11" x14ac:dyDescent="0.2">
      <c r="A51" s="744" t="s">
        <v>1805</v>
      </c>
      <c r="B51" s="743"/>
      <c r="C51" s="734"/>
      <c r="D51" s="734"/>
      <c r="E51" s="734"/>
      <c r="F51" s="734"/>
      <c r="G51" s="734"/>
      <c r="H51" s="733"/>
      <c r="I51" s="733"/>
      <c r="J51" s="743"/>
    </row>
    <row r="52" spans="1:11" ht="11.25" customHeight="1" x14ac:dyDescent="0.2">
      <c r="A52" s="745" t="s">
        <v>912</v>
      </c>
      <c r="B52" s="2311" t="s">
        <v>584</v>
      </c>
      <c r="C52" s="2312"/>
      <c r="D52" s="2312"/>
      <c r="E52" s="746" t="s">
        <v>845</v>
      </c>
      <c r="F52" s="2313" t="s">
        <v>2090</v>
      </c>
      <c r="G52" s="2314"/>
      <c r="H52" s="733"/>
      <c r="I52" s="733"/>
      <c r="J52" s="743"/>
    </row>
    <row r="53" spans="1:11" ht="11.25" customHeight="1" x14ac:dyDescent="0.2">
      <c r="A53" s="747" t="s">
        <v>913</v>
      </c>
      <c r="B53" s="748" t="s">
        <v>951</v>
      </c>
      <c r="C53" s="743"/>
      <c r="D53" s="734"/>
      <c r="E53" s="746" t="s">
        <v>497</v>
      </c>
      <c r="F53" s="2315" t="s">
        <v>2091</v>
      </c>
      <c r="G53" s="2316"/>
      <c r="H53" s="733"/>
      <c r="I53" s="733"/>
      <c r="J53" s="743"/>
    </row>
    <row r="54" spans="1:11" ht="11.25" customHeight="1" x14ac:dyDescent="0.2">
      <c r="A54" s="749" t="s">
        <v>914</v>
      </c>
      <c r="B54" s="744" t="s">
        <v>952</v>
      </c>
      <c r="C54" s="743"/>
      <c r="D54" s="734"/>
      <c r="E54" s="746" t="s">
        <v>498</v>
      </c>
      <c r="F54" s="2315"/>
      <c r="G54" s="231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0" t="s">
        <v>856</v>
      </c>
      <c r="B1" s="2341"/>
      <c r="C1" s="2341"/>
      <c r="D1" s="2341"/>
      <c r="E1" s="2341"/>
      <c r="F1" s="2341"/>
      <c r="G1" s="2342"/>
      <c r="H1" s="1527"/>
      <c r="I1" s="757"/>
      <c r="J1" s="433"/>
    </row>
    <row r="2" spans="1:11" ht="26.25" x14ac:dyDescent="0.2">
      <c r="A2" s="2359" t="s">
        <v>1677</v>
      </c>
      <c r="B2" s="2360"/>
      <c r="C2" s="2360"/>
      <c r="D2" s="2360"/>
      <c r="E2" s="2361"/>
      <c r="F2" s="758" t="s">
        <v>904</v>
      </c>
      <c r="G2" s="759" t="s">
        <v>1674</v>
      </c>
      <c r="H2" s="759" t="s">
        <v>410</v>
      </c>
      <c r="I2" s="759" t="s">
        <v>1158</v>
      </c>
      <c r="J2" s="759" t="s">
        <v>1810</v>
      </c>
      <c r="K2" s="759" t="s">
        <v>138</v>
      </c>
    </row>
    <row r="3" spans="1:11" x14ac:dyDescent="0.2">
      <c r="A3" s="2362" t="s">
        <v>1962</v>
      </c>
      <c r="B3" s="2363"/>
      <c r="C3" s="2363"/>
      <c r="D3" s="2363"/>
      <c r="E3" s="2364"/>
      <c r="F3" s="760"/>
      <c r="G3" s="761"/>
      <c r="H3" s="761"/>
      <c r="I3" s="761"/>
      <c r="J3" s="762">
        <v>210174</v>
      </c>
      <c r="K3" s="762"/>
    </row>
    <row r="4" spans="1:11" x14ac:dyDescent="0.2">
      <c r="A4" s="2365" t="s">
        <v>369</v>
      </c>
      <c r="B4" s="2366"/>
      <c r="C4" s="2366"/>
      <c r="D4" s="2366"/>
      <c r="E4" s="2312"/>
      <c r="F4" s="763"/>
      <c r="G4" s="764"/>
      <c r="H4" s="765"/>
      <c r="I4" s="764"/>
      <c r="J4" s="766"/>
      <c r="K4" s="766"/>
    </row>
    <row r="5" spans="1:11" x14ac:dyDescent="0.2">
      <c r="A5" s="2343" t="s">
        <v>1069</v>
      </c>
      <c r="B5" s="2344"/>
      <c r="C5" s="2344"/>
      <c r="D5" s="2344"/>
      <c r="E5" s="2345"/>
      <c r="F5" s="767" t="s">
        <v>848</v>
      </c>
      <c r="G5" s="768"/>
      <c r="H5" s="761">
        <v>59581</v>
      </c>
      <c r="I5" s="769"/>
      <c r="J5" s="770"/>
      <c r="K5" s="770"/>
    </row>
    <row r="6" spans="1:11" x14ac:dyDescent="0.2">
      <c r="A6" s="771" t="s">
        <v>720</v>
      </c>
      <c r="B6" s="772"/>
      <c r="C6" s="772"/>
      <c r="D6" s="772"/>
      <c r="E6" s="773"/>
      <c r="F6" s="774" t="s">
        <v>849</v>
      </c>
      <c r="G6" s="761"/>
      <c r="H6" s="761">
        <v>19</v>
      </c>
      <c r="I6" s="761"/>
      <c r="J6" s="762">
        <v>1670</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f>205750+156994</f>
        <v>362744</v>
      </c>
      <c r="K8" s="766"/>
    </row>
    <row r="9" spans="1:11" x14ac:dyDescent="0.2">
      <c r="A9" s="775" t="s">
        <v>138</v>
      </c>
      <c r="B9" s="776"/>
      <c r="C9" s="776"/>
      <c r="D9" s="776"/>
      <c r="E9" s="777"/>
      <c r="F9" s="774" t="s">
        <v>853</v>
      </c>
      <c r="G9" s="779"/>
      <c r="H9" s="768"/>
      <c r="I9" s="768"/>
      <c r="J9" s="778"/>
      <c r="K9" s="762">
        <v>17166</v>
      </c>
    </row>
    <row r="10" spans="1:11" x14ac:dyDescent="0.2">
      <c r="A10" s="2343" t="s">
        <v>1811</v>
      </c>
      <c r="B10" s="2344"/>
      <c r="C10" s="2344"/>
      <c r="D10" s="2344"/>
      <c r="E10" s="2346"/>
      <c r="F10" s="780" t="s">
        <v>862</v>
      </c>
      <c r="G10" s="779"/>
      <c r="H10" s="781"/>
      <c r="I10" s="761"/>
      <c r="J10" s="762"/>
      <c r="K10" s="762">
        <v>6300</v>
      </c>
    </row>
    <row r="11" spans="1:11" x14ac:dyDescent="0.2">
      <c r="A11" s="2343" t="s">
        <v>160</v>
      </c>
      <c r="B11" s="2344"/>
      <c r="C11" s="2344"/>
      <c r="D11" s="2344"/>
      <c r="E11" s="2345"/>
      <c r="F11" s="767" t="s">
        <v>852</v>
      </c>
      <c r="G11" s="768"/>
      <c r="H11" s="761"/>
      <c r="I11" s="761"/>
      <c r="J11" s="762"/>
      <c r="K11" s="770"/>
    </row>
    <row r="12" spans="1:11" ht="13.5" thickBot="1" x14ac:dyDescent="0.25">
      <c r="A12" s="2370" t="s">
        <v>905</v>
      </c>
      <c r="B12" s="2371"/>
      <c r="C12" s="2371"/>
      <c r="D12" s="2371"/>
      <c r="E12" s="2372"/>
      <c r="F12" s="1754"/>
      <c r="G12" s="1755">
        <f>SUM(G5:G11)</f>
        <v>0</v>
      </c>
      <c r="H12" s="1755">
        <f>SUM(H5:H11)</f>
        <v>59600</v>
      </c>
      <c r="I12" s="1755">
        <f>SUM(I5:I11)</f>
        <v>0</v>
      </c>
      <c r="J12" s="1755">
        <f>SUM(J5:J11)</f>
        <v>364414</v>
      </c>
      <c r="K12" s="1755">
        <f>SUM(K5:K11)</f>
        <v>23466</v>
      </c>
    </row>
    <row r="13" spans="1:11" ht="13.5" thickTop="1" x14ac:dyDescent="0.2">
      <c r="A13" s="2367" t="s">
        <v>370</v>
      </c>
      <c r="B13" s="2368"/>
      <c r="C13" s="2368"/>
      <c r="D13" s="2368"/>
      <c r="E13" s="2369"/>
      <c r="F13" s="782"/>
      <c r="G13" s="783"/>
      <c r="H13" s="784"/>
      <c r="I13" s="785"/>
      <c r="J13" s="785"/>
      <c r="K13" s="785"/>
    </row>
    <row r="14" spans="1:11" x14ac:dyDescent="0.2">
      <c r="A14" s="2350" t="s">
        <v>456</v>
      </c>
      <c r="B14" s="2350"/>
      <c r="C14" s="2350"/>
      <c r="D14" s="2350"/>
      <c r="E14" s="2351"/>
      <c r="F14" s="786" t="s">
        <v>854</v>
      </c>
      <c r="G14" s="779"/>
      <c r="H14" s="761">
        <v>59600</v>
      </c>
      <c r="I14" s="768"/>
      <c r="J14" s="770"/>
      <c r="K14" s="762">
        <v>23466</v>
      </c>
    </row>
    <row r="15" spans="1:11" x14ac:dyDescent="0.2">
      <c r="A15" s="2344" t="s">
        <v>4</v>
      </c>
      <c r="B15" s="2344"/>
      <c r="C15" s="2344"/>
      <c r="D15" s="2344"/>
      <c r="E15" s="2345"/>
      <c r="F15" s="786" t="s">
        <v>855</v>
      </c>
      <c r="G15" s="768"/>
      <c r="H15" s="761"/>
      <c r="I15" s="761"/>
      <c r="J15" s="762"/>
      <c r="K15" s="762"/>
    </row>
    <row r="16" spans="1:11" x14ac:dyDescent="0.2">
      <c r="A16" s="2344" t="s">
        <v>298</v>
      </c>
      <c r="B16" s="2344"/>
      <c r="C16" s="2344"/>
      <c r="D16" s="2344"/>
      <c r="E16" s="2345"/>
      <c r="F16" s="786" t="s">
        <v>923</v>
      </c>
      <c r="G16" s="769"/>
      <c r="H16" s="764"/>
      <c r="I16" s="764"/>
      <c r="J16" s="766"/>
      <c r="K16" s="766"/>
    </row>
    <row r="17" spans="1:11" x14ac:dyDescent="0.2">
      <c r="A17" s="2375" t="s">
        <v>935</v>
      </c>
      <c r="B17" s="2375"/>
      <c r="C17" s="2375"/>
      <c r="D17" s="2375"/>
      <c r="E17" s="2376"/>
      <c r="F17" s="787"/>
      <c r="G17" s="788"/>
      <c r="H17" s="789"/>
      <c r="I17" s="789"/>
      <c r="J17" s="790"/>
      <c r="K17" s="791"/>
    </row>
    <row r="18" spans="1:11" x14ac:dyDescent="0.2">
      <c r="A18" s="2354" t="s">
        <v>368</v>
      </c>
      <c r="B18" s="2355"/>
      <c r="C18" s="2355"/>
      <c r="D18" s="2355"/>
      <c r="E18" s="2356"/>
      <c r="F18" s="786" t="s">
        <v>932</v>
      </c>
      <c r="G18" s="779"/>
      <c r="H18" s="779"/>
      <c r="I18" s="779"/>
      <c r="J18" s="762"/>
      <c r="K18" s="792"/>
    </row>
    <row r="19" spans="1:11" ht="21.75" customHeight="1" x14ac:dyDescent="0.2">
      <c r="A19" s="2352" t="s">
        <v>1807</v>
      </c>
      <c r="B19" s="2352"/>
      <c r="C19" s="2352"/>
      <c r="D19" s="2352"/>
      <c r="E19" s="2353"/>
      <c r="F19" s="786" t="s">
        <v>933</v>
      </c>
      <c r="G19" s="779"/>
      <c r="H19" s="779"/>
      <c r="I19" s="779"/>
      <c r="J19" s="762">
        <v>192300</v>
      </c>
      <c r="K19" s="792"/>
    </row>
    <row r="20" spans="1:11" x14ac:dyDescent="0.2">
      <c r="A20" s="2354" t="s">
        <v>1812</v>
      </c>
      <c r="B20" s="2355"/>
      <c r="C20" s="2355"/>
      <c r="D20" s="2355"/>
      <c r="E20" s="2356"/>
      <c r="F20" s="786" t="s">
        <v>934</v>
      </c>
      <c r="G20" s="779"/>
      <c r="H20" s="779"/>
      <c r="I20" s="779"/>
      <c r="J20" s="762">
        <v>2868</v>
      </c>
      <c r="K20" s="792"/>
    </row>
    <row r="21" spans="1:11" ht="13.5" thickBot="1" x14ac:dyDescent="0.25">
      <c r="A21" s="2373" t="s">
        <v>638</v>
      </c>
      <c r="B21" s="2373"/>
      <c r="C21" s="2373"/>
      <c r="D21" s="2373"/>
      <c r="E21" s="2373"/>
      <c r="F21" s="1756"/>
      <c r="G21" s="789"/>
      <c r="H21" s="793"/>
      <c r="I21" s="793"/>
      <c r="J21" s="1757">
        <f>SUM(J18:J20)</f>
        <v>195168</v>
      </c>
      <c r="K21" s="790"/>
    </row>
    <row r="22" spans="1:11" ht="13.5" thickTop="1" x14ac:dyDescent="0.2">
      <c r="A22" s="2344" t="s">
        <v>1813</v>
      </c>
      <c r="B22" s="2344"/>
      <c r="C22" s="2344"/>
      <c r="D22" s="2344"/>
      <c r="E22" s="2345"/>
      <c r="F22" s="786" t="s">
        <v>862</v>
      </c>
      <c r="G22" s="779"/>
      <c r="H22" s="761"/>
      <c r="I22" s="761"/>
      <c r="J22" s="794"/>
      <c r="K22" s="762"/>
    </row>
    <row r="23" spans="1:11" ht="13.5" thickBot="1" x14ac:dyDescent="0.25">
      <c r="A23" s="2374" t="s">
        <v>906</v>
      </c>
      <c r="B23" s="2373"/>
      <c r="C23" s="2373"/>
      <c r="D23" s="2373"/>
      <c r="E23" s="2373"/>
      <c r="F23" s="1758"/>
      <c r="G23" s="1755">
        <f>SUM(G14:G16,G21,G22)</f>
        <v>0</v>
      </c>
      <c r="H23" s="1755">
        <f>SUM(H14:H16,H21,H22)</f>
        <v>59600</v>
      </c>
      <c r="I23" s="1755">
        <f>SUM(I14:I16,I21,I22)</f>
        <v>0</v>
      </c>
      <c r="J23" s="1755">
        <f>SUM(J14:J16,J21,J22)</f>
        <v>195168</v>
      </c>
      <c r="K23" s="1755">
        <f>SUM(K14:K16,K21,K22)</f>
        <v>23466</v>
      </c>
    </row>
    <row r="24" spans="1:11" ht="14.25" thickTop="1" thickBot="1" x14ac:dyDescent="0.25">
      <c r="A24" s="2374" t="s">
        <v>1963</v>
      </c>
      <c r="B24" s="2373"/>
      <c r="C24" s="2373"/>
      <c r="D24" s="2373"/>
      <c r="E24" s="2373"/>
      <c r="F24" s="1759"/>
      <c r="G24" s="1760">
        <f>SUM(G3,G12)-G23</f>
        <v>0</v>
      </c>
      <c r="H24" s="1760">
        <f>SUM(H3,H12)-H23</f>
        <v>0</v>
      </c>
      <c r="I24" s="1760">
        <f>SUM(I3,I12)-I23</f>
        <v>0</v>
      </c>
      <c r="J24" s="1760">
        <f>SUM(J3,J12)-J23</f>
        <v>379420</v>
      </c>
      <c r="K24" s="1760">
        <f>SUM(K3,K12)-K23</f>
        <v>0</v>
      </c>
    </row>
    <row r="25" spans="1:11" ht="13.5" thickTop="1" x14ac:dyDescent="0.2">
      <c r="A25" s="795" t="s">
        <v>420</v>
      </c>
      <c r="B25" s="796"/>
      <c r="C25" s="796"/>
      <c r="D25" s="796"/>
      <c r="E25" s="797"/>
      <c r="F25" s="798">
        <v>714</v>
      </c>
      <c r="G25" s="799"/>
      <c r="H25" s="799"/>
      <c r="I25" s="799"/>
      <c r="J25" s="794">
        <v>379420</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1908</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47"/>
      <c r="I31" s="2348"/>
      <c r="J31" s="2348"/>
      <c r="K31" s="2348"/>
    </row>
    <row r="32" spans="1:11" x14ac:dyDescent="0.2">
      <c r="A32" s="806"/>
      <c r="B32" s="237"/>
      <c r="C32" s="237"/>
      <c r="D32" s="237"/>
      <c r="E32" s="802"/>
      <c r="F32" s="808" t="s">
        <v>540</v>
      </c>
      <c r="G32" s="761"/>
      <c r="H32" s="2349"/>
      <c r="I32" s="2348"/>
      <c r="J32" s="2348"/>
      <c r="K32" s="2348"/>
    </row>
    <row r="33" spans="1:11" ht="1.5" customHeight="1" x14ac:dyDescent="0.2">
      <c r="A33" s="809" t="s">
        <v>1169</v>
      </c>
      <c r="B33" s="364"/>
      <c r="C33" s="364"/>
      <c r="D33" s="364"/>
      <c r="E33" s="364"/>
      <c r="F33" s="364"/>
      <c r="G33" s="810"/>
      <c r="H33" s="2349"/>
      <c r="I33" s="2348"/>
      <c r="J33" s="2348"/>
      <c r="K33" s="2348"/>
    </row>
    <row r="34" spans="1:11" x14ac:dyDescent="0.2">
      <c r="A34" s="811" t="s">
        <v>1814</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44" t="s">
        <v>541</v>
      </c>
      <c r="B41" s="2357"/>
      <c r="C41" s="2357"/>
      <c r="D41" s="2357"/>
      <c r="E41" s="2357"/>
      <c r="F41" s="235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1808</v>
      </c>
      <c r="B46" s="408" t="s">
        <v>1675</v>
      </c>
    </row>
    <row r="47" spans="1:11" s="820" customFormat="1" ht="12.75" customHeight="1" x14ac:dyDescent="0.2">
      <c r="A47" s="818"/>
      <c r="B47" s="819" t="s">
        <v>1676</v>
      </c>
      <c r="E47" s="819"/>
      <c r="K47" s="821"/>
    </row>
    <row r="48" spans="1:11" ht="12.75" customHeight="1" x14ac:dyDescent="0.2">
      <c r="A48" s="1529"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9" t="s">
        <v>1907</v>
      </c>
      <c r="B1" s="2380"/>
      <c r="C1" s="2381"/>
      <c r="D1" s="823"/>
      <c r="E1" s="824"/>
      <c r="F1" s="824"/>
      <c r="G1" s="825"/>
      <c r="H1" s="826"/>
      <c r="I1" s="827"/>
      <c r="J1" s="2377"/>
      <c r="K1" s="2378"/>
      <c r="L1" s="2378"/>
    </row>
    <row r="2" spans="1:14" ht="69.75" customHeight="1" x14ac:dyDescent="0.2">
      <c r="A2" s="828" t="s">
        <v>1678</v>
      </c>
      <c r="B2" s="829" t="s">
        <v>378</v>
      </c>
      <c r="C2" s="830" t="s">
        <v>1964</v>
      </c>
      <c r="D2" s="830" t="s">
        <v>1965</v>
      </c>
      <c r="E2" s="830" t="s">
        <v>1966</v>
      </c>
      <c r="F2" s="830" t="s">
        <v>1967</v>
      </c>
      <c r="G2" s="830" t="s">
        <v>605</v>
      </c>
      <c r="H2" s="830" t="s">
        <v>1968</v>
      </c>
      <c r="I2" s="830" t="s">
        <v>1969</v>
      </c>
      <c r="J2" s="830" t="s">
        <v>1970</v>
      </c>
      <c r="K2" s="830" t="s">
        <v>1971</v>
      </c>
      <c r="L2" s="830" t="s">
        <v>1972</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235697</v>
      </c>
      <c r="D5" s="838">
        <v>0</v>
      </c>
      <c r="E5" s="838">
        <v>0</v>
      </c>
      <c r="F5" s="1757">
        <f>(C5+D5)-E5</f>
        <v>235697</v>
      </c>
      <c r="G5" s="834"/>
      <c r="H5" s="839"/>
      <c r="I5" s="839"/>
      <c r="J5" s="839"/>
      <c r="K5" s="790"/>
      <c r="L5" s="1766">
        <f>F5-K5</f>
        <v>235697</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14970605</v>
      </c>
      <c r="D8" s="841">
        <v>1370432</v>
      </c>
      <c r="E8" s="841">
        <v>0</v>
      </c>
      <c r="F8" s="1757">
        <f>(C8+D8)-E8</f>
        <v>16341037</v>
      </c>
      <c r="G8" s="840">
        <v>50</v>
      </c>
      <c r="H8" s="762">
        <v>8934996</v>
      </c>
      <c r="I8" s="762">
        <v>264127</v>
      </c>
      <c r="J8" s="762">
        <v>0</v>
      </c>
      <c r="K8" s="1766">
        <f>(H8+I8)-J8</f>
        <v>9199123</v>
      </c>
      <c r="L8" s="1766">
        <f>F8-K8</f>
        <v>7141914</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6225494</v>
      </c>
      <c r="D10" s="843">
        <v>69498</v>
      </c>
      <c r="E10" s="843">
        <v>0</v>
      </c>
      <c r="F10" s="1761">
        <f>(C10+D10)-E10</f>
        <v>6294992</v>
      </c>
      <c r="G10" s="840">
        <v>20</v>
      </c>
      <c r="H10" s="844">
        <v>1935675</v>
      </c>
      <c r="I10" s="844">
        <v>308606</v>
      </c>
      <c r="J10" s="844">
        <v>0</v>
      </c>
      <c r="K10" s="1766">
        <f>(H10+I10)-J10</f>
        <v>2244281</v>
      </c>
      <c r="L10" s="1766">
        <f>F10-K10</f>
        <v>4050711</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1156662</v>
      </c>
      <c r="D12" s="841">
        <v>412257</v>
      </c>
      <c r="E12" s="841">
        <v>85389</v>
      </c>
      <c r="F12" s="1757">
        <f>(C12+D12)-E12</f>
        <v>1483530</v>
      </c>
      <c r="G12" s="840">
        <v>10</v>
      </c>
      <c r="H12" s="762">
        <v>598850</v>
      </c>
      <c r="I12" s="762">
        <v>148356</v>
      </c>
      <c r="J12" s="762">
        <v>85389</v>
      </c>
      <c r="K12" s="1766">
        <f>(H12+I12)-J12</f>
        <v>661817</v>
      </c>
      <c r="L12" s="1766">
        <f>F12-K12</f>
        <v>821713</v>
      </c>
    </row>
    <row r="13" spans="1:14" ht="14.25" thickTop="1" thickBot="1" x14ac:dyDescent="0.25">
      <c r="A13" s="845" t="s">
        <v>1122</v>
      </c>
      <c r="B13" s="837">
        <v>252</v>
      </c>
      <c r="C13" s="841">
        <v>766096</v>
      </c>
      <c r="D13" s="841">
        <v>30078</v>
      </c>
      <c r="E13" s="841">
        <v>0</v>
      </c>
      <c r="F13" s="1757">
        <f>(C13+D13)-E13</f>
        <v>796174</v>
      </c>
      <c r="G13" s="840">
        <v>5</v>
      </c>
      <c r="H13" s="762">
        <v>585826</v>
      </c>
      <c r="I13" s="762">
        <v>80209</v>
      </c>
      <c r="J13" s="762">
        <v>0</v>
      </c>
      <c r="K13" s="1766">
        <f>(H13+I13)-J13</f>
        <v>666035</v>
      </c>
      <c r="L13" s="1766">
        <f>F13-K13</f>
        <v>130139</v>
      </c>
    </row>
    <row r="14" spans="1:14" ht="14.25" thickTop="1" thickBot="1" x14ac:dyDescent="0.25">
      <c r="A14" s="845" t="s">
        <v>1123</v>
      </c>
      <c r="B14" s="837">
        <v>253</v>
      </c>
      <c r="C14" s="762">
        <v>4610</v>
      </c>
      <c r="D14" s="762">
        <v>0</v>
      </c>
      <c r="E14" s="762">
        <v>0</v>
      </c>
      <c r="F14" s="1757">
        <f>(C14+D14)-E14</f>
        <v>4610</v>
      </c>
      <c r="G14" s="840">
        <v>3</v>
      </c>
      <c r="H14" s="762">
        <v>1537</v>
      </c>
      <c r="I14" s="762">
        <v>1537</v>
      </c>
      <c r="J14" s="762">
        <v>0</v>
      </c>
      <c r="K14" s="1766">
        <f>(H14+I14)-J14</f>
        <v>3074</v>
      </c>
      <c r="L14" s="1766">
        <f>F14-K14</f>
        <v>1536</v>
      </c>
    </row>
    <row r="15" spans="1:14" ht="15" customHeight="1" thickTop="1" thickBot="1" x14ac:dyDescent="0.25">
      <c r="A15" s="1628" t="s">
        <v>528</v>
      </c>
      <c r="B15" s="1627">
        <v>260</v>
      </c>
      <c r="C15" s="841">
        <v>66070</v>
      </c>
      <c r="D15" s="841">
        <v>36617</v>
      </c>
      <c r="E15" s="841">
        <v>66070</v>
      </c>
      <c r="F15" s="1757">
        <f>(C15+D15)-E15</f>
        <v>36617</v>
      </c>
      <c r="G15" s="846" t="s">
        <v>862</v>
      </c>
      <c r="H15" s="778"/>
      <c r="I15" s="778"/>
      <c r="J15" s="778"/>
      <c r="K15" s="778"/>
      <c r="L15" s="1766">
        <f>F15-K15</f>
        <v>36617</v>
      </c>
    </row>
    <row r="16" spans="1:14" ht="15" customHeight="1" thickTop="1" thickBot="1" x14ac:dyDescent="0.25">
      <c r="A16" s="1762" t="s">
        <v>643</v>
      </c>
      <c r="B16" s="1763">
        <v>200</v>
      </c>
      <c r="C16" s="1757">
        <f>SUM(C3,C5:C6,C8:C10,C12:C15)</f>
        <v>23425234</v>
      </c>
      <c r="D16" s="1757">
        <f>SUM(D3,D5:D6,D8:D10,D12:D15)</f>
        <v>1918882</v>
      </c>
      <c r="E16" s="1757">
        <f>SUM(E3,E5:E6,E8:E10,E12:E15)</f>
        <v>151459</v>
      </c>
      <c r="F16" s="1757">
        <f>SUM(F3,F5:F6,F8:F10,F12:F15)</f>
        <v>25192657</v>
      </c>
      <c r="G16" s="840"/>
      <c r="H16" s="1757">
        <f>SUM(H3,H6,H8:H10,H12:H14,)</f>
        <v>12056884</v>
      </c>
      <c r="I16" s="1757">
        <f>SUM(I3,I6,I8:I10,I12:I14,)</f>
        <v>802835</v>
      </c>
      <c r="J16" s="1757">
        <f>SUM(J3,J6,J8:J10,J12:J14,)</f>
        <v>85389</v>
      </c>
      <c r="K16" s="1757">
        <f>(H16+I16)-J16</f>
        <v>12774330</v>
      </c>
      <c r="L16" s="1757">
        <f>F16-K16</f>
        <v>12418327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802835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85" t="s">
        <v>1973</v>
      </c>
      <c r="B1" s="2386"/>
      <c r="C1" s="2386"/>
      <c r="D1" s="2386"/>
      <c r="E1" s="2386"/>
      <c r="F1" s="2387"/>
      <c r="G1" s="852"/>
    </row>
    <row r="2" spans="1:7" ht="15" customHeight="1" thickBot="1" x14ac:dyDescent="0.25">
      <c r="A2" s="2388" t="s">
        <v>477</v>
      </c>
      <c r="B2" s="2389"/>
      <c r="C2" s="2389"/>
      <c r="D2" s="2389"/>
      <c r="E2" s="2389"/>
      <c r="F2" s="239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91"/>
      <c r="B5" s="2392"/>
      <c r="C5" s="2392"/>
      <c r="D5" s="2392"/>
      <c r="E5" s="2392"/>
      <c r="F5" s="2392"/>
    </row>
    <row r="6" spans="1:7" ht="13.5" customHeight="1" thickBot="1" x14ac:dyDescent="0.25">
      <c r="A6" s="2382" t="s">
        <v>1104</v>
      </c>
      <c r="B6" s="2383"/>
      <c r="C6" s="2383"/>
      <c r="D6" s="2383"/>
      <c r="E6" s="2383"/>
      <c r="F6" s="238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10299549</v>
      </c>
      <c r="G8" s="862"/>
    </row>
    <row r="9" spans="1:7" x14ac:dyDescent="0.2">
      <c r="A9" s="866" t="s">
        <v>460</v>
      </c>
      <c r="B9" s="867" t="s">
        <v>1875</v>
      </c>
      <c r="C9" s="868"/>
      <c r="D9" s="866" t="s">
        <v>501</v>
      </c>
      <c r="E9" s="865"/>
      <c r="F9" s="1906">
        <f>'Expenditures 15-22'!K151</f>
        <v>1321296</v>
      </c>
      <c r="G9" s="869"/>
    </row>
    <row r="10" spans="1:7" x14ac:dyDescent="0.2">
      <c r="A10" s="866" t="s">
        <v>499</v>
      </c>
      <c r="B10" s="867" t="s">
        <v>1876</v>
      </c>
      <c r="C10" s="868"/>
      <c r="D10" s="866" t="s">
        <v>501</v>
      </c>
      <c r="E10" s="865"/>
      <c r="F10" s="1906">
        <f>'Expenditures 15-22'!K174</f>
        <v>595976</v>
      </c>
      <c r="G10" s="869"/>
    </row>
    <row r="11" spans="1:7" x14ac:dyDescent="0.2">
      <c r="A11" s="866" t="s">
        <v>461</v>
      </c>
      <c r="B11" s="867" t="s">
        <v>1877</v>
      </c>
      <c r="C11" s="868"/>
      <c r="D11" s="866" t="s">
        <v>501</v>
      </c>
      <c r="E11" s="865"/>
      <c r="F11" s="1906">
        <f>'Expenditures 15-22'!K210</f>
        <v>955245</v>
      </c>
      <c r="G11" s="869"/>
    </row>
    <row r="12" spans="1:7" x14ac:dyDescent="0.2">
      <c r="A12" s="866" t="s">
        <v>462</v>
      </c>
      <c r="B12" s="867" t="s">
        <v>1878</v>
      </c>
      <c r="C12" s="868"/>
      <c r="D12" s="866" t="s">
        <v>501</v>
      </c>
      <c r="E12" s="865"/>
      <c r="F12" s="1906">
        <f>'Expenditures 15-22'!K295</f>
        <v>434690</v>
      </c>
      <c r="G12" s="869"/>
    </row>
    <row r="13" spans="1:7" x14ac:dyDescent="0.2">
      <c r="A13" s="866" t="s">
        <v>106</v>
      </c>
      <c r="B13" s="867" t="s">
        <v>1879</v>
      </c>
      <c r="C13" s="868"/>
      <c r="D13" s="866" t="s">
        <v>501</v>
      </c>
      <c r="E13" s="865"/>
      <c r="F13" s="1906">
        <f>'Expenditures 15-22'!K342</f>
        <v>601107</v>
      </c>
      <c r="G13" s="870"/>
    </row>
    <row r="14" spans="1:7" ht="12" customHeight="1" thickBot="1" x14ac:dyDescent="0.25">
      <c r="A14" s="1767"/>
      <c r="B14" s="1768"/>
      <c r="C14" s="1769"/>
      <c r="D14" s="1770" t="s">
        <v>501</v>
      </c>
      <c r="E14" s="1771" t="s">
        <v>958</v>
      </c>
      <c r="F14" s="1772">
        <f>SUM(F8:F13)</f>
        <v>14207863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1997</v>
      </c>
      <c r="C30" s="877">
        <f>'Revenues 9-14'!B150</f>
        <v>3499</v>
      </c>
      <c r="D30" s="878" t="str">
        <f>'Revenues 9-14'!A150</f>
        <v>Adult Ed - Other (Describe &amp; Itemize)</v>
      </c>
      <c r="E30" s="865"/>
      <c r="F30" s="1911">
        <f>('Revenues 9-14'!D150+'Revenues 9-14'!F150)</f>
        <v>0</v>
      </c>
      <c r="G30" s="862"/>
    </row>
    <row r="31" spans="1:7" x14ac:dyDescent="0.2">
      <c r="A31" s="866" t="s">
        <v>1097</v>
      </c>
      <c r="B31" s="867" t="s">
        <v>1998</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1999</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2000</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170737</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57496</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15021</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465183</v>
      </c>
      <c r="G53" s="862"/>
    </row>
    <row r="54" spans="1:7" x14ac:dyDescent="0.2">
      <c r="A54" s="866" t="s">
        <v>459</v>
      </c>
      <c r="B54" s="866" t="s">
        <v>1476</v>
      </c>
      <c r="C54" s="886" t="s">
        <v>982</v>
      </c>
      <c r="D54" s="882" t="s">
        <v>1095</v>
      </c>
      <c r="E54" s="865"/>
      <c r="F54" s="1910">
        <f>'Expenditures 15-22'!G114</f>
        <v>134997</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1880</v>
      </c>
      <c r="C57" s="886">
        <f>'Expenditures 15-22'!B139</f>
        <v>4000</v>
      </c>
      <c r="D57" s="884" t="str">
        <f>'Expenditures 15-22'!A139</f>
        <v>Total Payments to Other Govt Units</v>
      </c>
      <c r="E57" s="865"/>
      <c r="F57" s="1910">
        <f>'Expenditures 15-22'!K139</f>
        <v>0</v>
      </c>
      <c r="G57" s="862"/>
    </row>
    <row r="58" spans="1:7" x14ac:dyDescent="0.2">
      <c r="A58" s="866" t="s">
        <v>460</v>
      </c>
      <c r="B58" s="866" t="s">
        <v>1881</v>
      </c>
      <c r="C58" s="883" t="s">
        <v>982</v>
      </c>
      <c r="D58" s="882" t="s">
        <v>1095</v>
      </c>
      <c r="E58" s="865"/>
      <c r="F58" s="1912">
        <f>'Expenditures 15-22'!G151</f>
        <v>340135</v>
      </c>
      <c r="G58" s="862"/>
    </row>
    <row r="59" spans="1:7" x14ac:dyDescent="0.2">
      <c r="A59" s="890" t="s">
        <v>460</v>
      </c>
      <c r="B59" s="853" t="s">
        <v>1882</v>
      </c>
      <c r="C59" s="891" t="s">
        <v>982</v>
      </c>
      <c r="D59" s="853" t="s">
        <v>291</v>
      </c>
      <c r="F59" s="1913">
        <f>'Expenditures 15-22'!I151</f>
        <v>0</v>
      </c>
      <c r="G59" s="862"/>
    </row>
    <row r="60" spans="1:7" x14ac:dyDescent="0.2">
      <c r="A60" s="890" t="s">
        <v>499</v>
      </c>
      <c r="B60" s="853" t="s">
        <v>1883</v>
      </c>
      <c r="C60" s="891">
        <v>4000</v>
      </c>
      <c r="D60" s="853" t="s">
        <v>312</v>
      </c>
      <c r="F60" s="1911">
        <f>'Expenditures 15-22'!K160</f>
        <v>0</v>
      </c>
      <c r="G60" s="862"/>
    </row>
    <row r="61" spans="1:7" x14ac:dyDescent="0.2">
      <c r="A61" s="892" t="s">
        <v>499</v>
      </c>
      <c r="B61" s="892" t="s">
        <v>1884</v>
      </c>
      <c r="C61" s="893" t="str">
        <f>'Expenditures 15-22'!B170</f>
        <v>5300</v>
      </c>
      <c r="D61" s="894" t="s">
        <v>311</v>
      </c>
      <c r="E61" s="876"/>
      <c r="F61" s="1910">
        <f>'Expenditures 15-22'!K170</f>
        <v>497400</v>
      </c>
      <c r="G61" s="862"/>
    </row>
    <row r="62" spans="1:7" x14ac:dyDescent="0.2">
      <c r="A62" s="866" t="s">
        <v>461</v>
      </c>
      <c r="B62" s="866" t="s">
        <v>1885</v>
      </c>
      <c r="C62" s="883">
        <f>'Expenditures 15-22'!B185</f>
        <v>3000</v>
      </c>
      <c r="D62" s="873" t="s">
        <v>449</v>
      </c>
      <c r="E62" s="865"/>
      <c r="F62" s="1910">
        <f>'Expenditures 15-22'!K185-SUM('Expenditures 15-22'!G185,'Expenditures 15-22'!I185)</f>
        <v>0</v>
      </c>
      <c r="G62" s="862"/>
    </row>
    <row r="63" spans="1:7" x14ac:dyDescent="0.2">
      <c r="A63" s="866" t="s">
        <v>461</v>
      </c>
      <c r="B63" s="866" t="s">
        <v>1886</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1887</v>
      </c>
      <c r="C64" s="893" t="str">
        <f>'Expenditures 15-22'!B206</f>
        <v>5300</v>
      </c>
      <c r="D64" s="889" t="s">
        <v>311</v>
      </c>
      <c r="E64" s="865"/>
      <c r="F64" s="1910">
        <f>'Expenditures 15-22'!K206</f>
        <v>0</v>
      </c>
      <c r="G64" s="862"/>
    </row>
    <row r="65" spans="1:8" x14ac:dyDescent="0.2">
      <c r="A65" s="866" t="s">
        <v>461</v>
      </c>
      <c r="B65" s="866" t="s">
        <v>1888</v>
      </c>
      <c r="C65" s="883" t="s">
        <v>982</v>
      </c>
      <c r="D65" s="882" t="s">
        <v>1095</v>
      </c>
      <c r="E65" s="865"/>
      <c r="F65" s="1910">
        <f>'Expenditures 15-22'!G210</f>
        <v>30627</v>
      </c>
      <c r="G65" s="862"/>
    </row>
    <row r="66" spans="1:8" x14ac:dyDescent="0.2">
      <c r="A66" s="866" t="s">
        <v>461</v>
      </c>
      <c r="B66" s="866" t="s">
        <v>1889</v>
      </c>
      <c r="C66" s="883" t="s">
        <v>982</v>
      </c>
      <c r="D66" s="882" t="s">
        <v>291</v>
      </c>
      <c r="E66" s="865"/>
      <c r="F66" s="1910">
        <f>'Expenditures 15-22'!I210</f>
        <v>0</v>
      </c>
      <c r="G66" s="862"/>
    </row>
    <row r="67" spans="1:8" x14ac:dyDescent="0.2">
      <c r="A67" s="866" t="s">
        <v>462</v>
      </c>
      <c r="B67" s="866" t="s">
        <v>1890</v>
      </c>
      <c r="C67" s="883" t="str">
        <f>'Expenditures 15-22'!B216</f>
        <v>1125</v>
      </c>
      <c r="D67" s="889" t="str">
        <f>'Expenditures 15-22'!A216</f>
        <v>Pre-K Programs</v>
      </c>
      <c r="E67" s="865"/>
      <c r="F67" s="1910">
        <f>'Expenditures 15-22'!K216</f>
        <v>5766</v>
      </c>
      <c r="G67" s="862"/>
    </row>
    <row r="68" spans="1:8" x14ac:dyDescent="0.2">
      <c r="A68" s="866" t="s">
        <v>462</v>
      </c>
      <c r="B68" s="866" t="s">
        <v>1479</v>
      </c>
      <c r="C68" s="883" t="str">
        <f>'Expenditures 15-22'!B218</f>
        <v>1225</v>
      </c>
      <c r="D68" s="889" t="str">
        <f>'Expenditures 15-22'!A218</f>
        <v>Special Education Programs - Pre-K</v>
      </c>
      <c r="E68" s="865"/>
      <c r="F68" s="1910">
        <f>'Expenditures 15-22'!K218</f>
        <v>3191</v>
      </c>
      <c r="G68" s="862"/>
    </row>
    <row r="69" spans="1:8" x14ac:dyDescent="0.2">
      <c r="A69" s="866" t="s">
        <v>462</v>
      </c>
      <c r="B69" s="866" t="s">
        <v>1891</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1892</v>
      </c>
      <c r="C70" s="883">
        <f>'Expenditures 15-22'!B221</f>
        <v>1300</v>
      </c>
      <c r="D70" s="884" t="str">
        <f>'Expenditures 15-22'!A221</f>
        <v>Adult/Continuing Education Programs</v>
      </c>
      <c r="E70" s="865"/>
      <c r="F70" s="1910">
        <f>'Expenditures 15-22'!K221</f>
        <v>0</v>
      </c>
      <c r="G70" s="862"/>
    </row>
    <row r="71" spans="1:8" x14ac:dyDescent="0.2">
      <c r="A71" s="866" t="s">
        <v>462</v>
      </c>
      <c r="B71" s="866" t="s">
        <v>1893</v>
      </c>
      <c r="C71" s="883">
        <f>'Expenditures 15-22'!B224</f>
        <v>1600</v>
      </c>
      <c r="D71" s="884" t="str">
        <f>'Expenditures 15-22'!A224</f>
        <v>Summer School Programs</v>
      </c>
      <c r="E71" s="865"/>
      <c r="F71" s="1910">
        <f>'Expenditures 15-22'!K224</f>
        <v>755</v>
      </c>
      <c r="G71" s="862"/>
    </row>
    <row r="72" spans="1:8" x14ac:dyDescent="0.2">
      <c r="A72" s="866" t="s">
        <v>462</v>
      </c>
      <c r="B72" s="866" t="s">
        <v>1894</v>
      </c>
      <c r="C72" s="883">
        <f>'Expenditures 15-22'!B280</f>
        <v>3000</v>
      </c>
      <c r="D72" s="873" t="s">
        <v>449</v>
      </c>
      <c r="E72" s="865"/>
      <c r="F72" s="1910">
        <f>'Expenditures 15-22'!K280</f>
        <v>0</v>
      </c>
      <c r="G72" s="862"/>
    </row>
    <row r="73" spans="1:8" x14ac:dyDescent="0.2">
      <c r="A73" s="866" t="s">
        <v>462</v>
      </c>
      <c r="B73" s="866" t="s">
        <v>1895</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1896</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1897</v>
      </c>
      <c r="E76" s="1771" t="s">
        <v>958</v>
      </c>
      <c r="F76" s="1775">
        <f>SUM(F18:F74)</f>
        <v>1721308</v>
      </c>
      <c r="G76" s="862"/>
    </row>
    <row r="77" spans="1:8" s="890" customFormat="1" ht="12" customHeight="1" thickTop="1" thickBot="1" x14ac:dyDescent="0.25">
      <c r="A77" s="1776"/>
      <c r="B77" s="1773"/>
      <c r="C77" s="1769"/>
      <c r="D77" s="1774" t="s">
        <v>1898</v>
      </c>
      <c r="E77" s="1771"/>
      <c r="F77" s="1777">
        <f>(F14-F76)</f>
        <v>12486555</v>
      </c>
      <c r="G77" s="866"/>
    </row>
    <row r="78" spans="1:8" s="890" customFormat="1" ht="12" customHeight="1" thickTop="1" x14ac:dyDescent="0.2">
      <c r="A78" s="1778"/>
      <c r="B78" s="1773"/>
      <c r="C78" s="1769"/>
      <c r="D78" s="1774" t="s">
        <v>2060</v>
      </c>
      <c r="E78" s="1771"/>
      <c r="F78" s="895">
        <v>1215.4000000000001</v>
      </c>
      <c r="G78" s="896"/>
      <c r="H78" s="866"/>
    </row>
    <row r="79" spans="1:8" s="890" customFormat="1" ht="12" customHeight="1" thickBot="1" x14ac:dyDescent="0.25">
      <c r="A79" s="1779"/>
      <c r="B79" s="1773"/>
      <c r="C79" s="1769"/>
      <c r="D79" s="1774" t="s">
        <v>1899</v>
      </c>
      <c r="E79" s="1771" t="s">
        <v>958</v>
      </c>
      <c r="F79" s="1780">
        <f>IF(F78&gt;0,F77/F78," Complete Line 78")</f>
        <v>10273.617739015961</v>
      </c>
      <c r="G79" s="866"/>
    </row>
    <row r="80" spans="1:8" s="890" customFormat="1" ht="8.25" customHeight="1" thickTop="1" x14ac:dyDescent="0.2">
      <c r="A80" s="897"/>
      <c r="B80" s="866"/>
      <c r="C80" s="868"/>
      <c r="D80" s="898"/>
      <c r="E80" s="865"/>
      <c r="F80" s="899"/>
      <c r="G80" s="866"/>
    </row>
    <row r="81" spans="1:7" s="890" customFormat="1" ht="12" thickBot="1" x14ac:dyDescent="0.25">
      <c r="A81" s="2382" t="s">
        <v>1105</v>
      </c>
      <c r="B81" s="2383"/>
      <c r="C81" s="2383"/>
      <c r="D81" s="2383"/>
      <c r="E81" s="2383"/>
      <c r="F81" s="238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321035</v>
      </c>
      <c r="G94" s="909"/>
    </row>
    <row r="95" spans="1:7" x14ac:dyDescent="0.2">
      <c r="A95" s="905" t="s">
        <v>140</v>
      </c>
      <c r="B95" s="905" t="s">
        <v>175</v>
      </c>
      <c r="C95" s="907">
        <v>1700</v>
      </c>
      <c r="D95" s="915" t="str">
        <f>'Revenues 9-14'!A82</f>
        <v>Total District/School Activity Income</v>
      </c>
      <c r="E95" s="903"/>
      <c r="F95" s="1786">
        <f>SUM('Revenues 9-14'!C82,'Revenues 9-14'!D82)</f>
        <v>73483</v>
      </c>
      <c r="G95" s="909"/>
    </row>
    <row r="96" spans="1:7" x14ac:dyDescent="0.2">
      <c r="A96" s="905" t="s">
        <v>459</v>
      </c>
      <c r="B96" s="905" t="s">
        <v>176</v>
      </c>
      <c r="C96" s="907">
        <f>'Revenues 9-14'!B84</f>
        <v>1811</v>
      </c>
      <c r="D96" s="908" t="str">
        <f>'Revenues 9-14'!A84</f>
        <v>Rentals - Regular Textbooks</v>
      </c>
      <c r="E96" s="903"/>
      <c r="F96" s="1786">
        <f>'Revenues 9-14'!C84</f>
        <v>80942</v>
      </c>
      <c r="G96" s="909"/>
    </row>
    <row r="97" spans="1:7" x14ac:dyDescent="0.2">
      <c r="A97" s="905" t="s">
        <v>459</v>
      </c>
      <c r="B97" s="905" t="s">
        <v>177</v>
      </c>
      <c r="C97" s="907">
        <f>'Revenues 9-14'!B87</f>
        <v>1819</v>
      </c>
      <c r="D97" s="908" t="str">
        <f>'Revenues 9-14'!A87</f>
        <v>Rentals - Other (Describe &amp; Itemize)</v>
      </c>
      <c r="E97" s="903"/>
      <c r="F97" s="1786">
        <f>'Revenues 9-14'!C87</f>
        <v>2195</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1665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2001</v>
      </c>
      <c r="C105" s="910">
        <v>3100</v>
      </c>
      <c r="D105" s="916" t="str">
        <f>'Revenues 9-14'!A132</f>
        <v>Total Special Education</v>
      </c>
      <c r="E105" s="903"/>
      <c r="F105" s="1786">
        <f>SUM('Revenues 9-14'!C132:D132,'Revenues 9-14'!F132)</f>
        <v>24599</v>
      </c>
      <c r="G105" s="909"/>
    </row>
    <row r="106" spans="1:7" x14ac:dyDescent="0.2">
      <c r="A106" s="905" t="s">
        <v>673</v>
      </c>
      <c r="B106" s="905" t="s">
        <v>2002</v>
      </c>
      <c r="C106" s="917">
        <v>3200</v>
      </c>
      <c r="D106" s="908" t="str">
        <f>'Revenues 9-14'!A141</f>
        <v>Total Career and Technical Education</v>
      </c>
      <c r="E106" s="903"/>
      <c r="F106" s="1786">
        <f>SUM('Revenues 9-14'!C141,'Revenues 9-14'!D141,'Revenues 9-14'!G141)</f>
        <v>49138</v>
      </c>
      <c r="G106" s="909"/>
    </row>
    <row r="107" spans="1:7" x14ac:dyDescent="0.2">
      <c r="A107" s="918" t="s">
        <v>664</v>
      </c>
      <c r="B107" s="905" t="s">
        <v>2003</v>
      </c>
      <c r="C107" s="917">
        <v>3300</v>
      </c>
      <c r="D107" s="908" t="str">
        <f>'Revenues 9-14'!A145</f>
        <v>Total Bilingual Ed</v>
      </c>
      <c r="E107" s="903"/>
      <c r="F107" s="1786">
        <f>SUM('Revenues 9-14'!C145,'Revenues 9-14'!G145)</f>
        <v>0</v>
      </c>
      <c r="G107" s="909"/>
    </row>
    <row r="108" spans="1:7" x14ac:dyDescent="0.2">
      <c r="A108" s="905" t="s">
        <v>459</v>
      </c>
      <c r="B108" s="905" t="s">
        <v>2004</v>
      </c>
      <c r="C108" s="917">
        <f>'Revenues 9-14'!B146</f>
        <v>3360</v>
      </c>
      <c r="D108" s="908" t="str">
        <f>'Revenues 9-14'!A146</f>
        <v>State Free Lunch &amp; Breakfast</v>
      </c>
      <c r="E108" s="903"/>
      <c r="F108" s="1786">
        <f>'Revenues 9-14'!C146</f>
        <v>4744</v>
      </c>
      <c r="G108" s="909"/>
    </row>
    <row r="109" spans="1:7" x14ac:dyDescent="0.2">
      <c r="A109" s="905" t="s">
        <v>673</v>
      </c>
      <c r="B109" s="905" t="s">
        <v>2005</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2006</v>
      </c>
      <c r="C110" s="917">
        <f>'Revenues 9-14'!B148</f>
        <v>3370</v>
      </c>
      <c r="D110" s="908" t="str">
        <f>'Revenues 9-14'!A148</f>
        <v>Driver Education</v>
      </c>
      <c r="E110" s="903"/>
      <c r="F110" s="1786">
        <f>SUM('Revenues 9-14'!C148,'Revenues 9-14'!D148)</f>
        <v>17166</v>
      </c>
      <c r="G110" s="909"/>
    </row>
    <row r="111" spans="1:7" x14ac:dyDescent="0.2">
      <c r="A111" s="905" t="s">
        <v>668</v>
      </c>
      <c r="B111" s="905" t="s">
        <v>2007</v>
      </c>
      <c r="C111" s="919">
        <v>3500</v>
      </c>
      <c r="D111" s="908" t="str">
        <f>'Revenues 9-14'!A155</f>
        <v>Total Transportation</v>
      </c>
      <c r="E111" s="903"/>
      <c r="F111" s="1786">
        <f>SUM('Revenues 9-14'!C155,'Revenues 9-14'!D155,'Revenues 9-14'!F155,'Revenues 9-14'!G155)</f>
        <v>582735</v>
      </c>
      <c r="G111" s="909"/>
    </row>
    <row r="112" spans="1:7" x14ac:dyDescent="0.2">
      <c r="A112" s="905" t="s">
        <v>459</v>
      </c>
      <c r="B112" s="905" t="s">
        <v>2008</v>
      </c>
      <c r="C112" s="917">
        <f>'Revenues 9-14'!B156</f>
        <v>3610</v>
      </c>
      <c r="D112" s="908" t="str">
        <f>'Revenues 9-14'!A156</f>
        <v>Learning Improvement - Change Grants</v>
      </c>
      <c r="E112" s="903"/>
      <c r="F112" s="1786">
        <f>'Revenues 9-14'!C156</f>
        <v>0</v>
      </c>
      <c r="G112" s="909"/>
    </row>
    <row r="113" spans="1:7" x14ac:dyDescent="0.2">
      <c r="A113" s="905" t="s">
        <v>668</v>
      </c>
      <c r="B113" s="905" t="s">
        <v>2009</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2010</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2011</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2012</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2013</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2014</v>
      </c>
      <c r="C118" s="921">
        <f>'Revenues 9-14'!B163</f>
        <v>3780</v>
      </c>
      <c r="D118" s="922" t="str">
        <f>'Revenues 9-14'!A163</f>
        <v>Technology - Technology for Success</v>
      </c>
      <c r="E118" s="903"/>
      <c r="F118" s="1904">
        <f>SUM('Revenues 9-14'!C163:G163)</f>
        <v>0</v>
      </c>
      <c r="G118" s="909"/>
    </row>
    <row r="119" spans="1:7" x14ac:dyDescent="0.2">
      <c r="A119" s="920" t="s">
        <v>504</v>
      </c>
      <c r="B119" s="920" t="s">
        <v>2015</v>
      </c>
      <c r="C119" s="921">
        <f>'Revenues 9-14'!B164</f>
        <v>3815</v>
      </c>
      <c r="D119" s="922" t="str">
        <f>'Revenues 9-14'!A164</f>
        <v>State Charter Schools</v>
      </c>
      <c r="E119" s="903"/>
      <c r="F119" s="1904">
        <f>SUM('Revenues 9-14'!C164,'Revenues 9-14'!F164)</f>
        <v>0</v>
      </c>
      <c r="G119" s="909"/>
    </row>
    <row r="120" spans="1:7" x14ac:dyDescent="0.2">
      <c r="A120" s="924" t="s">
        <v>460</v>
      </c>
      <c r="B120" s="924" t="s">
        <v>2016</v>
      </c>
      <c r="C120" s="925">
        <f>'Revenues 9-14'!B167</f>
        <v>3925</v>
      </c>
      <c r="D120" s="926" t="str">
        <f>'Revenues 9-14'!A167</f>
        <v>School Infrastructure - Maintenance Projects</v>
      </c>
      <c r="E120" s="903"/>
      <c r="F120" s="1786">
        <f>'Revenues 9-14'!D167</f>
        <v>0</v>
      </c>
      <c r="G120" s="927"/>
    </row>
    <row r="121" spans="1:7" x14ac:dyDescent="0.2">
      <c r="A121" s="924" t="s">
        <v>500</v>
      </c>
      <c r="B121" s="924" t="s">
        <v>2017</v>
      </c>
      <c r="C121" s="925">
        <f>'Revenues 9-14'!B168</f>
        <v>3999</v>
      </c>
      <c r="D121" s="926" t="s">
        <v>543</v>
      </c>
      <c r="E121" s="928"/>
      <c r="F121" s="1786">
        <f>SUM('Revenues 9-14'!C168:G168,'Revenues 9-14'!J168)</f>
        <v>3161</v>
      </c>
      <c r="G121" s="927"/>
    </row>
    <row r="122" spans="1:7" x14ac:dyDescent="0.2">
      <c r="A122" s="924" t="s">
        <v>459</v>
      </c>
      <c r="B122" s="924" t="s">
        <v>2018</v>
      </c>
      <c r="C122" s="929">
        <f>'Revenues 9-14'!B177</f>
        <v>4045</v>
      </c>
      <c r="D122" s="926" t="str">
        <f>'Revenues 9-14'!A177 &amp; " (Subtract)"</f>
        <v>Head Start (Subtract)</v>
      </c>
      <c r="E122" s="903"/>
      <c r="F122" s="1786">
        <f>SUM(-'Revenues 9-14'!C177)</f>
        <v>0</v>
      </c>
      <c r="G122" s="927"/>
    </row>
    <row r="123" spans="1:7" x14ac:dyDescent="0.2">
      <c r="A123" s="924" t="s">
        <v>668</v>
      </c>
      <c r="B123" s="924" t="s">
        <v>2019</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2020</v>
      </c>
      <c r="C124" s="929">
        <v>4100</v>
      </c>
      <c r="D124" s="930" t="str">
        <f>'Revenues 9-14'!A188</f>
        <v>Total Title V</v>
      </c>
      <c r="E124" s="903"/>
      <c r="F124" s="1786">
        <f>SUM('Revenues 9-14'!C188,'Revenues 9-14'!D188,'Revenues 9-14'!F188,'Revenues 9-14'!G188)</f>
        <v>0</v>
      </c>
      <c r="G124" s="927"/>
    </row>
    <row r="125" spans="1:7" x14ac:dyDescent="0.2">
      <c r="A125" s="924" t="s">
        <v>664</v>
      </c>
      <c r="B125" s="924" t="s">
        <v>2021</v>
      </c>
      <c r="C125" s="929">
        <v>4200</v>
      </c>
      <c r="D125" s="926" t="str">
        <f>'Revenues 9-14'!A198</f>
        <v>Total Food Service</v>
      </c>
      <c r="E125" s="903"/>
      <c r="F125" s="1786">
        <f>SUM('Revenues 9-14'!C198,'Revenues 9-14'!G198)</f>
        <v>280749</v>
      </c>
      <c r="G125" s="927"/>
    </row>
    <row r="126" spans="1:7" x14ac:dyDescent="0.2">
      <c r="A126" s="924" t="s">
        <v>668</v>
      </c>
      <c r="B126" s="924" t="s">
        <v>2022</v>
      </c>
      <c r="C126" s="929">
        <v>4300</v>
      </c>
      <c r="D126" s="930" t="str">
        <f>'Revenues 9-14'!A204</f>
        <v>Total Title I</v>
      </c>
      <c r="E126" s="903"/>
      <c r="F126" s="1786">
        <f>SUM('Revenues 9-14'!C204,'Revenues 9-14'!D204,'Revenues 9-14'!F204,'Revenues 9-14'!G204)</f>
        <v>232828</v>
      </c>
      <c r="G126" s="927"/>
    </row>
    <row r="127" spans="1:7" x14ac:dyDescent="0.2">
      <c r="A127" s="924" t="s">
        <v>668</v>
      </c>
      <c r="B127" s="924" t="s">
        <v>2023</v>
      </c>
      <c r="C127" s="929">
        <v>4400</v>
      </c>
      <c r="D127" s="930" t="str">
        <f>'Revenues 9-14'!A209</f>
        <v>Total Title IV</v>
      </c>
      <c r="E127" s="903"/>
      <c r="F127" s="1786">
        <f>SUM('Revenues 9-14'!C209,'Revenues 9-14'!D209,'Revenues 9-14'!F209,'Revenues 9-14'!G209)</f>
        <v>9186</v>
      </c>
      <c r="G127" s="927"/>
    </row>
    <row r="128" spans="1:7" x14ac:dyDescent="0.2">
      <c r="A128" s="924" t="s">
        <v>668</v>
      </c>
      <c r="B128" s="924" t="s">
        <v>2024</v>
      </c>
      <c r="C128" s="929">
        <f>'Revenues 9-14'!B213</f>
        <v>4620</v>
      </c>
      <c r="D128" s="930" t="str">
        <f>'Revenues 9-14'!A213</f>
        <v>Fed - Spec Education - IDEA - Flow Through</v>
      </c>
      <c r="E128" s="903"/>
      <c r="F128" s="1786">
        <f>SUM('Revenues 9-14'!C213:D213,'Revenues 9-14'!F213:G213)</f>
        <v>325045</v>
      </c>
      <c r="G128" s="927"/>
    </row>
    <row r="129" spans="1:7" x14ac:dyDescent="0.2">
      <c r="A129" s="924" t="s">
        <v>668</v>
      </c>
      <c r="B129" s="924" t="s">
        <v>2025</v>
      </c>
      <c r="C129" s="929">
        <f>'Revenues 9-14'!B214</f>
        <v>4625</v>
      </c>
      <c r="D129" s="930" t="str">
        <f>'Revenues 9-14'!A214</f>
        <v>Fed - Spec Education - IDEA - Room &amp; Board</v>
      </c>
      <c r="E129" s="903"/>
      <c r="F129" s="1786">
        <f>SUM('Revenues 9-14'!C214,'Revenues 9-14'!D214,'Revenues 9-14'!F214,'Revenues 9-14'!G214)</f>
        <v>12969</v>
      </c>
      <c r="G129" s="927"/>
    </row>
    <row r="130" spans="1:7" x14ac:dyDescent="0.2">
      <c r="A130" s="924" t="s">
        <v>668</v>
      </c>
      <c r="B130" s="924" t="s">
        <v>2026</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2027</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2028</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2029</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2030</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2031</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2032</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2033</v>
      </c>
      <c r="C138" s="932" t="s">
        <v>212</v>
      </c>
      <c r="D138" s="933" t="str">
        <f>'Revenues 9-14'!A229</f>
        <v>ARRA - IDEA - Part B - Preschool</v>
      </c>
      <c r="E138" s="934"/>
      <c r="F138" s="1786">
        <v>0</v>
      </c>
      <c r="G138" s="902"/>
    </row>
    <row r="139" spans="1:7" s="864" customFormat="1" hidden="1" x14ac:dyDescent="0.2">
      <c r="A139" s="931" t="s">
        <v>206</v>
      </c>
      <c r="B139" s="931" t="s">
        <v>2034</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2035</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2036</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2037</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2038</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2039</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2040</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2041</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2042</v>
      </c>
      <c r="C157" s="937" t="s">
        <v>841</v>
      </c>
      <c r="D157" s="938" t="s">
        <v>777</v>
      </c>
      <c r="E157" s="939"/>
      <c r="F157" s="1786">
        <f>SUM(F133:F156)</f>
        <v>0</v>
      </c>
      <c r="G157" s="902"/>
    </row>
    <row r="158" spans="1:7" s="864" customFormat="1" x14ac:dyDescent="0.2">
      <c r="A158" s="935" t="s">
        <v>459</v>
      </c>
      <c r="B158" s="936" t="s">
        <v>2043</v>
      </c>
      <c r="C158" s="937" t="s">
        <v>1427</v>
      </c>
      <c r="D158" s="938" t="s">
        <v>1428</v>
      </c>
      <c r="E158" s="939"/>
      <c r="F158" s="1786">
        <f>SUM('Revenues 9-14'!C253)</f>
        <v>0</v>
      </c>
      <c r="G158" s="902"/>
    </row>
    <row r="159" spans="1:7" s="864" customFormat="1" x14ac:dyDescent="0.2">
      <c r="A159" s="935" t="s">
        <v>500</v>
      </c>
      <c r="B159" s="936" t="s">
        <v>2044</v>
      </c>
      <c r="C159" s="937" t="s">
        <v>1466</v>
      </c>
      <c r="D159" s="938" t="s">
        <v>1467</v>
      </c>
      <c r="E159" s="939"/>
      <c r="F159" s="1786">
        <f>SUM('Revenues 9-14'!C254:H254,'Revenues 9-14'!J254:K254)</f>
        <v>0</v>
      </c>
      <c r="G159" s="902"/>
    </row>
    <row r="160" spans="1:7" x14ac:dyDescent="0.2">
      <c r="A160" s="924" t="s">
        <v>5</v>
      </c>
      <c r="B160" s="924" t="s">
        <v>2045</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2046</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2047</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2048</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2049</v>
      </c>
      <c r="C164" s="929">
        <f>'Revenues 9-14'!B259</f>
        <v>4932</v>
      </c>
      <c r="D164" s="930" t="str">
        <f>'Revenues 9-14'!A259</f>
        <v>Title II - Teacher Quality</v>
      </c>
      <c r="E164" s="903"/>
      <c r="F164" s="1904">
        <f>SUM('Revenues 9-14'!C259,'Revenues 9-14'!D259,'Revenues 9-14'!F259,'Revenues 9-14'!G259)</f>
        <v>38854</v>
      </c>
      <c r="G164" s="927"/>
    </row>
    <row r="165" spans="1:7" x14ac:dyDescent="0.2">
      <c r="A165" s="924" t="s">
        <v>668</v>
      </c>
      <c r="B165" s="924" t="s">
        <v>2050</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1995</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1996</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2051</v>
      </c>
      <c r="C168" s="929">
        <f>'Revenues 9-14'!B263</f>
        <v>4991</v>
      </c>
      <c r="D168" s="930" t="str">
        <f>'Revenues 9-14'!A263</f>
        <v>Medicaid Matching Funds - Administrative Outreach</v>
      </c>
      <c r="E168" s="903"/>
      <c r="F168" s="1786">
        <f>SUM('Revenues 9-14'!C263:D263,'Revenues 9-14'!F263:G263)</f>
        <v>19869</v>
      </c>
      <c r="G168" s="944">
        <v>6320</v>
      </c>
    </row>
    <row r="169" spans="1:7" x14ac:dyDescent="0.2">
      <c r="A169" s="924" t="s">
        <v>668</v>
      </c>
      <c r="B169" s="924" t="s">
        <v>2052</v>
      </c>
      <c r="C169" s="929">
        <f>'Revenues 9-14'!B264</f>
        <v>4992</v>
      </c>
      <c r="D169" s="930" t="str">
        <f>'Revenues 9-14'!A264</f>
        <v>Medicaid Matching Funds - Fee-for-Service Program</v>
      </c>
      <c r="E169" s="903"/>
      <c r="F169" s="1786">
        <f>SUM('Revenues 9-14'!C264:D264,'Revenues 9-14'!F264:G264)</f>
        <v>80162</v>
      </c>
      <c r="G169" s="944"/>
    </row>
    <row r="170" spans="1:7" x14ac:dyDescent="0.2">
      <c r="A170" s="945" t="s">
        <v>668</v>
      </c>
      <c r="B170" s="941" t="s">
        <v>2053</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1918</v>
      </c>
      <c r="C171" s="1917">
        <v>3100</v>
      </c>
      <c r="D171" s="1918" t="s">
        <v>1920</v>
      </c>
      <c r="E171" s="903"/>
      <c r="F171" s="1903">
        <v>420848.81</v>
      </c>
      <c r="G171" s="924"/>
    </row>
    <row r="172" spans="1:7" x14ac:dyDescent="0.2">
      <c r="A172" s="1915" t="s">
        <v>664</v>
      </c>
      <c r="B172" s="1916" t="s">
        <v>1918</v>
      </c>
      <c r="C172" s="1917">
        <v>3300</v>
      </c>
      <c r="D172" s="1918" t="s">
        <v>1921</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2054</v>
      </c>
      <c r="E174" s="1784" t="s">
        <v>958</v>
      </c>
      <c r="F174" s="1785">
        <f>SUM(F84:F132,F157:F172)</f>
        <v>2581373.81</v>
      </c>
    </row>
    <row r="175" spans="1:7" ht="12" customHeight="1" x14ac:dyDescent="0.2">
      <c r="A175" s="1767"/>
      <c r="B175" s="1781"/>
      <c r="C175" s="1782"/>
      <c r="D175" s="1783" t="s">
        <v>2055</v>
      </c>
      <c r="E175" s="1784"/>
      <c r="F175" s="1786">
        <f>'PCTC-OEPP 27-28'!F77-F174</f>
        <v>9905181.1899999995</v>
      </c>
    </row>
    <row r="176" spans="1:7" ht="12" customHeight="1" x14ac:dyDescent="0.2">
      <c r="A176" s="1767"/>
      <c r="B176" s="1781"/>
      <c r="C176" s="1782"/>
      <c r="D176" s="1783" t="s">
        <v>1815</v>
      </c>
      <c r="E176" s="1784"/>
      <c r="F176" s="1786">
        <f>'Cap Outlay Deprec 26'!I18</f>
        <v>802835</v>
      </c>
    </row>
    <row r="177" spans="1:7" ht="12" customHeight="1" x14ac:dyDescent="0.2">
      <c r="A177" s="1767"/>
      <c r="B177" s="1781"/>
      <c r="C177" s="1782"/>
      <c r="D177" s="1783" t="s">
        <v>2056</v>
      </c>
      <c r="E177" s="1784"/>
      <c r="F177" s="1786">
        <f>F175+F176</f>
        <v>10708016.189999999</v>
      </c>
    </row>
    <row r="178" spans="1:7" ht="12" customHeight="1" x14ac:dyDescent="0.2">
      <c r="A178" s="1767"/>
      <c r="B178" s="1787"/>
      <c r="C178" s="1782"/>
      <c r="D178" s="1783" t="str">
        <f>D78</f>
        <v>9 Month ADA from District Average Daily Attendance/Prior General State Aid Inquiry 2018-2019</v>
      </c>
      <c r="E178" s="1784"/>
      <c r="F178" s="1788">
        <f>'PCTC-OEPP 27-28'!F78</f>
        <v>1215.4000000000001</v>
      </c>
      <c r="G178" s="927"/>
    </row>
    <row r="179" spans="1:7" ht="12" customHeight="1" thickBot="1" x14ac:dyDescent="0.25">
      <c r="A179" s="1767"/>
      <c r="B179" s="1787"/>
      <c r="C179" s="1782"/>
      <c r="D179" s="1783" t="s">
        <v>2057</v>
      </c>
      <c r="E179" s="1784" t="s">
        <v>1545</v>
      </c>
      <c r="F179" s="1789">
        <f>F177/F178</f>
        <v>8810.2815451703136</v>
      </c>
      <c r="G179" s="853">
        <v>6323</v>
      </c>
    </row>
    <row r="180" spans="1:7" ht="12" thickTop="1" x14ac:dyDescent="0.2">
      <c r="B180" s="927"/>
      <c r="C180" s="946"/>
      <c r="D180" s="927"/>
      <c r="E180" s="946"/>
      <c r="F180" s="927"/>
      <c r="G180" s="948">
        <v>6326</v>
      </c>
    </row>
    <row r="181" spans="1:7" ht="12.2" customHeight="1" x14ac:dyDescent="0.2">
      <c r="A181" s="927" t="s">
        <v>1919</v>
      </c>
      <c r="B181" s="927"/>
      <c r="C181" s="946"/>
      <c r="D181" s="927"/>
      <c r="E181" s="946"/>
      <c r="F181" s="927"/>
      <c r="G181" s="927"/>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6"/>
      <c r="D184" s="927"/>
      <c r="E184" s="946"/>
      <c r="F184" s="927"/>
      <c r="G184" s="927"/>
    </row>
    <row r="185" spans="1:7" x14ac:dyDescent="0.2">
      <c r="A185" s="1923" t="s">
        <v>1923</v>
      </c>
      <c r="B185" s="1924" t="s">
        <v>1922</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2" sqref="J32"/>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1830</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96" t="s">
        <v>1816</v>
      </c>
      <c r="B4" s="2397"/>
      <c r="C4" s="2397"/>
      <c r="D4" s="2397"/>
      <c r="E4" s="2397"/>
      <c r="F4" s="2397"/>
      <c r="G4" s="2398"/>
    </row>
    <row r="5" spans="1:7" x14ac:dyDescent="0.25">
      <c r="A5" s="2399"/>
      <c r="B5" s="2400"/>
      <c r="C5" s="2400"/>
      <c r="D5" s="2400"/>
      <c r="E5" s="2400"/>
      <c r="F5" s="2400"/>
      <c r="G5" s="2401"/>
    </row>
    <row r="6" spans="1:7" ht="18.75" x14ac:dyDescent="0.25">
      <c r="A6" s="1531" t="s">
        <v>1817</v>
      </c>
      <c r="B6" s="1532"/>
      <c r="C6" s="1532"/>
      <c r="D6" s="1532"/>
      <c r="E6" s="1532"/>
      <c r="F6" s="1532"/>
      <c r="G6" s="1533"/>
    </row>
    <row r="7" spans="1:7" ht="30.75" customHeight="1" x14ac:dyDescent="0.25">
      <c r="A7" s="2402" t="s">
        <v>1930</v>
      </c>
      <c r="B7" s="2403"/>
      <c r="C7" s="2403"/>
      <c r="D7" s="2403"/>
      <c r="E7" s="2403"/>
      <c r="F7" s="2403"/>
      <c r="G7" s="2404"/>
    </row>
    <row r="8" spans="1:7" ht="15.75" customHeight="1" x14ac:dyDescent="0.25">
      <c r="A8" s="2405" t="s">
        <v>1905</v>
      </c>
      <c r="B8" s="2406"/>
      <c r="C8" s="2406"/>
      <c r="D8" s="2406"/>
      <c r="E8" s="2406"/>
      <c r="F8" s="2406"/>
      <c r="G8" s="2407"/>
    </row>
    <row r="9" spans="1:7" ht="35.25" customHeight="1" x14ac:dyDescent="0.25">
      <c r="A9" s="2402" t="s">
        <v>1933</v>
      </c>
      <c r="B9" s="2403"/>
      <c r="C9" s="2403"/>
      <c r="D9" s="2403"/>
      <c r="E9" s="2403"/>
      <c r="F9" s="2403"/>
      <c r="G9" s="2404"/>
    </row>
    <row r="10" spans="1:7" ht="15" customHeight="1" x14ac:dyDescent="0.25">
      <c r="A10" s="1534" t="s">
        <v>1818</v>
      </c>
      <c r="B10" s="1535"/>
      <c r="C10" s="1535"/>
      <c r="D10" s="1535"/>
      <c r="E10" s="1535"/>
      <c r="F10" s="1535"/>
      <c r="G10" s="1536"/>
    </row>
    <row r="11" spans="1:7" ht="17.25" customHeight="1" x14ac:dyDescent="0.25">
      <c r="A11" s="2402" t="s">
        <v>1932</v>
      </c>
      <c r="B11" s="2403"/>
      <c r="C11" s="2403"/>
      <c r="D11" s="2403"/>
      <c r="E11" s="2403"/>
      <c r="F11" s="2403"/>
      <c r="G11" s="2404"/>
    </row>
    <row r="12" spans="1:7" ht="15" customHeight="1" x14ac:dyDescent="0.25">
      <c r="A12" s="1534" t="s">
        <v>1823</v>
      </c>
      <c r="B12" s="1535"/>
      <c r="C12" s="1535"/>
      <c r="D12" s="1535"/>
      <c r="E12" s="1535"/>
      <c r="F12" s="1535"/>
      <c r="G12" s="1536"/>
    </row>
    <row r="13" spans="1:7" ht="32.25" customHeight="1" x14ac:dyDescent="0.25">
      <c r="A13" s="2393" t="s">
        <v>1974</v>
      </c>
      <c r="B13" s="2394"/>
      <c r="C13" s="2394"/>
      <c r="D13" s="2394"/>
      <c r="E13" s="2394"/>
      <c r="F13" s="2394"/>
      <c r="G13" s="2395"/>
    </row>
    <row r="14" spans="1:7" x14ac:dyDescent="0.25">
      <c r="A14" s="1658" t="s">
        <v>1831</v>
      </c>
      <c r="B14" s="1659"/>
      <c r="C14" s="1659"/>
      <c r="D14" s="1659"/>
      <c r="E14" s="1659"/>
      <c r="F14" s="1659"/>
      <c r="G14" s="1660"/>
    </row>
    <row r="15" spans="1:7" ht="61.5" customHeight="1" x14ac:dyDescent="0.25">
      <c r="A15" s="1543" t="s">
        <v>1824</v>
      </c>
      <c r="B15" s="1543" t="s">
        <v>1825</v>
      </c>
      <c r="C15" s="1543" t="s">
        <v>1826</v>
      </c>
      <c r="D15" s="1544" t="s">
        <v>1827</v>
      </c>
      <c r="E15" s="1544" t="s">
        <v>1819</v>
      </c>
      <c r="F15" s="1544" t="s">
        <v>1828</v>
      </c>
      <c r="G15" s="1544" t="s">
        <v>1829</v>
      </c>
    </row>
    <row r="16" spans="1:7" x14ac:dyDescent="0.25">
      <c r="A16" s="1645" t="s">
        <v>1832</v>
      </c>
      <c r="B16" s="1646" t="s">
        <v>1822</v>
      </c>
      <c r="C16" s="1647" t="s">
        <v>1820</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44" t="s">
        <v>2241</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08" t="s">
        <v>1679</v>
      </c>
      <c r="B5" s="2409"/>
      <c r="C5" s="2409"/>
      <c r="D5" s="2409"/>
      <c r="E5" s="2409"/>
      <c r="F5" s="2409"/>
      <c r="G5" s="241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1931</v>
      </c>
      <c r="B10" s="968"/>
      <c r="C10" s="973"/>
      <c r="D10" s="969"/>
      <c r="E10" s="970">
        <v>372176</v>
      </c>
      <c r="F10" s="971"/>
      <c r="G10" s="972"/>
      <c r="H10" s="162"/>
      <c r="I10" s="162"/>
    </row>
    <row r="11" spans="1:9" s="665" customFormat="1" ht="22.5" customHeight="1" x14ac:dyDescent="0.2">
      <c r="A11" s="2413" t="s">
        <v>1975</v>
      </c>
      <c r="B11" s="2414"/>
      <c r="C11" s="2414"/>
      <c r="D11" s="2415"/>
      <c r="E11" s="974">
        <v>45999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7072423</v>
      </c>
      <c r="F19" s="1796"/>
      <c r="G19" s="1798">
        <f>'Expenditures 15-22'!K33-SUM('Expenditures 15-22'!G33,'Expenditures 15-22'!I33)+'Expenditures 15-22'!D229</f>
        <v>7072423</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442676</v>
      </c>
      <c r="F21" s="1799"/>
      <c r="G21" s="1802">
        <f>'Expenditures 15-22'!K42-SUM('Expenditures 15-22'!G42,'Expenditures 15-22'!I42)+'Expenditures 15-22'!K120-SUM('Expenditures 15-22'!G120,'Expenditures 15-22'!I120)+'Expenditures 15-22'!K180-SUM('Expenditures 15-22'!G180,'Expenditures 15-22'!I180)+'Expenditures 15-22'!D238</f>
        <v>442676</v>
      </c>
      <c r="H21" s="984"/>
      <c r="I21" s="162"/>
    </row>
    <row r="22" spans="1:9" s="665" customFormat="1" ht="12" customHeight="1" x14ac:dyDescent="0.2">
      <c r="A22" s="991" t="s">
        <v>564</v>
      </c>
      <c r="B22" s="992"/>
      <c r="C22" s="990">
        <v>2200</v>
      </c>
      <c r="D22" s="1799"/>
      <c r="E22" s="1801">
        <f>'Expenditures 15-22'!K47-SUM('Expenditures 15-22'!G47,'Expenditures 15-22'!I47)+'Expenditures 15-22'!D243</f>
        <v>664401</v>
      </c>
      <c r="F22" s="1799"/>
      <c r="G22" s="1802">
        <f>'Expenditures 15-22'!K47-SUM('Expenditures 15-22'!G47,'Expenditures 15-22'!I47)+'Expenditures 15-22'!D243</f>
        <v>664401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904325</v>
      </c>
      <c r="F23" s="1799"/>
      <c r="G23" s="1801">
        <f>'Expenditures 15-22'!K53-SUM('Expenditures 15-22'!G53,'Expenditures 15-22'!I53)+'Expenditures 15-22'!D257+'Expenditures 15-22'!K330-SUM('Expenditures 15-22'!G330,'Expenditures 15-22'!I330)</f>
        <v>904325</v>
      </c>
      <c r="H23" s="984"/>
      <c r="I23" s="162"/>
    </row>
    <row r="24" spans="1:9" s="665" customFormat="1" ht="12" customHeight="1" x14ac:dyDescent="0.2">
      <c r="A24" s="991" t="s">
        <v>566</v>
      </c>
      <c r="B24" s="992"/>
      <c r="C24" s="990">
        <v>2400</v>
      </c>
      <c r="D24" s="1799"/>
      <c r="E24" s="1801">
        <f>'Expenditures 15-22'!K57-SUM('Expenditures 15-22'!G57,'Expenditures 15-22'!I57)+'Expenditures 15-22'!D261</f>
        <v>712609</v>
      </c>
      <c r="F24" s="1799"/>
      <c r="G24" s="1802">
        <f>'Expenditures 15-22'!K57-SUM('Expenditures 15-22'!G57,'Expenditures 15-22'!I57)+'Expenditures 15-22'!D261</f>
        <v>712609</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33999</v>
      </c>
      <c r="E26" s="1801">
        <f>'Expenditures 15-22'!K122-SUM('Expenditures 15-22'!G122,'Expenditures 15-22'!I122)+E7</f>
        <v>0</v>
      </c>
      <c r="F26" s="1801">
        <f>'Expenditures 15-22'!K59-SUM('Expenditures 15-22'!G59,'Expenditures 15-22'!I59)+'Expenditures 15-22'!D263-E7</f>
        <v>33999</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111682</v>
      </c>
      <c r="E27" s="1801">
        <f>E8</f>
        <v>0</v>
      </c>
      <c r="F27" s="1801">
        <f>'Expenditures 15-22'!K60-SUM('Expenditures 15-22'!G60,'Expenditures 15-22'!I60)+'Expenditures 15-22'!D264-E8</f>
        <v>111682</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1110097</v>
      </c>
      <c r="F28" s="1803">
        <f>'Expenditures 15-22'!K61-SUM('Expenditures 15-22'!G61,'Expenditures 15-22'!I61)+'Expenditures 15-22'!K124-SUM('Expenditures 15-22'!G124,'Expenditures 15-22'!I124)+'Expenditures 15-22'!D266-E9</f>
        <v>1110097</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944244</v>
      </c>
      <c r="F29" s="1799"/>
      <c r="G29" s="1802">
        <f>'Expenditures 15-22'!K62-SUM('Expenditures 15-22'!G62,'Expenditures 15-22'!I62)+'Expenditures 15-22'!K125-SUM('Expenditures 15-22'!G125,'Expenditures 15-22'!I125)+'Expenditures 15-22'!K182-SUM('Expenditures 15-22'!G182,'Expenditures 15-22'!I182)+'Expenditures 15-22'!D267</f>
        <v>944244</v>
      </c>
      <c r="H29" s="982"/>
    </row>
    <row r="30" spans="1:9" ht="12" customHeight="1" x14ac:dyDescent="0.2">
      <c r="A30" s="991" t="s">
        <v>100</v>
      </c>
      <c r="B30" s="994"/>
      <c r="C30" s="990">
        <v>2560</v>
      </c>
      <c r="D30" s="1799"/>
      <c r="E30" s="1801">
        <f>'Expenditures 15-22'!K63-SUM('Expenditures 15-22'!G63,'Expenditures 15-22'!I63)+'Expenditures 15-22'!D268-E10</f>
        <v>242859</v>
      </c>
      <c r="F30" s="1799"/>
      <c r="G30" s="1801">
        <f>'Expenditures 15-22'!K63-SUM('Expenditures 15-22'!G63,'Expenditures 15-22'!I63)+'Expenditures 15-22'!D268-E10</f>
        <v>242859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5198</v>
      </c>
      <c r="E36" s="1801">
        <f>E13</f>
        <v>0</v>
      </c>
      <c r="F36" s="1801">
        <f>'Expenditures 15-22'!K70-SUM('Expenditures 15-22'!G70,'Expenditures 15-22'!I70)+'Expenditures 15-22'!D275-E13</f>
        <v>5198</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24256</v>
      </c>
      <c r="F38" s="1799"/>
      <c r="G38" s="1801">
        <f>'Expenditures 15-22'!K73-SUM('Expenditures 15-22'!G73,'Expenditures 15-22'!I73)+'Expenditures 15-22'!K128-SUM('Expenditures 15-22'!G128,'Expenditures 15-22'!I128)+'Expenditures 15-22'!K183-SUM('Expenditures 15-22'!G183,'Expenditures 15-22'!I183)+'Expenditures 15-22'!D278</f>
        <v>24256</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1821</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150879</v>
      </c>
      <c r="E41" s="1803">
        <f>SUM(E19:E40)</f>
        <v>12117890</v>
      </c>
      <c r="F41" s="1803">
        <f>SUM(F19:F39)</f>
        <v>1260976</v>
      </c>
      <c r="G41" s="1803">
        <f>SUM(G19:G40)</f>
        <v>11007793</v>
      </c>
    </row>
    <row r="42" spans="1:7" x14ac:dyDescent="0.2">
      <c r="A42" s="984"/>
      <c r="B42" s="162"/>
      <c r="C42" s="998"/>
      <c r="D42" s="2411" t="s">
        <v>522</v>
      </c>
      <c r="E42" s="2412"/>
      <c r="F42" s="999" t="s">
        <v>523</v>
      </c>
      <c r="G42" s="1000"/>
    </row>
    <row r="43" spans="1:7" ht="12" customHeight="1" x14ac:dyDescent="0.2">
      <c r="A43" s="984"/>
      <c r="B43" s="162"/>
      <c r="C43" s="998"/>
      <c r="D43" s="1804" t="s">
        <v>473</v>
      </c>
      <c r="E43" s="1805">
        <f>D41</f>
        <v>150879</v>
      </c>
      <c r="F43" s="1804" t="s">
        <v>473</v>
      </c>
      <c r="G43" s="1805">
        <f>F41</f>
        <v>1260976</v>
      </c>
    </row>
    <row r="44" spans="1:7" ht="12" customHeight="1" x14ac:dyDescent="0.2">
      <c r="A44" s="984"/>
      <c r="B44" s="162"/>
      <c r="C44" s="998"/>
      <c r="D44" s="1804" t="s">
        <v>474</v>
      </c>
      <c r="E44" s="1805">
        <f>E41</f>
        <v>12117890</v>
      </c>
      <c r="F44" s="1804" t="s">
        <v>474</v>
      </c>
      <c r="G44" s="1805">
        <f>G41</f>
        <v>11007793</v>
      </c>
    </row>
    <row r="45" spans="1:7" ht="12" customHeight="1" x14ac:dyDescent="0.2">
      <c r="A45" s="984"/>
      <c r="B45" s="162"/>
      <c r="C45" s="162"/>
      <c r="D45" s="1806" t="s">
        <v>1006</v>
      </c>
      <c r="E45" s="1807">
        <f>(E43/E44)</f>
        <v>1.2450929988636636E-2</v>
      </c>
      <c r="F45" s="1806" t="s">
        <v>1006</v>
      </c>
      <c r="G45" s="1807">
        <f>(G43/G44)</f>
        <v>0.11455302620607055</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430" t="s">
        <v>1379</v>
      </c>
      <c r="B1" s="2430"/>
      <c r="C1" s="2430"/>
      <c r="D1" s="2430"/>
      <c r="E1" s="2430"/>
      <c r="F1" s="2430"/>
    </row>
    <row r="2" spans="1:10" x14ac:dyDescent="0.2">
      <c r="A2" s="1884" t="s">
        <v>1910</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431" t="s">
        <v>1546</v>
      </c>
      <c r="B5" s="2432"/>
      <c r="C5" s="2433"/>
      <c r="D5" s="2433"/>
      <c r="E5" s="2433"/>
      <c r="F5" s="2433"/>
    </row>
    <row r="6" spans="1:10" ht="12" customHeight="1" x14ac:dyDescent="0.25">
      <c r="A6" s="1847"/>
      <c r="B6" s="1848"/>
      <c r="C6" s="2434" t="str">
        <f>COVER!A17</f>
        <v>Mercer County School District 404</v>
      </c>
      <c r="D6" s="2434"/>
      <c r="E6" s="2434"/>
      <c r="F6" s="1849"/>
    </row>
    <row r="7" spans="1:10" ht="11.25" customHeight="1" thickBot="1" x14ac:dyDescent="0.3">
      <c r="A7" s="1847"/>
      <c r="B7" s="1848"/>
      <c r="C7" s="2435">
        <f>COVER!A13</f>
        <v>33066404026</v>
      </c>
      <c r="D7" s="2435"/>
      <c r="E7" s="2435"/>
      <c r="F7" s="1849"/>
    </row>
    <row r="8" spans="1:10" ht="25.5" customHeight="1" thickBot="1" x14ac:dyDescent="0.25">
      <c r="A8" s="1890" t="s">
        <v>1906</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2077</v>
      </c>
      <c r="D13" s="1862" t="s">
        <v>2077</v>
      </c>
      <c r="E13" s="1865"/>
      <c r="F13" s="1864" t="s">
        <v>2092</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2077</v>
      </c>
      <c r="D15" s="1862" t="s">
        <v>2077</v>
      </c>
      <c r="E15" s="1865"/>
      <c r="F15" s="1864" t="s">
        <v>2093</v>
      </c>
      <c r="H15" s="1875">
        <f t="shared" si="0"/>
        <v>5</v>
      </c>
      <c r="I15" s="1875">
        <f t="shared" si="1"/>
        <v>5</v>
      </c>
      <c r="J15" s="1875">
        <f t="shared" si="2"/>
        <v>0</v>
      </c>
    </row>
    <row r="16" spans="1:10" ht="12" customHeight="1" x14ac:dyDescent="0.2">
      <c r="A16" s="1860" t="s">
        <v>1388</v>
      </c>
      <c r="B16" s="1861"/>
      <c r="C16" s="1862" t="s">
        <v>2077</v>
      </c>
      <c r="D16" s="1862" t="s">
        <v>2077</v>
      </c>
      <c r="E16" s="1865"/>
      <c r="F16" s="1864" t="s">
        <v>2094</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2077</v>
      </c>
      <c r="D19" s="1862" t="s">
        <v>2077</v>
      </c>
      <c r="E19" s="1865"/>
      <c r="F19" s="1864" t="s">
        <v>2095</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2077</v>
      </c>
      <c r="D21" s="1862" t="s">
        <v>2077</v>
      </c>
      <c r="E21" s="1865"/>
      <c r="F21" s="1864" t="s">
        <v>2096</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2097</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2077</v>
      </c>
      <c r="D28" s="1862" t="s">
        <v>2077</v>
      </c>
      <c r="E28" s="1865"/>
      <c r="F28" s="1864" t="s">
        <v>2098</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2077</v>
      </c>
      <c r="D30" s="1862" t="s">
        <v>2077</v>
      </c>
      <c r="E30" s="1865"/>
      <c r="F30" s="1864" t="s">
        <v>2099</v>
      </c>
      <c r="H30" s="1875">
        <f t="shared" si="0"/>
        <v>5</v>
      </c>
      <c r="I30" s="1875">
        <f t="shared" si="1"/>
        <v>5</v>
      </c>
      <c r="J30" s="1875">
        <f t="shared" si="2"/>
        <v>0</v>
      </c>
    </row>
    <row r="31" spans="1:12" ht="12" customHeight="1" x14ac:dyDescent="0.2">
      <c r="A31" s="1860" t="s">
        <v>1539</v>
      </c>
      <c r="B31" s="1861"/>
      <c r="C31" s="1862" t="s">
        <v>2077</v>
      </c>
      <c r="D31" s="1862" t="s">
        <v>2077</v>
      </c>
      <c r="E31" s="1865"/>
      <c r="F31" s="1864" t="s">
        <v>2100</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0</v>
      </c>
      <c r="K34" s="1875">
        <f>SUM(H34:J34)</f>
        <v>90</v>
      </c>
    </row>
    <row r="35" spans="1:11" ht="12" customHeight="1" x14ac:dyDescent="0.2">
      <c r="A35" s="1868" t="s">
        <v>1392</v>
      </c>
      <c r="B35" s="1869"/>
      <c r="C35" s="2436"/>
      <c r="D35" s="2436"/>
      <c r="E35" s="2436"/>
      <c r="F35" s="2437"/>
    </row>
    <row r="36" spans="1:11" ht="12" customHeight="1" x14ac:dyDescent="0.2">
      <c r="A36" s="2419"/>
      <c r="B36" s="2420"/>
      <c r="C36" s="2420"/>
      <c r="D36" s="2420"/>
      <c r="E36" s="2420"/>
      <c r="F36" s="2421"/>
    </row>
    <row r="37" spans="1:11" ht="12" customHeight="1" x14ac:dyDescent="0.2">
      <c r="A37" s="2419"/>
      <c r="B37" s="2420"/>
      <c r="C37" s="2420"/>
      <c r="D37" s="2420"/>
      <c r="E37" s="2420"/>
      <c r="F37" s="2421"/>
    </row>
    <row r="38" spans="1:11" ht="12" customHeight="1" x14ac:dyDescent="0.2">
      <c r="A38" s="2422"/>
      <c r="B38" s="2423"/>
      <c r="C38" s="2423"/>
      <c r="D38" s="2423"/>
      <c r="E38" s="2423"/>
      <c r="F38" s="2424"/>
    </row>
    <row r="39" spans="1:11" ht="4.5" hidden="1" customHeight="1" x14ac:dyDescent="0.2">
      <c r="A39" s="1870"/>
      <c r="B39" s="1870"/>
      <c r="C39" s="1870"/>
      <c r="D39" s="1870"/>
      <c r="E39" s="1870"/>
      <c r="F39" s="1870"/>
    </row>
    <row r="40" spans="1:11" s="1867" customFormat="1" ht="12" customHeight="1" x14ac:dyDescent="0.25">
      <c r="A40" s="1871" t="s">
        <v>1391</v>
      </c>
      <c r="B40" s="1872"/>
      <c r="C40" s="2425"/>
      <c r="D40" s="2425"/>
      <c r="E40" s="2425"/>
      <c r="F40" s="2426"/>
      <c r="H40" s="1876"/>
      <c r="I40" s="1876"/>
      <c r="J40" s="1876"/>
      <c r="K40" s="1876"/>
    </row>
    <row r="41" spans="1:11" s="1867" customFormat="1" ht="12" customHeight="1" x14ac:dyDescent="0.25">
      <c r="A41" s="2427"/>
      <c r="B41" s="2428"/>
      <c r="C41" s="2428"/>
      <c r="D41" s="2428"/>
      <c r="E41" s="2428"/>
      <c r="F41" s="2429"/>
      <c r="H41" s="1876"/>
      <c r="I41" s="1876"/>
      <c r="J41" s="1876"/>
      <c r="K41" s="1876"/>
    </row>
    <row r="42" spans="1:11" s="1867" customFormat="1" ht="12" customHeight="1" x14ac:dyDescent="0.25">
      <c r="A42" s="2427"/>
      <c r="B42" s="2428"/>
      <c r="C42" s="2428"/>
      <c r="D42" s="2428"/>
      <c r="E42" s="2428"/>
      <c r="F42" s="2429"/>
      <c r="H42" s="1876"/>
      <c r="I42" s="1876"/>
      <c r="J42" s="1876"/>
      <c r="K42" s="1876"/>
    </row>
    <row r="43" spans="1:11" s="1867" customFormat="1" ht="15" x14ac:dyDescent="0.25">
      <c r="A43" s="2416"/>
      <c r="B43" s="2417"/>
      <c r="C43" s="2417"/>
      <c r="D43" s="2417"/>
      <c r="E43" s="2417"/>
      <c r="F43" s="2418"/>
      <c r="H43" s="1876"/>
      <c r="I43" s="1876"/>
      <c r="J43" s="1876"/>
      <c r="K43" s="1876"/>
    </row>
    <row r="44" spans="1:11" s="1867" customFormat="1" ht="12" hidden="1" customHeight="1" x14ac:dyDescent="0.25">
      <c r="A44" s="2416"/>
      <c r="B44" s="2417"/>
      <c r="C44" s="2417"/>
      <c r="D44" s="2417"/>
      <c r="E44" s="2417"/>
      <c r="F44" s="241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443" t="str">
        <f>COVER!A17</f>
        <v>Mercer County School District 404</v>
      </c>
      <c r="J6" s="2444"/>
      <c r="Q6" s="1661"/>
    </row>
    <row r="7" spans="1:17" x14ac:dyDescent="0.2">
      <c r="A7" s="2445" t="s">
        <v>869</v>
      </c>
      <c r="B7" s="2446"/>
      <c r="C7" s="2446"/>
      <c r="D7" s="2446"/>
      <c r="E7" s="2447"/>
      <c r="F7" s="1014"/>
      <c r="G7" s="1006"/>
      <c r="H7" s="1013" t="s">
        <v>372</v>
      </c>
      <c r="I7" s="2448">
        <f>COVER!A13</f>
        <v>33066404026</v>
      </c>
      <c r="J7" s="244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1977</v>
      </c>
      <c r="F9" s="1020"/>
      <c r="G9" s="1020"/>
      <c r="H9" s="1893" t="s">
        <v>1978</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49" t="s">
        <v>481</v>
      </c>
      <c r="B11" s="2450"/>
      <c r="C11" s="245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141843</v>
      </c>
      <c r="F12" s="1036"/>
      <c r="G12" s="1808">
        <f t="shared" ref="G12:G18" si="0">SUM(E12:F12)</f>
        <v>141843</v>
      </c>
      <c r="H12" s="1037">
        <v>142150</v>
      </c>
      <c r="I12" s="1036"/>
      <c r="J12" s="1808">
        <f t="shared" ref="J12:J18" si="1">SUM(H12:I12)</f>
        <v>142150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33999</v>
      </c>
      <c r="F15" s="1808">
        <f>'Expenditures 15-22'!K122</f>
        <v>0</v>
      </c>
      <c r="G15" s="1808">
        <f t="shared" si="0"/>
        <v>33999</v>
      </c>
      <c r="H15" s="1037">
        <v>38750</v>
      </c>
      <c r="I15" s="1037"/>
      <c r="J15" s="1808">
        <f t="shared" si="1"/>
        <v>38750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52" t="s">
        <v>7</v>
      </c>
      <c r="C18" s="2453"/>
      <c r="D18" s="245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175842</v>
      </c>
      <c r="F19" s="1810">
        <f t="shared" si="2"/>
        <v>0</v>
      </c>
      <c r="G19" s="1810">
        <f t="shared" si="2"/>
        <v>175842</v>
      </c>
      <c r="H19" s="1810">
        <f t="shared" si="2"/>
        <v>180900</v>
      </c>
      <c r="I19" s="1810">
        <f t="shared" si="2"/>
        <v>0</v>
      </c>
      <c r="J19" s="1810">
        <f t="shared" si="2"/>
        <v>180900</v>
      </c>
    </row>
    <row r="20" spans="1:10" ht="13.5" thickTop="1" x14ac:dyDescent="0.2">
      <c r="A20" s="1032">
        <v>9</v>
      </c>
      <c r="B20" s="2455" t="s">
        <v>1979</v>
      </c>
      <c r="C20" s="2455"/>
      <c r="D20" s="2456"/>
      <c r="E20" s="1043"/>
      <c r="F20" s="1043"/>
      <c r="G20" s="1043"/>
      <c r="H20" s="1043"/>
      <c r="I20" s="1043"/>
      <c r="J20" s="1811">
        <f>IF(AND(G19&gt;0,J19&gt;0),(((J19-G19)/G19)),"Enter Budget Data")</f>
        <v>2.8764459002968572E-2</v>
      </c>
    </row>
    <row r="21" spans="1:10" ht="9" customHeight="1" x14ac:dyDescent="0.2">
      <c r="B21" s="1044"/>
    </row>
    <row r="22" spans="1:10" x14ac:dyDescent="0.2">
      <c r="A22" s="1045" t="s">
        <v>133</v>
      </c>
      <c r="B22" s="1044"/>
    </row>
    <row r="23" spans="1:10" x14ac:dyDescent="0.2">
      <c r="A23" s="1008" t="s">
        <v>1980</v>
      </c>
      <c r="B23" s="1044"/>
    </row>
    <row r="24" spans="1:10" x14ac:dyDescent="0.2">
      <c r="A24" s="1008" t="s">
        <v>1993</v>
      </c>
      <c r="B24" s="1044"/>
    </row>
    <row r="25" spans="1:10" x14ac:dyDescent="0.2">
      <c r="A25" s="1046"/>
      <c r="B25" s="1044"/>
    </row>
    <row r="26" spans="1:10" ht="20.100000000000001" customHeight="1" x14ac:dyDescent="0.2">
      <c r="B26" s="1044"/>
      <c r="C26" s="2461"/>
      <c r="D26" s="2461"/>
      <c r="E26" s="1047"/>
      <c r="F26" s="2460"/>
      <c r="G26" s="2460"/>
    </row>
    <row r="27" spans="1:10" x14ac:dyDescent="0.2">
      <c r="B27" s="1044"/>
      <c r="C27" s="1048" t="s">
        <v>1033</v>
      </c>
      <c r="D27" s="1049"/>
      <c r="E27" s="1050"/>
      <c r="F27" s="2457" t="s">
        <v>1509</v>
      </c>
      <c r="G27" s="2457"/>
    </row>
    <row r="28" spans="1:10" ht="28.5" customHeight="1" x14ac:dyDescent="0.2">
      <c r="B28" s="1044"/>
      <c r="C28" s="2459"/>
      <c r="D28" s="2459"/>
      <c r="E28" s="1051"/>
      <c r="F28" s="2459"/>
      <c r="G28" s="2459"/>
    </row>
    <row r="29" spans="1:10" x14ac:dyDescent="0.2">
      <c r="B29" s="1044"/>
      <c r="C29" s="1052" t="s">
        <v>1561</v>
      </c>
      <c r="E29" s="1053"/>
      <c r="F29" s="2458" t="s">
        <v>1510</v>
      </c>
      <c r="G29" s="245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40" t="s">
        <v>132</v>
      </c>
      <c r="D33" s="2441"/>
      <c r="E33" s="2441"/>
      <c r="F33" s="2441"/>
      <c r="G33" s="2441"/>
      <c r="H33" s="2441"/>
      <c r="I33" s="2441"/>
    </row>
    <row r="34" spans="1:10" ht="10.35" customHeight="1" x14ac:dyDescent="0.2">
      <c r="C34" s="2441"/>
      <c r="D34" s="2441"/>
      <c r="E34" s="2441"/>
      <c r="F34" s="2441"/>
      <c r="G34" s="2441"/>
      <c r="H34" s="2441"/>
      <c r="I34" s="2441"/>
    </row>
    <row r="35" spans="1:10" ht="7.5" customHeight="1" x14ac:dyDescent="0.2">
      <c r="C35" s="1059"/>
    </row>
    <row r="36" spans="1:10" ht="13.5" customHeight="1" x14ac:dyDescent="0.2">
      <c r="B36" s="1058"/>
      <c r="C36" s="2442" t="s">
        <v>1981</v>
      </c>
      <c r="D36" s="2441"/>
      <c r="E36" s="2441"/>
      <c r="F36" s="2441"/>
      <c r="G36" s="2441"/>
      <c r="H36" s="2441"/>
      <c r="I36" s="2441"/>
      <c r="J36" s="1060"/>
    </row>
    <row r="37" spans="1:10" ht="22.5" customHeight="1" x14ac:dyDescent="0.2">
      <c r="C37" s="2441"/>
      <c r="D37" s="2441"/>
      <c r="E37" s="2441"/>
      <c r="F37" s="2441"/>
      <c r="G37" s="2441"/>
      <c r="H37" s="2441"/>
      <c r="I37" s="2441"/>
      <c r="J37" s="1060"/>
    </row>
    <row r="38" spans="1:10" ht="7.5" customHeight="1" x14ac:dyDescent="0.2">
      <c r="C38" s="1059"/>
      <c r="D38" s="1061"/>
      <c r="E38" s="1062"/>
      <c r="F38" s="1063"/>
      <c r="G38" s="1062"/>
    </row>
    <row r="39" spans="1:10" ht="13.5" customHeight="1" x14ac:dyDescent="0.2">
      <c r="B39" s="1058"/>
      <c r="C39" s="2438" t="s">
        <v>882</v>
      </c>
      <c r="D39" s="2439"/>
      <c r="E39" s="2439"/>
      <c r="F39" s="2439"/>
      <c r="G39" s="2439"/>
      <c r="H39" s="2439"/>
      <c r="I39" s="243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2300</v>
      </c>
    </row>
    <row r="6" spans="1:2" x14ac:dyDescent="0.2">
      <c r="A6" s="1065">
        <v>2</v>
      </c>
      <c r="B6" s="329" t="s">
        <v>2301</v>
      </c>
    </row>
    <row r="7" spans="1:2" x14ac:dyDescent="0.2">
      <c r="A7" s="1065">
        <v>3</v>
      </c>
      <c r="B7" s="329" t="s">
        <v>2302</v>
      </c>
    </row>
    <row r="8" spans="1:2" x14ac:dyDescent="0.2">
      <c r="A8" s="1065">
        <v>4</v>
      </c>
      <c r="B8" s="329" t="s">
        <v>2303</v>
      </c>
    </row>
    <row r="9" spans="1:2" x14ac:dyDescent="0.2">
      <c r="A9" s="1066">
        <v>5</v>
      </c>
      <c r="B9" s="329" t="s">
        <v>2304</v>
      </c>
    </row>
    <row r="10" spans="1:2" x14ac:dyDescent="0.2">
      <c r="A10" s="1066"/>
      <c r="B10" s="329" t="s">
        <v>2305</v>
      </c>
    </row>
    <row r="11" spans="1:2" x14ac:dyDescent="0.2">
      <c r="A11" s="1066"/>
      <c r="B11" s="329" t="s">
        <v>2306</v>
      </c>
    </row>
    <row r="12" spans="1:2" x14ac:dyDescent="0.2">
      <c r="A12" s="1066"/>
      <c r="B12" s="329" t="s">
        <v>2307</v>
      </c>
    </row>
    <row r="13" spans="1:2" x14ac:dyDescent="0.2">
      <c r="A13" s="1066">
        <v>6</v>
      </c>
      <c r="B13" s="329" t="s">
        <v>2308</v>
      </c>
    </row>
    <row r="14" spans="1:2" x14ac:dyDescent="0.2">
      <c r="A14" s="1066">
        <v>7</v>
      </c>
      <c r="B14" s="329" t="s">
        <v>2309</v>
      </c>
    </row>
    <row r="15" spans="1:2" x14ac:dyDescent="0.2">
      <c r="A15" s="1066">
        <v>8</v>
      </c>
      <c r="B15" s="329" t="s">
        <v>2310</v>
      </c>
    </row>
    <row r="16" spans="1:2" x14ac:dyDescent="0.2">
      <c r="A16" s="1066">
        <v>9</v>
      </c>
      <c r="B16" s="329" t="s">
        <v>2311</v>
      </c>
    </row>
    <row r="17" spans="1:2" x14ac:dyDescent="0.2">
      <c r="A17" s="1066">
        <v>10</v>
      </c>
      <c r="B17" s="329" t="s">
        <v>2312</v>
      </c>
    </row>
    <row r="18" spans="1:2" x14ac:dyDescent="0.2">
      <c r="A18" s="1066">
        <v>11</v>
      </c>
      <c r="B18" s="329" t="s">
        <v>2313</v>
      </c>
    </row>
    <row r="19" spans="1:2" x14ac:dyDescent="0.2">
      <c r="A19" s="1066">
        <v>12</v>
      </c>
      <c r="B19" s="329" t="s">
        <v>2315</v>
      </c>
    </row>
    <row r="20" spans="1:2" x14ac:dyDescent="0.2">
      <c r="A20" s="1066">
        <v>13</v>
      </c>
      <c r="B20" s="329" t="s">
        <v>2314</v>
      </c>
    </row>
    <row r="21" spans="1:2" x14ac:dyDescent="0.2">
      <c r="A21" s="1066">
        <v>14</v>
      </c>
      <c r="B21" s="329" t="s">
        <v>2316</v>
      </c>
    </row>
    <row r="22" spans="1:2" x14ac:dyDescent="0.2">
      <c r="A22" s="1066">
        <v>15</v>
      </c>
      <c r="B22" s="329" t="s">
        <v>2317</v>
      </c>
    </row>
    <row r="23" spans="1:2" x14ac:dyDescent="0.2">
      <c r="A23" s="1066"/>
      <c r="B23" s="329" t="s">
        <v>2318</v>
      </c>
    </row>
    <row r="24" spans="1:2" x14ac:dyDescent="0.2">
      <c r="A24" s="1066"/>
      <c r="B24" s="329" t="s">
        <v>2319</v>
      </c>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Mercer County School District 404</v>
      </c>
    </row>
    <row r="65" spans="2:2" x14ac:dyDescent="0.2">
      <c r="B65" s="1067">
        <f>COVER!A13</f>
        <v>33066404026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3" t="s">
        <v>1611</v>
      </c>
    </row>
    <row r="23" spans="1:5" x14ac:dyDescent="0.2">
      <c r="A23" s="168"/>
      <c r="B23" s="162" t="s">
        <v>1855</v>
      </c>
      <c r="D23" s="167" t="s">
        <v>637</v>
      </c>
      <c r="E23" s="1833"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79" t="s">
        <v>1065</v>
      </c>
      <c r="B35" s="2179"/>
      <c r="C35" s="2179"/>
      <c r="D35" s="2179"/>
      <c r="E35" s="21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6" t="s">
        <v>691</v>
      </c>
      <c r="B40" s="2176"/>
      <c r="C40" s="2176"/>
      <c r="D40" s="2176"/>
      <c r="E40" s="2176"/>
    </row>
    <row r="41" spans="1:5" x14ac:dyDescent="0.2">
      <c r="A41" s="2177" t="s">
        <v>1608</v>
      </c>
      <c r="B41" s="2177"/>
      <c r="C41" s="2177"/>
      <c r="D41" s="2177"/>
      <c r="E41" s="2177"/>
    </row>
    <row r="42" spans="1:5" ht="12.75" customHeight="1" x14ac:dyDescent="0.2">
      <c r="A42" s="2178" t="s">
        <v>1022</v>
      </c>
      <c r="B42" s="2178"/>
      <c r="C42" s="2178"/>
      <c r="D42" s="2178"/>
      <c r="E42" s="2178"/>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2" t="s">
        <v>1774</v>
      </c>
    </row>
    <row r="60" spans="1:3" x14ac:dyDescent="0.2">
      <c r="A60" s="196"/>
      <c r="B60" s="1482"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4"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3"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62" t="s">
        <v>1685</v>
      </c>
      <c r="B18" s="246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1038225</xdr:colOff>
                <xdr:row>1</xdr:row>
                <xdr:rowOff>0</xdr:rowOff>
              </from>
              <to>
                <xdr:col>1</xdr:col>
                <xdr:colOff>1952625</xdr:colOff>
                <xdr:row>5</xdr:row>
                <xdr:rowOff>38100</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63" t="s">
        <v>1690</v>
      </c>
      <c r="B1" s="2464"/>
      <c r="C1" s="2464"/>
      <c r="D1" s="2464"/>
      <c r="E1" s="2464"/>
      <c r="F1" s="2465"/>
    </row>
    <row r="2" spans="1:8" ht="45" customHeight="1" x14ac:dyDescent="0.2">
      <c r="A2" s="2473" t="s">
        <v>1985</v>
      </c>
      <c r="B2" s="2474"/>
      <c r="C2" s="2474"/>
      <c r="D2" s="2474"/>
      <c r="E2" s="2474"/>
      <c r="F2" s="2475"/>
      <c r="G2" s="1071"/>
      <c r="H2" s="1071"/>
    </row>
    <row r="3" spans="1:8" ht="57" customHeight="1" x14ac:dyDescent="0.2">
      <c r="A3" s="2476" t="s">
        <v>1686</v>
      </c>
      <c r="B3" s="2477"/>
      <c r="C3" s="2477"/>
      <c r="D3" s="2477"/>
      <c r="E3" s="2477"/>
      <c r="F3" s="2478"/>
      <c r="G3" s="1071"/>
      <c r="H3" s="1071"/>
    </row>
    <row r="4" spans="1:8" ht="14.25" customHeight="1" x14ac:dyDescent="0.2">
      <c r="A4" s="2482" t="s">
        <v>1986</v>
      </c>
      <c r="B4" s="2483"/>
      <c r="C4" s="2483"/>
      <c r="D4" s="2483"/>
      <c r="E4" s="2483"/>
      <c r="F4" s="2484"/>
      <c r="G4" s="1071"/>
      <c r="H4" s="1071"/>
    </row>
    <row r="5" spans="1:8" ht="14.25" customHeight="1" x14ac:dyDescent="0.2">
      <c r="A5" s="2485" t="s">
        <v>1982</v>
      </c>
      <c r="B5" s="2486"/>
      <c r="C5" s="2486"/>
      <c r="D5" s="2486"/>
      <c r="E5" s="2486"/>
      <c r="F5" s="2487"/>
      <c r="G5" s="1071"/>
      <c r="H5" s="1071"/>
    </row>
    <row r="6" spans="1:8" s="1072" customFormat="1" ht="41.25" customHeight="1" x14ac:dyDescent="0.2">
      <c r="A6" s="2479" t="s">
        <v>1691</v>
      </c>
      <c r="B6" s="2480"/>
      <c r="C6" s="2480"/>
      <c r="D6" s="2480"/>
      <c r="E6" s="2480"/>
      <c r="F6" s="248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10519856</v>
      </c>
      <c r="C8" s="1812">
        <f>'Acct Summary 7-8'!D8</f>
        <v>1711211</v>
      </c>
      <c r="D8" s="1812">
        <f>'Acct Summary 7-8'!F8</f>
        <v>1041684</v>
      </c>
      <c r="E8" s="1812">
        <f>'Acct Summary 7-8'!I8</f>
        <v>95931</v>
      </c>
      <c r="F8" s="1812">
        <f>SUM(B8:E8)</f>
        <v>13368682</v>
      </c>
    </row>
    <row r="9" spans="1:8" s="1076" customFormat="1" ht="14.25" customHeight="1" thickBot="1" x14ac:dyDescent="0.25">
      <c r="A9" s="1075" t="s">
        <v>1369</v>
      </c>
      <c r="B9" s="1813">
        <f>'Acct Summary 7-8'!C17</f>
        <v>10299549</v>
      </c>
      <c r="C9" s="1813">
        <f>'Acct Summary 7-8'!D17</f>
        <v>1321296</v>
      </c>
      <c r="D9" s="1813">
        <f>'Acct Summary 7-8'!F17</f>
        <v>955245</v>
      </c>
      <c r="E9" s="1812"/>
      <c r="F9" s="1812">
        <f>SUM(B9:E9)</f>
        <v>12576090</v>
      </c>
    </row>
    <row r="10" spans="1:8" s="1076" customFormat="1" ht="14.25" thickTop="1" thickBot="1" x14ac:dyDescent="0.25">
      <c r="A10" s="1077" t="s">
        <v>1370</v>
      </c>
      <c r="B10" s="1814">
        <f>(B8-B9)</f>
        <v>220307</v>
      </c>
      <c r="C10" s="1814">
        <f>(C8-C9)</f>
        <v>389915</v>
      </c>
      <c r="D10" s="1814">
        <f>(D8-D9)</f>
        <v>86439</v>
      </c>
      <c r="E10" s="1813">
        <f>(E8-E9)</f>
        <v>95931</v>
      </c>
      <c r="F10" s="1815">
        <f>SUM(F8-F9)</f>
        <v>792592</v>
      </c>
    </row>
    <row r="11" spans="1:8" s="1076" customFormat="1" ht="14.25" thickTop="1" thickBot="1" x14ac:dyDescent="0.25">
      <c r="A11" s="1078" t="s">
        <v>1983</v>
      </c>
      <c r="B11" s="1816">
        <f>'Acct Summary 7-8'!C81</f>
        <v>1851826</v>
      </c>
      <c r="C11" s="1816">
        <f>'Acct Summary 7-8'!D81</f>
        <v>2024268</v>
      </c>
      <c r="D11" s="1816">
        <f>'Acct Summary 7-8'!F81</f>
        <v>685947</v>
      </c>
      <c r="E11" s="1816">
        <f>'Acct Summary 7-8'!I81</f>
        <v>1867074</v>
      </c>
      <c r="F11" s="1817">
        <f>SUM(B11:E11)</f>
        <v>6429115</v>
      </c>
    </row>
    <row r="12" spans="1:8" ht="16.5" customHeight="1" thickTop="1" x14ac:dyDescent="0.2">
      <c r="A12" s="1079"/>
      <c r="B12" s="1080"/>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1081"/>
      <c r="B13" s="1082"/>
      <c r="C13" s="2467"/>
      <c r="D13" s="2468"/>
      <c r="E13" s="2468"/>
      <c r="F13" s="2469"/>
      <c r="H13" s="1071"/>
    </row>
    <row r="14" spans="1:8" ht="19.5" customHeight="1" x14ac:dyDescent="0.2">
      <c r="A14" s="1081"/>
      <c r="B14" s="1082"/>
      <c r="C14" s="2467"/>
      <c r="D14" s="2468"/>
      <c r="E14" s="2468"/>
      <c r="F14" s="2469"/>
      <c r="H14" s="1071"/>
    </row>
    <row r="15" spans="1:8" ht="17.25" customHeight="1" x14ac:dyDescent="0.2">
      <c r="A15" s="1081"/>
      <c r="B15" s="1082"/>
      <c r="C15" s="2470"/>
      <c r="D15" s="2471"/>
      <c r="E15" s="2471"/>
      <c r="F15" s="2472"/>
      <c r="H15" s="1071"/>
    </row>
    <row r="16" spans="1:8" s="310" customFormat="1" ht="51.75" hidden="1" customHeight="1" x14ac:dyDescent="0.2">
      <c r="A16" s="2466" t="s">
        <v>1687</v>
      </c>
      <c r="B16" s="2466"/>
      <c r="C16" s="2466"/>
      <c r="D16" s="2466"/>
      <c r="E16" s="246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88" t="s">
        <v>665</v>
      </c>
      <c r="B3" s="2489"/>
      <c r="C3" s="2489"/>
      <c r="D3" s="2490"/>
    </row>
    <row r="4" spans="1:4" x14ac:dyDescent="0.2">
      <c r="A4" s="1149" t="s">
        <v>1692</v>
      </c>
      <c r="B4" s="1150"/>
      <c r="C4" s="1151"/>
      <c r="D4" s="1152"/>
    </row>
    <row r="5" spans="1:4" ht="21" customHeight="1" x14ac:dyDescent="0.2">
      <c r="A5" s="1145"/>
      <c r="B5" s="1146">
        <v>1</v>
      </c>
      <c r="C5" s="1147" t="s">
        <v>1833</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99" t="s">
        <v>1504</v>
      </c>
      <c r="D7" s="2500"/>
    </row>
    <row r="8" spans="1:4" s="665" customFormat="1" ht="12.75" x14ac:dyDescent="0.2">
      <c r="A8" s="1135"/>
      <c r="B8" s="1090"/>
      <c r="C8" s="1093" t="s">
        <v>1503</v>
      </c>
      <c r="D8" s="1094"/>
    </row>
    <row r="9" spans="1:4" s="665" customFormat="1" ht="14.25" customHeight="1" x14ac:dyDescent="0.2">
      <c r="A9" s="1135"/>
      <c r="B9" s="1090">
        <f>B7+1</f>
        <v>4</v>
      </c>
      <c r="C9" s="1091" t="s">
        <v>1911</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91" t="s">
        <v>1008</v>
      </c>
      <c r="B15" s="2492"/>
      <c r="C15" s="2492"/>
      <c r="D15" s="2493"/>
    </row>
    <row r="16" spans="1:4" s="665" customFormat="1" ht="24" customHeight="1" x14ac:dyDescent="0.2">
      <c r="A16" s="2494" t="s">
        <v>663</v>
      </c>
      <c r="B16" s="2495"/>
      <c r="C16" s="2495"/>
      <c r="D16" s="249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03" t="s">
        <v>314</v>
      </c>
      <c r="D21" s="2504"/>
    </row>
    <row r="22" spans="1:10" ht="12.75" x14ac:dyDescent="0.2">
      <c r="A22" s="1136"/>
      <c r="B22" s="1137">
        <v>2</v>
      </c>
      <c r="C22" s="2501" t="s">
        <v>1524</v>
      </c>
      <c r="D22" s="250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05" t="s">
        <v>536</v>
      </c>
      <c r="D43" s="250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97" t="s">
        <v>784</v>
      </c>
      <c r="D56" s="249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1912</v>
      </c>
      <c r="D66" s="1122"/>
    </row>
    <row r="67" spans="1:4" x14ac:dyDescent="0.2">
      <c r="A67" s="1116"/>
      <c r="B67" s="1137"/>
      <c r="C67" s="1144" t="s">
        <v>1021</v>
      </c>
      <c r="D67" s="1122"/>
    </row>
    <row r="68" spans="1:4" x14ac:dyDescent="0.2">
      <c r="A68" s="1097"/>
      <c r="B68" s="1107"/>
      <c r="C68" s="1099" t="s">
        <v>1913</v>
      </c>
      <c r="D68" s="1121" t="str">
        <f>IF('Short-Term Long-Term Debt 24'!F49=SUM(,'Acct Summary 7-8'!C33:K33),"OK","ERROR!")</f>
        <v>OK</v>
      </c>
    </row>
    <row r="69" spans="1:4" x14ac:dyDescent="0.2">
      <c r="A69" s="1097"/>
      <c r="B69" s="1107"/>
      <c r="C69" s="1099" t="s">
        <v>1914</v>
      </c>
      <c r="D69" s="1121" t="str">
        <f>IF('Expenditures 15-22'!H170&lt;&gt;'Short-Term Long-Term Debt 24'!H49,"ERROR!","OK")</f>
        <v>OK</v>
      </c>
    </row>
    <row r="70" spans="1:4" x14ac:dyDescent="0.2">
      <c r="A70" s="1095"/>
      <c r="B70" s="1117">
        <f>B66+1</f>
        <v>9</v>
      </c>
      <c r="C70" s="2497" t="s">
        <v>1696</v>
      </c>
      <c r="D70" s="249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1915</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1916</v>
      </c>
      <c r="D78" s="1121" t="str">
        <f>IF(ISNUMBER('Acct Summary 7-8'!C9),"OK","ENTRY IS REQUIRED!")</f>
        <v>OK</v>
      </c>
    </row>
    <row r="79" spans="1:4" x14ac:dyDescent="0.2">
      <c r="A79" s="1116"/>
      <c r="B79" s="1117">
        <f>B74+1+1</f>
        <v>12</v>
      </c>
      <c r="C79" s="1127" t="s">
        <v>1901</v>
      </c>
      <c r="D79" s="1128" t="str">
        <f>IF(OR(COVER!$B$6="X",'PCTC-OEPP 27-28'!F78&gt;0),"OK","PLEASE ENTER 9 MO ADA.")</f>
        <v>OK</v>
      </c>
    </row>
    <row r="80" spans="1:4" x14ac:dyDescent="0.2">
      <c r="A80" s="1095"/>
      <c r="B80" s="1117">
        <v>13</v>
      </c>
      <c r="C80" s="1127" t="s">
        <v>1917</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33066404026</v>
      </c>
    </row>
    <row r="3" spans="1:2" x14ac:dyDescent="0.2">
      <c r="A3" t="s">
        <v>956</v>
      </c>
      <c r="B3" s="138" t="str">
        <f>COVER!A15</f>
        <v>Mercer</v>
      </c>
    </row>
    <row r="4" spans="1:2" x14ac:dyDescent="0.2">
      <c r="A4" t="s">
        <v>1007</v>
      </c>
      <c r="B4" s="138" t="str">
        <f>COVER!A17</f>
        <v>Mercer County School District 404</v>
      </c>
    </row>
    <row r="5" spans="1:2" x14ac:dyDescent="0.2">
      <c r="A5" t="s">
        <v>704</v>
      </c>
      <c r="B5" s="138" t="str">
        <f>COVER!A38</f>
        <v>Scott Petrie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777600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1851826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1828769</v>
      </c>
      <c r="D92" s="2" t="str">
        <f t="shared" si="0"/>
        <v>Error?</v>
      </c>
    </row>
    <row r="93" spans="1:4" x14ac:dyDescent="0.2">
      <c r="A93" s="5">
        <v>32</v>
      </c>
      <c r="B93" s="138">
        <f>'Assets-Liab 5-6'!C41</f>
        <v>1851826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1014800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2024268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1990266</v>
      </c>
      <c r="D123" s="2" t="str">
        <f t="shared" si="0"/>
        <v>Error?</v>
      </c>
    </row>
    <row r="124" spans="1:4" x14ac:dyDescent="0.2">
      <c r="A124" s="5">
        <v>63</v>
      </c>
      <c r="B124" s="138">
        <f>'Assets-Liab 5-6'!D41</f>
        <v>2024268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246888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82638</v>
      </c>
      <c r="D140" s="2" t="str">
        <f t="shared" si="1"/>
        <v>Error?</v>
      </c>
    </row>
    <row r="141" spans="1:4" x14ac:dyDescent="0.2">
      <c r="A141" s="5">
        <v>80</v>
      </c>
      <c r="B141" s="138">
        <f>'Assets-Liab 5-6'!E41</f>
        <v>246888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685947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685947</v>
      </c>
      <c r="D170" s="2" t="str">
        <f t="shared" si="1"/>
        <v>Error?</v>
      </c>
    </row>
    <row r="171" spans="1:4" x14ac:dyDescent="0.2">
      <c r="A171" s="5">
        <v>110</v>
      </c>
      <c r="B171" s="138">
        <f>'Assets-Liab 5-6'!F41</f>
        <v>685947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551244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433897</v>
      </c>
      <c r="D189" s="2" t="str">
        <f t="shared" si="1"/>
        <v>Error?</v>
      </c>
    </row>
    <row r="190" spans="1:4" x14ac:dyDescent="0.2">
      <c r="A190" s="5">
        <v>129</v>
      </c>
      <c r="B190" s="138">
        <f>'Assets-Liab 5-6'!G41</f>
        <v>551244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378679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163509</v>
      </c>
      <c r="D212" s="2" t="str">
        <f t="shared" si="2"/>
        <v>Error?</v>
      </c>
    </row>
    <row r="213" spans="1:4" x14ac:dyDescent="0.2">
      <c r="A213" s="12">
        <v>152</v>
      </c>
      <c r="B213" s="138">
        <f>'Assets-Liab 5-6'!H41</f>
        <v>378679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235697</v>
      </c>
      <c r="D273" s="2" t="str">
        <f t="shared" si="3"/>
        <v>Error?</v>
      </c>
    </row>
    <row r="274" spans="1:4" x14ac:dyDescent="0.2">
      <c r="A274" s="5">
        <v>213</v>
      </c>
      <c r="B274" s="138">
        <f>'Assets-Liab 5-6'!M17</f>
        <v>16341037</v>
      </c>
      <c r="D274" s="2" t="str">
        <f t="shared" si="3"/>
        <v>Error?</v>
      </c>
    </row>
    <row r="275" spans="1:4" x14ac:dyDescent="0.2">
      <c r="A275" s="5">
        <v>214</v>
      </c>
      <c r="B275" s="138">
        <f>'Assets-Liab 5-6'!M18</f>
        <v>6294992</v>
      </c>
      <c r="D275" s="2" t="str">
        <f t="shared" si="3"/>
        <v>Error?</v>
      </c>
    </row>
    <row r="276" spans="1:4" x14ac:dyDescent="0.2">
      <c r="A276" s="5">
        <v>215</v>
      </c>
      <c r="B276" s="138">
        <f>'Assets-Liab 5-6'!M19</f>
        <v>2284314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25192657</v>
      </c>
      <c r="C279" s="2" t="s">
        <v>573</v>
      </c>
      <c r="D279" s="2" t="str">
        <f t="shared" si="3"/>
        <v>Error?</v>
      </c>
    </row>
    <row r="280" spans="1:4" x14ac:dyDescent="0.2">
      <c r="A280" s="5">
        <v>219</v>
      </c>
      <c r="B280" s="138">
        <f>'Assets-Liab 5-6'!M40</f>
        <v>25192657</v>
      </c>
      <c r="D280" s="2" t="str">
        <f t="shared" si="3"/>
        <v>Error?</v>
      </c>
    </row>
    <row r="281" spans="1:4" x14ac:dyDescent="0.2">
      <c r="A281" s="5">
        <v>220</v>
      </c>
      <c r="B281" s="138">
        <f>'Assets-Liab 5-6'!M41</f>
        <v>25192657</v>
      </c>
      <c r="C281" s="2" t="s">
        <v>573</v>
      </c>
      <c r="D281" s="2" t="str">
        <f t="shared" si="3"/>
        <v>Error?</v>
      </c>
    </row>
    <row r="282" spans="1:4" x14ac:dyDescent="0.2">
      <c r="A282" s="5">
        <v>221</v>
      </c>
      <c r="B282" s="138">
        <f>'Assets-Liab 5-6'!N21</f>
        <v>246888</v>
      </c>
      <c r="D282" s="2" t="str">
        <f t="shared" si="3"/>
        <v>Error?</v>
      </c>
    </row>
    <row r="283" spans="1:4" x14ac:dyDescent="0.2">
      <c r="A283" s="5">
        <v>222</v>
      </c>
      <c r="B283" s="138">
        <f>'Assets-Liab 5-6'!N22</f>
        <v>4366074</v>
      </c>
      <c r="D283" s="2" t="str">
        <f t="shared" si="3"/>
        <v>Error?</v>
      </c>
    </row>
    <row r="284" spans="1:4" x14ac:dyDescent="0.2">
      <c r="A284" s="5">
        <v>223</v>
      </c>
      <c r="B284" s="138">
        <f>'Assets-Liab 5-6'!N23</f>
        <v>4612962</v>
      </c>
      <c r="C284" s="2" t="s">
        <v>573</v>
      </c>
      <c r="D284" s="2" t="str">
        <f t="shared" si="3"/>
        <v>Error?</v>
      </c>
    </row>
    <row r="285" spans="1:4" x14ac:dyDescent="0.2">
      <c r="A285" s="5">
        <v>224</v>
      </c>
      <c r="B285" s="138">
        <f>'Assets-Liab 5-6'!N36</f>
        <v>4612962</v>
      </c>
      <c r="D285" s="2" t="str">
        <f t="shared" si="3"/>
        <v>Error?</v>
      </c>
    </row>
    <row r="286" spans="1:4" x14ac:dyDescent="0.2">
      <c r="A286" s="10">
        <v>225</v>
      </c>
      <c r="D286" s="2" t="str">
        <f t="shared" si="3"/>
        <v>OK</v>
      </c>
    </row>
    <row r="287" spans="1:4" x14ac:dyDescent="0.2">
      <c r="A287" s="5">
        <v>226</v>
      </c>
      <c r="B287" s="138">
        <f>'Assets-Liab 5-6'!N37</f>
        <v>4612962</v>
      </c>
      <c r="C287" s="2" t="s">
        <v>573</v>
      </c>
      <c r="D287" s="2" t="str">
        <f t="shared" si="3"/>
        <v>Error?</v>
      </c>
    </row>
    <row r="288" spans="1:4" x14ac:dyDescent="0.2">
      <c r="A288" s="5">
        <v>227</v>
      </c>
      <c r="B288" s="138">
        <f>'Assets-Liab 5-6'!N41</f>
        <v>4612962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3683125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244767</v>
      </c>
      <c r="D717" s="2" t="str">
        <f t="shared" si="10"/>
        <v>Error?</v>
      </c>
    </row>
    <row r="718" spans="1:4" x14ac:dyDescent="0.2">
      <c r="A718" s="5">
        <v>657</v>
      </c>
      <c r="B718" s="138">
        <f>'Expenditures 15-22'!C14</f>
        <v>410560</v>
      </c>
      <c r="D718" s="2" t="str">
        <f t="shared" si="10"/>
        <v>Error?</v>
      </c>
    </row>
    <row r="719" spans="1:4" x14ac:dyDescent="0.2">
      <c r="A719" s="5">
        <v>658</v>
      </c>
      <c r="B719" s="138">
        <f>'Expenditures 15-22'!C15</f>
        <v>14842</v>
      </c>
      <c r="D719" s="2" t="str">
        <f t="shared" si="10"/>
        <v>Error?</v>
      </c>
    </row>
    <row r="720" spans="1:4" x14ac:dyDescent="0.2">
      <c r="A720" s="5">
        <v>659</v>
      </c>
      <c r="B720" s="138">
        <f>'Expenditures 15-22'!C33</f>
        <v>5626264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201840</v>
      </c>
      <c r="D722" s="2" t="str">
        <f t="shared" si="10"/>
        <v>Error?</v>
      </c>
    </row>
    <row r="723" spans="1:4" x14ac:dyDescent="0.2">
      <c r="A723" s="5">
        <v>662</v>
      </c>
      <c r="B723" s="138">
        <f>'Expenditures 15-22'!C38</f>
        <v>73325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83048</v>
      </c>
      <c r="D725" s="2" t="str">
        <f t="shared" si="10"/>
        <v>Error?</v>
      </c>
    </row>
    <row r="726" spans="1:4" x14ac:dyDescent="0.2">
      <c r="A726" s="5">
        <v>665</v>
      </c>
      <c r="B726" s="138">
        <f>'Expenditures 15-22'!C41</f>
        <v>3795</v>
      </c>
      <c r="D726" s="2" t="str">
        <f t="shared" si="10"/>
        <v>Error?</v>
      </c>
    </row>
    <row r="727" spans="1:4" x14ac:dyDescent="0.2">
      <c r="A727" s="5">
        <v>666</v>
      </c>
      <c r="B727" s="138">
        <f>'Expenditures 15-22'!C42</f>
        <v>362008</v>
      </c>
      <c r="C727" s="2" t="s">
        <v>573</v>
      </c>
      <c r="D727" s="2" t="str">
        <f t="shared" si="10"/>
        <v>Error?</v>
      </c>
    </row>
    <row r="728" spans="1:4" x14ac:dyDescent="0.2">
      <c r="A728" s="5">
        <v>667</v>
      </c>
      <c r="B728" s="138">
        <f>'Expenditures 15-22'!C44</f>
        <v>2593</v>
      </c>
      <c r="D728" s="2" t="str">
        <f t="shared" si="10"/>
        <v>Error?</v>
      </c>
    </row>
    <row r="729" spans="1:4" x14ac:dyDescent="0.2">
      <c r="A729" s="5">
        <v>668</v>
      </c>
      <c r="B729" s="138">
        <f>'Expenditures 15-22'!C45</f>
        <v>217515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220108</v>
      </c>
      <c r="C731" s="2" t="s">
        <v>573</v>
      </c>
      <c r="D731" s="2" t="str">
        <f t="shared" si="10"/>
        <v>Error?</v>
      </c>
    </row>
    <row r="732" spans="1:4" x14ac:dyDescent="0.2">
      <c r="A732" s="5">
        <v>671</v>
      </c>
      <c r="B732" s="138">
        <f>'Expenditures 15-22'!C49</f>
        <v>65329</v>
      </c>
      <c r="D732" s="2" t="str">
        <f t="shared" si="10"/>
        <v>Error?</v>
      </c>
    </row>
    <row r="733" spans="1:4" x14ac:dyDescent="0.2">
      <c r="A733" s="5">
        <v>672</v>
      </c>
      <c r="B733" s="138">
        <f>'Expenditures 15-22'!C50</f>
        <v>105000</v>
      </c>
      <c r="D733" s="2" t="str">
        <f t="shared" si="10"/>
        <v>Error?</v>
      </c>
    </row>
    <row r="734" spans="1:4" x14ac:dyDescent="0.2">
      <c r="A734" s="5">
        <v>673</v>
      </c>
      <c r="B734" s="138">
        <f>'Expenditures 15-22'!C53</f>
        <v>170329</v>
      </c>
      <c r="C734" s="2" t="s">
        <v>573</v>
      </c>
      <c r="D734" s="2" t="str">
        <f t="shared" si="10"/>
        <v>Error?</v>
      </c>
    </row>
    <row r="735" spans="1:4" x14ac:dyDescent="0.2">
      <c r="A735" s="5">
        <v>674</v>
      </c>
      <c r="B735" s="138">
        <f>'Expenditures 15-22'!C55</f>
        <v>559941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559941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61643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148873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210516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4526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4526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1527428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7153692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498795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33419</v>
      </c>
      <c r="D775" s="2" t="str">
        <f t="shared" si="11"/>
        <v>Error?</v>
      </c>
    </row>
    <row r="776" spans="1:4" x14ac:dyDescent="0.2">
      <c r="A776" s="5">
        <v>715</v>
      </c>
      <c r="B776" s="138">
        <f>'Expenditures 15-22'!D14</f>
        <v>26414</v>
      </c>
      <c r="D776" s="2" t="str">
        <f t="shared" si="11"/>
        <v>Error?</v>
      </c>
    </row>
    <row r="777" spans="1:4" x14ac:dyDescent="0.2">
      <c r="A777" s="5">
        <v>716</v>
      </c>
      <c r="B777" s="138">
        <f>'Expenditures 15-22'!D15</f>
        <v>176</v>
      </c>
      <c r="D777" s="2" t="str">
        <f t="shared" si="11"/>
        <v>Error?</v>
      </c>
    </row>
    <row r="778" spans="1:4" x14ac:dyDescent="0.2">
      <c r="A778" s="5">
        <v>717</v>
      </c>
      <c r="B778" s="138">
        <f>'Expenditures 15-22'!D33</f>
        <v>802211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33493</v>
      </c>
      <c r="D780" s="2" t="str">
        <f t="shared" si="11"/>
        <v>Error?</v>
      </c>
    </row>
    <row r="781" spans="1:4" x14ac:dyDescent="0.2">
      <c r="A781" s="5">
        <v>720</v>
      </c>
      <c r="B781" s="138">
        <f>'Expenditures 15-22'!D38</f>
        <v>17633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10604</v>
      </c>
      <c r="D783" s="2" t="str">
        <f t="shared" si="11"/>
        <v>Error?</v>
      </c>
    </row>
    <row r="784" spans="1:4" x14ac:dyDescent="0.2">
      <c r="A784" s="5">
        <v>723</v>
      </c>
      <c r="B784" s="138">
        <f>'Expenditures 15-22'!D41</f>
        <v>74</v>
      </c>
      <c r="D784" s="2" t="str">
        <f t="shared" si="11"/>
        <v>Error?</v>
      </c>
    </row>
    <row r="785" spans="1:4" x14ac:dyDescent="0.2">
      <c r="A785" s="5">
        <v>724</v>
      </c>
      <c r="B785" s="138">
        <f>'Expenditures 15-22'!D42</f>
        <v>61804</v>
      </c>
      <c r="C785" s="2" t="s">
        <v>573</v>
      </c>
      <c r="D785" s="2" t="str">
        <f t="shared" si="11"/>
        <v>Error?</v>
      </c>
    </row>
    <row r="786" spans="1:4" x14ac:dyDescent="0.2">
      <c r="A786" s="5">
        <v>725</v>
      </c>
      <c r="B786" s="138">
        <f>'Expenditures 15-22'!D44</f>
        <v>15984</v>
      </c>
      <c r="D786" s="2" t="str">
        <f t="shared" si="11"/>
        <v>Error?</v>
      </c>
    </row>
    <row r="787" spans="1:4" x14ac:dyDescent="0.2">
      <c r="A787" s="5">
        <v>726</v>
      </c>
      <c r="B787" s="138">
        <f>'Expenditures 15-22'!D45</f>
        <v>42392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58376</v>
      </c>
      <c r="C789" s="2" t="s">
        <v>573</v>
      </c>
      <c r="D789" s="2" t="str">
        <f t="shared" si="11"/>
        <v>Error?</v>
      </c>
    </row>
    <row r="790" spans="1:4" x14ac:dyDescent="0.2">
      <c r="A790" s="5">
        <v>729</v>
      </c>
      <c r="B790" s="138">
        <f>'Expenditures 15-22'!D49</f>
        <v>19244</v>
      </c>
      <c r="D790" s="2" t="str">
        <f t="shared" si="11"/>
        <v>Error?</v>
      </c>
    </row>
    <row r="791" spans="1:4" x14ac:dyDescent="0.2">
      <c r="A791" s="5">
        <v>730</v>
      </c>
      <c r="B791" s="138">
        <f>'Expenditures 15-22'!D50</f>
        <v>24328</v>
      </c>
      <c r="D791" s="2" t="str">
        <f t="shared" si="11"/>
        <v>Error?</v>
      </c>
    </row>
    <row r="792" spans="1:4" x14ac:dyDescent="0.2">
      <c r="A792" s="5">
        <v>731</v>
      </c>
      <c r="B792" s="138">
        <f>'Expenditures 15-22'!D53</f>
        <v>43572</v>
      </c>
      <c r="C792" s="2" t="s">
        <v>573</v>
      </c>
      <c r="D792" s="2" t="str">
        <f t="shared" si="11"/>
        <v>Error?</v>
      </c>
    </row>
    <row r="793" spans="1:4" x14ac:dyDescent="0.2">
      <c r="A793" s="5">
        <v>732</v>
      </c>
      <c r="B793" s="138">
        <f>'Expenditures 15-22'!D55</f>
        <v>110285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110285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9769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35192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44961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606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606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319604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1121815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21652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2851</v>
      </c>
      <c r="D833" s="2" t="str">
        <f t="shared" si="12"/>
        <v>Error?</v>
      </c>
    </row>
    <row r="834" spans="1:4" x14ac:dyDescent="0.2">
      <c r="A834" s="5">
        <v>773</v>
      </c>
      <c r="B834" s="138">
        <f>'Expenditures 15-22'!E14</f>
        <v>76312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116640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353</v>
      </c>
      <c r="D838" s="2" t="str">
        <f t="shared" si="12"/>
        <v>Error?</v>
      </c>
    </row>
    <row r="839" spans="1:4" x14ac:dyDescent="0.2">
      <c r="A839" s="5">
        <v>778</v>
      </c>
      <c r="B839" s="138">
        <f>'Expenditures 15-22'!E38</f>
        <v>1235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743</v>
      </c>
      <c r="D841" s="2" t="str">
        <f t="shared" si="12"/>
        <v>Error?</v>
      </c>
    </row>
    <row r="842" spans="1:4" x14ac:dyDescent="0.2">
      <c r="A842" s="5">
        <v>781</v>
      </c>
      <c r="B842" s="138">
        <f>'Expenditures 15-22'!E41</f>
        <v>774</v>
      </c>
      <c r="D842" s="2" t="str">
        <f t="shared" si="12"/>
        <v>Error?</v>
      </c>
    </row>
    <row r="843" spans="1:4" x14ac:dyDescent="0.2">
      <c r="A843" s="5">
        <v>782</v>
      </c>
      <c r="B843" s="138">
        <f>'Expenditures 15-22'!E42</f>
        <v>3105</v>
      </c>
      <c r="C843" s="2" t="s">
        <v>573</v>
      </c>
      <c r="D843" s="2" t="str">
        <f t="shared" si="12"/>
        <v>Error?</v>
      </c>
    </row>
    <row r="844" spans="1:4" x14ac:dyDescent="0.2">
      <c r="A844" s="5">
        <v>783</v>
      </c>
      <c r="B844" s="138">
        <f>'Expenditures 15-22'!E44</f>
        <v>37156</v>
      </c>
      <c r="D844" s="2" t="str">
        <f t="shared" si="12"/>
        <v>Error?</v>
      </c>
    </row>
    <row r="845" spans="1:4" x14ac:dyDescent="0.2">
      <c r="A845" s="5">
        <v>784</v>
      </c>
      <c r="B845" s="138">
        <f>'Expenditures 15-22'!E45</f>
        <v>238335</v>
      </c>
      <c r="D845" s="2" t="str">
        <f t="shared" si="12"/>
        <v>Error?</v>
      </c>
    </row>
    <row r="846" spans="1:4" x14ac:dyDescent="0.2">
      <c r="A846" s="5">
        <v>785</v>
      </c>
      <c r="B846" s="138">
        <f>'Expenditures 15-22'!E46</f>
        <v>26482</v>
      </c>
      <c r="D846" s="2" t="str">
        <f t="shared" si="12"/>
        <v>Error?</v>
      </c>
    </row>
    <row r="847" spans="1:4" x14ac:dyDescent="0.2">
      <c r="A847" s="5">
        <v>786</v>
      </c>
      <c r="B847" s="138">
        <f>'Expenditures 15-22'!E47</f>
        <v>301973</v>
      </c>
      <c r="C847" s="2" t="s">
        <v>573</v>
      </c>
      <c r="D847" s="2" t="str">
        <f t="shared" si="12"/>
        <v>Error?</v>
      </c>
    </row>
    <row r="848" spans="1:4" x14ac:dyDescent="0.2">
      <c r="A848" s="5">
        <v>787</v>
      </c>
      <c r="B848" s="138">
        <f>'Expenditures 15-22'!E49</f>
        <v>46280</v>
      </c>
      <c r="D848" s="2" t="str">
        <f t="shared" si="12"/>
        <v>Error?</v>
      </c>
    </row>
    <row r="849" spans="1:4" x14ac:dyDescent="0.2">
      <c r="A849" s="5">
        <v>788</v>
      </c>
      <c r="B849" s="138">
        <f>'Expenditures 15-22'!E50</f>
        <v>10463</v>
      </c>
      <c r="D849" s="2" t="str">
        <f t="shared" si="12"/>
        <v>Error?</v>
      </c>
    </row>
    <row r="850" spans="1:4" x14ac:dyDescent="0.2">
      <c r="A850" s="5">
        <v>789</v>
      </c>
      <c r="B850" s="138">
        <f>'Expenditures 15-22'!E53</f>
        <v>56743</v>
      </c>
      <c r="C850" s="2" t="s">
        <v>573</v>
      </c>
      <c r="D850" s="2" t="str">
        <f t="shared" si="12"/>
        <v>Error?</v>
      </c>
    </row>
    <row r="851" spans="1:4" x14ac:dyDescent="0.2">
      <c r="A851" s="5">
        <v>790</v>
      </c>
      <c r="B851" s="138">
        <f>'Expenditures 15-22'!E55</f>
        <v>7141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7141</v>
      </c>
      <c r="C853" s="2" t="s">
        <v>573</v>
      </c>
      <c r="D853" s="2" t="str">
        <f t="shared" si="12"/>
        <v>Error?</v>
      </c>
    </row>
    <row r="854" spans="1:4" x14ac:dyDescent="0.2">
      <c r="A854" s="5">
        <v>793</v>
      </c>
      <c r="B854" s="138">
        <f>'Expenditures 15-22'!E59</f>
        <v>33999</v>
      </c>
      <c r="D854" s="2" t="str">
        <f t="shared" si="12"/>
        <v>Error?</v>
      </c>
    </row>
    <row r="855" spans="1:4" x14ac:dyDescent="0.2">
      <c r="A855" s="5">
        <v>794</v>
      </c>
      <c r="B855" s="138">
        <f>'Expenditures 15-22'!E60</f>
        <v>27717</v>
      </c>
      <c r="D855" s="2" t="str">
        <f t="shared" si="12"/>
        <v>Error?</v>
      </c>
    </row>
    <row r="856" spans="1:4" x14ac:dyDescent="0.2">
      <c r="A856" s="5">
        <v>795</v>
      </c>
      <c r="B856" s="138">
        <f>'Expenditures 15-22'!E61</f>
        <v>58317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124971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493933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882473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205001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12456</v>
      </c>
      <c r="D891" s="2" t="str">
        <f t="shared" si="12"/>
        <v>Error?</v>
      </c>
    </row>
    <row r="892" spans="1:4" x14ac:dyDescent="0.2">
      <c r="A892" s="5">
        <v>831</v>
      </c>
      <c r="B892" s="138">
        <f>'Expenditures 15-22'!F14</f>
        <v>43891</v>
      </c>
      <c r="D892" s="2" t="str">
        <f t="shared" si="12"/>
        <v>Error?</v>
      </c>
    </row>
    <row r="893" spans="1:4" x14ac:dyDescent="0.2">
      <c r="A893" s="5">
        <v>832</v>
      </c>
      <c r="B893" s="138">
        <f>'Expenditures 15-22'!F15</f>
        <v>3</v>
      </c>
      <c r="D893" s="2" t="str">
        <f t="shared" si="12"/>
        <v>Error?</v>
      </c>
    </row>
    <row r="894" spans="1:4" x14ac:dyDescent="0.2">
      <c r="A894" s="5">
        <v>833</v>
      </c>
      <c r="B894" s="138">
        <f>'Expenditures 15-22'!F33</f>
        <v>353570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378</v>
      </c>
      <c r="D896" s="2" t="str">
        <f t="shared" si="13"/>
        <v>Error?</v>
      </c>
    </row>
    <row r="897" spans="1:4" x14ac:dyDescent="0.2">
      <c r="A897" s="5">
        <v>836</v>
      </c>
      <c r="B897" s="138">
        <f>'Expenditures 15-22'!F38</f>
        <v>953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1385</v>
      </c>
      <c r="C901" s="2" t="s">
        <v>573</v>
      </c>
      <c r="D901" s="2" t="str">
        <f t="shared" si="13"/>
        <v>Error?</v>
      </c>
    </row>
    <row r="902" spans="1:4" x14ac:dyDescent="0.2">
      <c r="A902" s="5">
        <v>841</v>
      </c>
      <c r="B902" s="138">
        <f>'Expenditures 15-22'!F44</f>
        <v>2213</v>
      </c>
      <c r="D902" s="2" t="str">
        <f t="shared" si="13"/>
        <v>Error?</v>
      </c>
    </row>
    <row r="903" spans="1:4" x14ac:dyDescent="0.2">
      <c r="A903" s="5">
        <v>842</v>
      </c>
      <c r="B903" s="138">
        <f>'Expenditures 15-22'!F45</f>
        <v>49936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52149</v>
      </c>
      <c r="C905" s="2" t="s">
        <v>573</v>
      </c>
      <c r="D905" s="2" t="str">
        <f t="shared" si="13"/>
        <v>Error?</v>
      </c>
    </row>
    <row r="906" spans="1:4" x14ac:dyDescent="0.2">
      <c r="A906" s="5">
        <v>845</v>
      </c>
      <c r="B906" s="138">
        <f>'Expenditures 15-22'!F49</f>
        <v>1216</v>
      </c>
      <c r="D906" s="2" t="str">
        <f t="shared" si="13"/>
        <v>Error?</v>
      </c>
    </row>
    <row r="907" spans="1:4" x14ac:dyDescent="0.2">
      <c r="A907" s="5">
        <v>846</v>
      </c>
      <c r="B907" s="138">
        <f>'Expenditures 15-22'!F50</f>
        <v>447</v>
      </c>
      <c r="D907" s="2" t="str">
        <f t="shared" si="13"/>
        <v>Error?</v>
      </c>
    </row>
    <row r="908" spans="1:4" x14ac:dyDescent="0.2">
      <c r="A908" s="5">
        <v>847</v>
      </c>
      <c r="B908" s="138">
        <f>'Expenditures 15-22'!F53</f>
        <v>1663</v>
      </c>
      <c r="C908" s="2" t="s">
        <v>573</v>
      </c>
      <c r="D908" s="2" t="str">
        <f t="shared" si="13"/>
        <v>Error?</v>
      </c>
    </row>
    <row r="909" spans="1:4" x14ac:dyDescent="0.2">
      <c r="A909" s="5">
        <v>848</v>
      </c>
      <c r="B909" s="138">
        <f>'Expenditures 15-22'!F55</f>
        <v>321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399118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400932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456450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810020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12423</v>
      </c>
      <c r="D949" s="2" t="str">
        <f t="shared" si="13"/>
        <v>Error?</v>
      </c>
    </row>
    <row r="950" spans="1:4" x14ac:dyDescent="0.2">
      <c r="A950" s="5">
        <v>889</v>
      </c>
      <c r="B950" s="138">
        <f>'Expenditures 15-22'!G14</f>
        <v>23335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56734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63822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63822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14441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14441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78263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134997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1605</v>
      </c>
      <c r="D1023" s="2" t="str">
        <f t="shared" ref="D1023:D1086" si="15">IF(ISBLANK(B1023),"OK",IF(A1023-B1023=0,"OK","Error?"))</f>
        <v>Error?</v>
      </c>
    </row>
    <row r="1024" spans="1:4" x14ac:dyDescent="0.2">
      <c r="A1024" s="5">
        <v>963</v>
      </c>
      <c r="B1024" s="138">
        <f>'Expenditures 15-22'!H53</f>
        <v>1605</v>
      </c>
      <c r="C1024" s="2" t="s">
        <v>573</v>
      </c>
      <c r="D1024" s="2" t="str">
        <f t="shared" si="15"/>
        <v>Error?</v>
      </c>
    </row>
    <row r="1025" spans="1:4" x14ac:dyDescent="0.2">
      <c r="A1025" s="5">
        <v>964</v>
      </c>
      <c r="B1025" s="138">
        <f>'Expenditures 15-22'!H55</f>
        <v>1664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193283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196552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4409286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305916</v>
      </c>
      <c r="C1105" s="2" t="s">
        <v>573</v>
      </c>
      <c r="D1105" s="2" t="str">
        <f t="shared" si="16"/>
        <v>Error?</v>
      </c>
    </row>
    <row r="1106" spans="1:4" x14ac:dyDescent="0.2">
      <c r="A1106" s="5">
        <v>1045</v>
      </c>
      <c r="B1106" s="138">
        <f>'Expenditures 15-22'!K14</f>
        <v>580512</v>
      </c>
      <c r="C1106" s="2" t="s">
        <v>573</v>
      </c>
      <c r="D1106" s="2" t="str">
        <f t="shared" si="16"/>
        <v>Error?</v>
      </c>
    </row>
    <row r="1107" spans="1:4" x14ac:dyDescent="0.2">
      <c r="A1107" s="5">
        <v>1046</v>
      </c>
      <c r="B1107" s="138">
        <f>'Expenditures 15-22'!K15</f>
        <v>15021</v>
      </c>
      <c r="C1107" s="2" t="s">
        <v>573</v>
      </c>
      <c r="D1107" s="2" t="str">
        <f t="shared" si="16"/>
        <v>Error?</v>
      </c>
    </row>
    <row r="1108" spans="1:4" x14ac:dyDescent="0.2">
      <c r="A1108" s="5">
        <v>1047</v>
      </c>
      <c r="B1108" s="138">
        <f>'Expenditures 15-22'!K33</f>
        <v>6955419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236064</v>
      </c>
      <c r="C1110" s="2" t="s">
        <v>573</v>
      </c>
      <c r="D1110" s="2" t="str">
        <f t="shared" si="16"/>
        <v>Error?</v>
      </c>
    </row>
    <row r="1111" spans="1:4" x14ac:dyDescent="0.2">
      <c r="A1111" s="5">
        <v>1050</v>
      </c>
      <c r="B1111" s="138">
        <f>'Expenditures 15-22'!K38</f>
        <v>93146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94449</v>
      </c>
      <c r="C1113" s="2" t="s">
        <v>573</v>
      </c>
      <c r="D1113" s="2" t="str">
        <f t="shared" si="16"/>
        <v>Error?</v>
      </c>
    </row>
    <row r="1114" spans="1:4" x14ac:dyDescent="0.2">
      <c r="A1114" s="5">
        <v>1053</v>
      </c>
      <c r="B1114" s="138">
        <f>'Expenditures 15-22'!K41</f>
        <v>4643</v>
      </c>
      <c r="C1114" s="2" t="s">
        <v>573</v>
      </c>
      <c r="D1114" s="2" t="str">
        <f t="shared" si="16"/>
        <v>Error?</v>
      </c>
    </row>
    <row r="1115" spans="1:4" x14ac:dyDescent="0.2">
      <c r="A1115" s="5">
        <v>1054</v>
      </c>
      <c r="B1115" s="138">
        <f>'Expenditures 15-22'!K42</f>
        <v>428302</v>
      </c>
      <c r="C1115" s="2" t="s">
        <v>573</v>
      </c>
      <c r="D1115" s="2" t="str">
        <f t="shared" si="16"/>
        <v>Error?</v>
      </c>
    </row>
    <row r="1116" spans="1:4" x14ac:dyDescent="0.2">
      <c r="A1116" s="5">
        <v>1055</v>
      </c>
      <c r="B1116" s="138">
        <f>'Expenditures 15-22'!K44</f>
        <v>57946</v>
      </c>
      <c r="C1116" s="2" t="s">
        <v>573</v>
      </c>
      <c r="D1116" s="2" t="str">
        <f t="shared" si="16"/>
        <v>Error?</v>
      </c>
    </row>
    <row r="1117" spans="1:4" x14ac:dyDescent="0.2">
      <c r="A1117" s="5">
        <v>1056</v>
      </c>
      <c r="B1117" s="138">
        <f>'Expenditures 15-22'!K45</f>
        <v>612000</v>
      </c>
      <c r="C1117" s="2" t="s">
        <v>573</v>
      </c>
      <c r="D1117" s="2" t="str">
        <f t="shared" si="16"/>
        <v>Error?</v>
      </c>
    </row>
    <row r="1118" spans="1:4" x14ac:dyDescent="0.2">
      <c r="A1118" s="5">
        <v>1057</v>
      </c>
      <c r="B1118" s="138">
        <f>'Expenditures 15-22'!K46</f>
        <v>26482</v>
      </c>
      <c r="C1118" s="2" t="s">
        <v>573</v>
      </c>
      <c r="D1118" s="2" t="str">
        <f t="shared" si="16"/>
        <v>Error?</v>
      </c>
    </row>
    <row r="1119" spans="1:4" x14ac:dyDescent="0.2">
      <c r="A1119" s="5">
        <v>1058</v>
      </c>
      <c r="B1119" s="138">
        <f>'Expenditures 15-22'!K47</f>
        <v>696428</v>
      </c>
      <c r="C1119" s="2" t="s">
        <v>573</v>
      </c>
      <c r="D1119" s="2" t="str">
        <f t="shared" si="16"/>
        <v>Error?</v>
      </c>
    </row>
    <row r="1120" spans="1:4" x14ac:dyDescent="0.2">
      <c r="A1120" s="5">
        <v>1059</v>
      </c>
      <c r="B1120" s="138">
        <f>'Expenditures 15-22'!K49</f>
        <v>132069</v>
      </c>
      <c r="C1120" s="2" t="s">
        <v>573</v>
      </c>
      <c r="D1120" s="2" t="str">
        <f t="shared" si="16"/>
        <v>Error?</v>
      </c>
    </row>
    <row r="1121" spans="1:4" x14ac:dyDescent="0.2">
      <c r="A1121" s="5">
        <v>1060</v>
      </c>
      <c r="B1121" s="138">
        <f>'Expenditures 15-22'!K50</f>
        <v>141843</v>
      </c>
      <c r="C1121" s="2" t="s">
        <v>573</v>
      </c>
      <c r="D1121" s="2" t="str">
        <f t="shared" si="16"/>
        <v>Error?</v>
      </c>
    </row>
    <row r="1122" spans="1:4" x14ac:dyDescent="0.2">
      <c r="A1122" s="5">
        <v>1061</v>
      </c>
      <c r="B1122" s="138">
        <f>'Expenditures 15-22'!K53</f>
        <v>273912</v>
      </c>
      <c r="C1122" s="2" t="s">
        <v>573</v>
      </c>
      <c r="D1122" s="2" t="str">
        <f t="shared" si="16"/>
        <v>Error?</v>
      </c>
    </row>
    <row r="1123" spans="1:4" x14ac:dyDescent="0.2">
      <c r="A1123" s="5">
        <v>1062</v>
      </c>
      <c r="B1123" s="138">
        <f>'Expenditures 15-22'!K55</f>
        <v>679352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679352</v>
      </c>
      <c r="C1125" s="2" t="s">
        <v>573</v>
      </c>
      <c r="D1125" s="2" t="str">
        <f t="shared" si="16"/>
        <v>Error?</v>
      </c>
    </row>
    <row r="1126" spans="1:4" x14ac:dyDescent="0.2">
      <c r="A1126" s="5">
        <v>1065</v>
      </c>
      <c r="B1126" s="138">
        <f>'Expenditures 15-22'!K59</f>
        <v>33999</v>
      </c>
      <c r="C1126" s="2" t="s">
        <v>573</v>
      </c>
      <c r="D1126" s="2" t="str">
        <f t="shared" si="16"/>
        <v>Error?</v>
      </c>
    </row>
    <row r="1127" spans="1:4" x14ac:dyDescent="0.2">
      <c r="A1127" s="5">
        <v>1066</v>
      </c>
      <c r="B1127" s="138">
        <f>'Expenditures 15-22'!K60</f>
        <v>100943</v>
      </c>
      <c r="C1127" s="2" t="s">
        <v>573</v>
      </c>
      <c r="D1127" s="2" t="str">
        <f t="shared" si="16"/>
        <v>Error?</v>
      </c>
    </row>
    <row r="1128" spans="1:4" x14ac:dyDescent="0.2">
      <c r="A1128" s="5">
        <v>1067</v>
      </c>
      <c r="B1128" s="138">
        <f>'Expenditures 15-22'!K61</f>
        <v>58317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602562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795821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5132</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5132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2878947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465183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10299549</v>
      </c>
      <c r="C1152" s="2" t="s">
        <v>573</v>
      </c>
      <c r="D1152" s="2" t="str">
        <f t="shared" si="17"/>
        <v>Error?</v>
      </c>
    </row>
    <row r="1153" spans="1:4" x14ac:dyDescent="0.2">
      <c r="A1153" s="5">
        <v>1092</v>
      </c>
      <c r="B1153" s="138">
        <f>'Expenditures 15-22'!K115</f>
        <v>220307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399172</v>
      </c>
      <c r="D1221" s="2" t="str">
        <f t="shared" si="18"/>
        <v>Error?</v>
      </c>
    </row>
    <row r="1222" spans="1:4" x14ac:dyDescent="0.2">
      <c r="A1222" s="10">
        <v>1161</v>
      </c>
      <c r="D1222" s="2" t="str">
        <f t="shared" si="18"/>
        <v>OK</v>
      </c>
    </row>
    <row r="1223" spans="1:4" x14ac:dyDescent="0.2">
      <c r="A1223" s="5">
        <v>1162</v>
      </c>
      <c r="B1223" s="138">
        <f>'Expenditures 15-22'!C127</f>
        <v>399172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399172</v>
      </c>
      <c r="C1225" s="2" t="s">
        <v>573</v>
      </c>
      <c r="D1225" s="2" t="str">
        <f t="shared" si="18"/>
        <v>Error?</v>
      </c>
    </row>
    <row r="1226" spans="1:4" x14ac:dyDescent="0.2">
      <c r="A1226" s="5">
        <v>1165</v>
      </c>
      <c r="B1226" s="138">
        <f>'Expenditures 15-22'!C151</f>
        <v>399172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77632</v>
      </c>
      <c r="D1229" s="2" t="str">
        <f t="shared" si="18"/>
        <v>Error?</v>
      </c>
    </row>
    <row r="1230" spans="1:4" x14ac:dyDescent="0.2">
      <c r="A1230" s="10">
        <v>1169</v>
      </c>
      <c r="D1230" s="2" t="str">
        <f t="shared" si="18"/>
        <v>OK</v>
      </c>
    </row>
    <row r="1231" spans="1:4" x14ac:dyDescent="0.2">
      <c r="A1231" s="5">
        <v>1170</v>
      </c>
      <c r="B1231" s="138">
        <f>'Expenditures 15-22'!D127</f>
        <v>77632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77632</v>
      </c>
      <c r="C1233" s="2" t="s">
        <v>573</v>
      </c>
      <c r="D1233" s="2" t="str">
        <f t="shared" si="18"/>
        <v>Error?</v>
      </c>
    </row>
    <row r="1234" spans="1:4" x14ac:dyDescent="0.2">
      <c r="A1234" s="5">
        <v>1173</v>
      </c>
      <c r="B1234" s="138">
        <f>'Expenditures 15-22'!D151</f>
        <v>77632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124123</v>
      </c>
      <c r="D1237" s="2" t="str">
        <f t="shared" si="18"/>
        <v>Error?</v>
      </c>
    </row>
    <row r="1238" spans="1:4" x14ac:dyDescent="0.2">
      <c r="A1238" s="10">
        <v>1177</v>
      </c>
      <c r="D1238" s="2" t="str">
        <f t="shared" si="18"/>
        <v>OK</v>
      </c>
    </row>
    <row r="1239" spans="1:4" x14ac:dyDescent="0.2">
      <c r="A1239" s="5">
        <v>1178</v>
      </c>
      <c r="B1239" s="138">
        <f>'Expenditures 15-22'!E127</f>
        <v>124123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124123</v>
      </c>
      <c r="C1241" s="2" t="s">
        <v>573</v>
      </c>
      <c r="D1241" s="2" t="str">
        <f t="shared" si="18"/>
        <v>Error?</v>
      </c>
    </row>
    <row r="1242" spans="1:4" x14ac:dyDescent="0.2">
      <c r="A1242" s="5">
        <v>1181</v>
      </c>
      <c r="B1242" s="138">
        <f>'Expenditures 15-22'!E151</f>
        <v>124123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380234</v>
      </c>
      <c r="D1245" s="2" t="str">
        <f t="shared" si="18"/>
        <v>Error?</v>
      </c>
    </row>
    <row r="1246" spans="1:4" x14ac:dyDescent="0.2">
      <c r="A1246" s="10">
        <v>1185</v>
      </c>
      <c r="D1246" s="2" t="str">
        <f t="shared" si="18"/>
        <v>OK</v>
      </c>
    </row>
    <row r="1247" spans="1:4" x14ac:dyDescent="0.2">
      <c r="A1247" s="5">
        <v>1186</v>
      </c>
      <c r="B1247" s="138">
        <f>'Expenditures 15-22'!F127</f>
        <v>380234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380234</v>
      </c>
      <c r="C1249" s="2" t="s">
        <v>573</v>
      </c>
      <c r="D1249" s="2" t="str">
        <f t="shared" si="18"/>
        <v>Error?</v>
      </c>
    </row>
    <row r="1250" spans="1:4" x14ac:dyDescent="0.2">
      <c r="A1250" s="5">
        <v>1189</v>
      </c>
      <c r="B1250" s="138">
        <f>'Expenditures 15-22'!F151</f>
        <v>380234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43075</v>
      </c>
      <c r="D1252" s="2" t="str">
        <f t="shared" si="18"/>
        <v>Error?</v>
      </c>
    </row>
    <row r="1253" spans="1:4" x14ac:dyDescent="0.2">
      <c r="A1253" s="5">
        <v>1192</v>
      </c>
      <c r="B1253" s="138">
        <f>'Expenditures 15-22'!G124</f>
        <v>297060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340135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340135</v>
      </c>
      <c r="C1258" s="2" t="s">
        <v>573</v>
      </c>
      <c r="D1258" s="2" t="str">
        <f t="shared" si="18"/>
        <v>Error?</v>
      </c>
    </row>
    <row r="1259" spans="1:4" x14ac:dyDescent="0.2">
      <c r="A1259" s="5">
        <v>1198</v>
      </c>
      <c r="B1259" s="138">
        <f>'Expenditures 15-22'!G151</f>
        <v>340135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43075</v>
      </c>
      <c r="C1275" s="2" t="s">
        <v>573</v>
      </c>
      <c r="D1275" s="2" t="str">
        <f t="shared" si="18"/>
        <v>Error?</v>
      </c>
    </row>
    <row r="1276" spans="1:4" x14ac:dyDescent="0.2">
      <c r="A1276" s="5">
        <v>1215</v>
      </c>
      <c r="B1276" s="138">
        <f>'Expenditures 15-22'!K124</f>
        <v>1278221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1321296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1321296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1321296</v>
      </c>
      <c r="C1288" s="2" t="s">
        <v>573</v>
      </c>
      <c r="D1288" s="2" t="str">
        <f t="shared" si="19"/>
        <v>Error?</v>
      </c>
    </row>
    <row r="1289" spans="1:4" x14ac:dyDescent="0.2">
      <c r="A1289" s="5">
        <v>1228</v>
      </c>
      <c r="B1289" s="138">
        <f>'Expenditures 15-22'!K152</f>
        <v>389915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98576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497400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595976</v>
      </c>
      <c r="C1317" s="2" t="s">
        <v>573</v>
      </c>
      <c r="D1317" s="2" t="str">
        <f t="shared" si="19"/>
        <v>Error?</v>
      </c>
    </row>
    <row r="1318" spans="1:4" x14ac:dyDescent="0.2">
      <c r="A1318" s="5">
        <v>1257</v>
      </c>
      <c r="B1318" s="138">
        <f>'Expenditures 15-22'!H174</f>
        <v>595976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98576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497400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595976</v>
      </c>
      <c r="C1331" s="2" t="s">
        <v>573</v>
      </c>
      <c r="D1331" s="2" t="str">
        <f t="shared" si="19"/>
        <v>Error?</v>
      </c>
    </row>
    <row r="1332" spans="1:4" x14ac:dyDescent="0.2">
      <c r="A1332" s="5">
        <v>1271</v>
      </c>
      <c r="B1332" s="138">
        <f>'Expenditures 15-22'!K174</f>
        <v>595976</v>
      </c>
      <c r="C1332" s="2" t="s">
        <v>573</v>
      </c>
      <c r="D1332" s="2" t="str">
        <f t="shared" si="19"/>
        <v>Error?</v>
      </c>
    </row>
    <row r="1333" spans="1:4" x14ac:dyDescent="0.2">
      <c r="A1333" s="5">
        <v>1272</v>
      </c>
      <c r="B1333" s="138">
        <f>'Expenditures 15-22'!K175</f>
        <v>14755</v>
      </c>
      <c r="C1333" s="2" t="s">
        <v>573</v>
      </c>
      <c r="D1333" s="2" t="str">
        <f t="shared" si="19"/>
        <v>Error?</v>
      </c>
    </row>
    <row r="1334" spans="1:4" x14ac:dyDescent="0.2">
      <c r="A1334" s="10">
        <v>1273</v>
      </c>
      <c r="D1334" s="2" t="str">
        <f t="shared" si="19"/>
        <v>OK</v>
      </c>
    </row>
    <row r="1335" spans="1:4" x14ac:dyDescent="0.2">
      <c r="A1335" s="5">
        <v>1274</v>
      </c>
      <c r="B1335" s="138">
        <f>'Expenditures 15-22'!C182</f>
        <v>246111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22500</v>
      </c>
      <c r="D1338" s="2" t="str">
        <f t="shared" si="19"/>
        <v>Error?</v>
      </c>
    </row>
    <row r="1339" spans="1:4" x14ac:dyDescent="0.2">
      <c r="A1339" s="5">
        <v>1278</v>
      </c>
      <c r="B1339" s="138">
        <f>'Expenditures 15-22'!C184</f>
        <v>268611</v>
      </c>
      <c r="C1339" s="2" t="s">
        <v>573</v>
      </c>
      <c r="D1339" s="2" t="str">
        <f t="shared" si="19"/>
        <v>Error?</v>
      </c>
    </row>
    <row r="1340" spans="1:4" x14ac:dyDescent="0.2">
      <c r="A1340" s="5">
        <v>1279</v>
      </c>
      <c r="B1340" s="138">
        <f>'Expenditures 15-22'!C210</f>
        <v>268611</v>
      </c>
      <c r="C1340" s="2" t="s">
        <v>573</v>
      </c>
      <c r="D1340" s="2" t="str">
        <f t="shared" si="19"/>
        <v>Error?</v>
      </c>
    </row>
    <row r="1341" spans="1:4" x14ac:dyDescent="0.2">
      <c r="A1341" s="5">
        <v>1280</v>
      </c>
      <c r="B1341" s="138">
        <f>'Expenditures 15-22'!D182</f>
        <v>36175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1430</v>
      </c>
      <c r="D1344" s="2" t="str">
        <f t="shared" si="20"/>
        <v>Error?</v>
      </c>
    </row>
    <row r="1345" spans="1:4" x14ac:dyDescent="0.2">
      <c r="A1345" s="5">
        <v>1284</v>
      </c>
      <c r="B1345" s="138">
        <f>'Expenditures 15-22'!D184</f>
        <v>37605</v>
      </c>
      <c r="C1345" s="2" t="s">
        <v>573</v>
      </c>
      <c r="D1345" s="2" t="str">
        <f t="shared" si="20"/>
        <v>Error?</v>
      </c>
    </row>
    <row r="1346" spans="1:4" x14ac:dyDescent="0.2">
      <c r="A1346" s="5">
        <v>1285</v>
      </c>
      <c r="B1346" s="138">
        <f>'Expenditures 15-22'!D210</f>
        <v>37605</v>
      </c>
      <c r="C1346" s="2" t="s">
        <v>573</v>
      </c>
      <c r="D1346" s="2" t="str">
        <f t="shared" si="20"/>
        <v>Error?</v>
      </c>
    </row>
    <row r="1347" spans="1:4" x14ac:dyDescent="0.2">
      <c r="A1347" s="5">
        <v>1286</v>
      </c>
      <c r="B1347" s="138">
        <f>'Expenditures 15-22'!E182</f>
        <v>511518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511518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511518</v>
      </c>
      <c r="C1353" s="2" t="s">
        <v>573</v>
      </c>
      <c r="D1353" s="2" t="str">
        <f t="shared" si="20"/>
        <v>Error?</v>
      </c>
    </row>
    <row r="1354" spans="1:4" x14ac:dyDescent="0.2">
      <c r="A1354" s="5">
        <v>1293</v>
      </c>
      <c r="B1354" s="138">
        <f>'Expenditures 15-22'!F182</f>
        <v>106884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106884</v>
      </c>
      <c r="C1358" s="2" t="s">
        <v>573</v>
      </c>
      <c r="D1358" s="2" t="str">
        <f t="shared" si="20"/>
        <v>Error?</v>
      </c>
    </row>
    <row r="1359" spans="1:4" x14ac:dyDescent="0.2">
      <c r="A1359" s="5">
        <v>1298</v>
      </c>
      <c r="B1359" s="138">
        <f>'Expenditures 15-22'!F210</f>
        <v>106884</v>
      </c>
      <c r="C1359" s="2" t="s">
        <v>573</v>
      </c>
      <c r="D1359" s="2" t="str">
        <f t="shared" si="20"/>
        <v>Error?</v>
      </c>
    </row>
    <row r="1360" spans="1:4" x14ac:dyDescent="0.2">
      <c r="A1360" s="5">
        <v>1299</v>
      </c>
      <c r="B1360" s="138">
        <f>'Expenditures 15-22'!G182</f>
        <v>30627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30627</v>
      </c>
      <c r="C1364" s="2" t="s">
        <v>573</v>
      </c>
      <c r="D1364" s="2" t="str">
        <f t="shared" si="20"/>
        <v>Error?</v>
      </c>
    </row>
    <row r="1365" spans="1:4" x14ac:dyDescent="0.2">
      <c r="A1365" s="5">
        <v>1304</v>
      </c>
      <c r="B1365" s="138">
        <f>'Expenditures 15-22'!G210</f>
        <v>30627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931315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23930</v>
      </c>
      <c r="C1380" s="2" t="s">
        <v>573</v>
      </c>
      <c r="D1380" s="2" t="str">
        <f t="shared" si="20"/>
        <v>Error?</v>
      </c>
    </row>
    <row r="1381" spans="1:4" x14ac:dyDescent="0.2">
      <c r="A1381" s="5">
        <v>1320</v>
      </c>
      <c r="B1381" s="138">
        <f>'Expenditures 15-22'!K184</f>
        <v>955245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955245</v>
      </c>
      <c r="C1388" s="2" t="s">
        <v>573</v>
      </c>
      <c r="D1388" s="2" t="str">
        <f t="shared" si="20"/>
        <v>Error?</v>
      </c>
    </row>
    <row r="1389" spans="1:4" x14ac:dyDescent="0.2">
      <c r="A1389" s="5">
        <v>1328</v>
      </c>
      <c r="B1389" s="138">
        <f>'Expenditures 15-22'!K211</f>
        <v>86439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3469</v>
      </c>
      <c r="D1407" s="2" t="str">
        <f t="shared" ref="D1407:D1470" si="21">IF(ISBLANK(B1407),"OK",IF(A1407-B1407=0,"OK","Error?"))</f>
        <v>Error?</v>
      </c>
    </row>
    <row r="1408" spans="1:4" x14ac:dyDescent="0.2">
      <c r="A1408" s="5">
        <v>1347</v>
      </c>
      <c r="B1408" s="138">
        <f>'Expenditures 15-22'!D223</f>
        <v>13165</v>
      </c>
      <c r="D1408" s="2" t="str">
        <f t="shared" si="21"/>
        <v>Error?</v>
      </c>
    </row>
    <row r="1409" spans="1:4" x14ac:dyDescent="0.2">
      <c r="A1409" s="5">
        <v>1348</v>
      </c>
      <c r="B1409" s="138">
        <f>'Expenditures 15-22'!D224</f>
        <v>755</v>
      </c>
      <c r="D1409" s="2" t="str">
        <f t="shared" si="21"/>
        <v>Error?</v>
      </c>
    </row>
    <row r="1410" spans="1:4" x14ac:dyDescent="0.2">
      <c r="A1410" s="5">
        <v>1349</v>
      </c>
      <c r="B1410" s="138">
        <f>'Expenditures 15-22'!D229</f>
        <v>173738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5500</v>
      </c>
      <c r="D1412" s="2" t="str">
        <f t="shared" si="21"/>
        <v>Error?</v>
      </c>
    </row>
    <row r="1413" spans="1:4" x14ac:dyDescent="0.2">
      <c r="A1413" s="5">
        <v>1352</v>
      </c>
      <c r="B1413" s="138">
        <f>'Expenditures 15-22'!D234</f>
        <v>7649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1146</v>
      </c>
      <c r="D1415" s="2" t="str">
        <f t="shared" si="21"/>
        <v>Error?</v>
      </c>
    </row>
    <row r="1416" spans="1:4" x14ac:dyDescent="0.2">
      <c r="A1416" s="5">
        <v>1355</v>
      </c>
      <c r="B1416" s="138">
        <f>'Expenditures 15-22'!D237</f>
        <v>79</v>
      </c>
      <c r="D1416" s="2" t="str">
        <f t="shared" si="21"/>
        <v>Error?</v>
      </c>
    </row>
    <row r="1417" spans="1:4" x14ac:dyDescent="0.2">
      <c r="A1417" s="5">
        <v>1356</v>
      </c>
      <c r="B1417" s="138">
        <f>'Expenditures 15-22'!D238</f>
        <v>14374</v>
      </c>
      <c r="C1417" s="2" t="s">
        <v>573</v>
      </c>
      <c r="D1417" s="2" t="str">
        <f t="shared" si="21"/>
        <v>Error?</v>
      </c>
    </row>
    <row r="1418" spans="1:4" x14ac:dyDescent="0.2">
      <c r="A1418" s="5">
        <v>1357</v>
      </c>
      <c r="B1418" s="138">
        <f>'Expenditures 15-22'!D240</f>
        <v>212</v>
      </c>
      <c r="D1418" s="2" t="str">
        <f t="shared" si="21"/>
        <v>Error?</v>
      </c>
    </row>
    <row r="1419" spans="1:4" x14ac:dyDescent="0.2">
      <c r="A1419" s="5">
        <v>1358</v>
      </c>
      <c r="B1419" s="138">
        <f>'Expenditures 15-22'!D241</f>
        <v>31583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31795</v>
      </c>
      <c r="C1421" s="2" t="s">
        <v>573</v>
      </c>
      <c r="D1421" s="2" t="str">
        <f t="shared" si="21"/>
        <v>Error?</v>
      </c>
    </row>
    <row r="1422" spans="1:4" x14ac:dyDescent="0.2">
      <c r="A1422" s="5">
        <v>1361</v>
      </c>
      <c r="B1422" s="138">
        <f>'Expenditures 15-22'!D245</f>
        <v>11649</v>
      </c>
      <c r="D1422" s="2" t="str">
        <f t="shared" si="21"/>
        <v>Error?</v>
      </c>
    </row>
    <row r="1423" spans="1:4" x14ac:dyDescent="0.2">
      <c r="A1423" s="5">
        <v>1362</v>
      </c>
      <c r="B1423" s="138">
        <f>'Expenditures 15-22'!D246</f>
        <v>1522</v>
      </c>
      <c r="D1423" s="2" t="str">
        <f t="shared" si="21"/>
        <v>Error?</v>
      </c>
    </row>
    <row r="1424" spans="1:4" x14ac:dyDescent="0.2">
      <c r="A1424" s="5">
        <v>1363</v>
      </c>
      <c r="B1424" s="138">
        <f>'Expenditures 15-22'!D257</f>
        <v>29306</v>
      </c>
      <c r="C1424" s="2" t="s">
        <v>573</v>
      </c>
      <c r="D1424" s="2" t="str">
        <f t="shared" si="21"/>
        <v>Error?</v>
      </c>
    </row>
    <row r="1425" spans="1:4" x14ac:dyDescent="0.2">
      <c r="A1425" s="5">
        <v>1364</v>
      </c>
      <c r="B1425" s="138">
        <f>'Expenditures 15-22'!D259</f>
        <v>33257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33257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10739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70619</v>
      </c>
      <c r="D1431" s="2" t="str">
        <f t="shared" si="21"/>
        <v>Error?</v>
      </c>
    </row>
    <row r="1432" spans="1:4" x14ac:dyDescent="0.2">
      <c r="A1432" s="5">
        <v>1371</v>
      </c>
      <c r="B1432" s="138">
        <f>'Expenditures 15-22'!D267</f>
        <v>43556</v>
      </c>
      <c r="D1432" s="2" t="str">
        <f t="shared" si="21"/>
        <v>Error?</v>
      </c>
    </row>
    <row r="1433" spans="1:4" x14ac:dyDescent="0.2">
      <c r="A1433" s="5">
        <v>1372</v>
      </c>
      <c r="B1433" s="138">
        <f>'Expenditures 15-22'!D268</f>
        <v>26914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151828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66</v>
      </c>
      <c r="C1444" s="2" t="s">
        <v>573</v>
      </c>
      <c r="D1444" s="2" t="str">
        <f t="shared" si="21"/>
        <v>Error?</v>
      </c>
    </row>
    <row r="1445" spans="1:4" x14ac:dyDescent="0.2">
      <c r="A1445" s="5">
        <v>1384</v>
      </c>
      <c r="B1445" s="138">
        <f>'Expenditures 15-22'!D278</f>
        <v>326</v>
      </c>
      <c r="D1445" s="2" t="str">
        <f t="shared" si="21"/>
        <v>Error?</v>
      </c>
    </row>
    <row r="1446" spans="1:4" x14ac:dyDescent="0.2">
      <c r="A1446" s="5">
        <v>1385</v>
      </c>
      <c r="B1446" s="138">
        <f>'Expenditures 15-22'!D279</f>
        <v>260952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434690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3469</v>
      </c>
      <c r="C1471" s="2" t="s">
        <v>573</v>
      </c>
      <c r="D1471" s="2" t="str">
        <f t="shared" ref="D1471:D1534" si="22">IF(ISBLANK(B1471),"OK",IF(A1471-B1471=0,"OK","Error?"))</f>
        <v>Error?</v>
      </c>
    </row>
    <row r="1472" spans="1:4" x14ac:dyDescent="0.2">
      <c r="A1472" s="5">
        <v>1411</v>
      </c>
      <c r="B1472" s="138">
        <f>'Expenditures 15-22'!K223</f>
        <v>13165</v>
      </c>
      <c r="C1472" s="2" t="s">
        <v>573</v>
      </c>
      <c r="D1472" s="2" t="str">
        <f t="shared" si="22"/>
        <v>Error?</v>
      </c>
    </row>
    <row r="1473" spans="1:4" x14ac:dyDescent="0.2">
      <c r="A1473" s="5">
        <v>1412</v>
      </c>
      <c r="B1473" s="138">
        <f>'Expenditures 15-22'!K224</f>
        <v>755</v>
      </c>
      <c r="C1473" s="2" t="s">
        <v>573</v>
      </c>
      <c r="D1473" s="2" t="str">
        <f t="shared" si="22"/>
        <v>Error?</v>
      </c>
    </row>
    <row r="1474" spans="1:4" x14ac:dyDescent="0.2">
      <c r="A1474" s="5">
        <v>1413</v>
      </c>
      <c r="B1474" s="138">
        <f>'Expenditures 15-22'!K229</f>
        <v>173738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5500</v>
      </c>
      <c r="C1476" s="2" t="s">
        <v>573</v>
      </c>
      <c r="D1476" s="2" t="str">
        <f t="shared" si="22"/>
        <v>Error?</v>
      </c>
    </row>
    <row r="1477" spans="1:4" x14ac:dyDescent="0.2">
      <c r="A1477" s="5">
        <v>1416</v>
      </c>
      <c r="B1477" s="138">
        <f>'Expenditures 15-22'!K234</f>
        <v>7649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1146</v>
      </c>
      <c r="C1479" s="2" t="s">
        <v>573</v>
      </c>
      <c r="D1479" s="2" t="str">
        <f t="shared" si="22"/>
        <v>Error?</v>
      </c>
    </row>
    <row r="1480" spans="1:4" x14ac:dyDescent="0.2">
      <c r="A1480" s="5">
        <v>1419</v>
      </c>
      <c r="B1480" s="138">
        <f>'Expenditures 15-22'!K237</f>
        <v>79</v>
      </c>
      <c r="C1480" s="2" t="s">
        <v>573</v>
      </c>
      <c r="D1480" s="2" t="str">
        <f t="shared" si="22"/>
        <v>Error?</v>
      </c>
    </row>
    <row r="1481" spans="1:4" x14ac:dyDescent="0.2">
      <c r="A1481" s="5">
        <v>1420</v>
      </c>
      <c r="B1481" s="138">
        <f>'Expenditures 15-22'!K238</f>
        <v>14374</v>
      </c>
      <c r="C1481" s="2" t="s">
        <v>573</v>
      </c>
      <c r="D1481" s="2" t="str">
        <f t="shared" si="22"/>
        <v>Error?</v>
      </c>
    </row>
    <row r="1482" spans="1:4" x14ac:dyDescent="0.2">
      <c r="A1482" s="5">
        <v>1421</v>
      </c>
      <c r="B1482" s="138">
        <f>'Expenditures 15-22'!K240</f>
        <v>212</v>
      </c>
      <c r="C1482" s="2" t="s">
        <v>573</v>
      </c>
      <c r="D1482" s="2" t="str">
        <f t="shared" si="22"/>
        <v>Error?</v>
      </c>
    </row>
    <row r="1483" spans="1:4" x14ac:dyDescent="0.2">
      <c r="A1483" s="5">
        <v>1422</v>
      </c>
      <c r="B1483" s="138">
        <f>'Expenditures 15-22'!K241</f>
        <v>31583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31795</v>
      </c>
      <c r="C1485" s="2" t="s">
        <v>573</v>
      </c>
      <c r="D1485" s="2" t="str">
        <f t="shared" si="22"/>
        <v>Error?</v>
      </c>
    </row>
    <row r="1486" spans="1:4" x14ac:dyDescent="0.2">
      <c r="A1486" s="5">
        <v>1425</v>
      </c>
      <c r="B1486" s="138">
        <f>'Expenditures 15-22'!K245</f>
        <v>11649</v>
      </c>
      <c r="C1486" s="2" t="s">
        <v>573</v>
      </c>
      <c r="D1486" s="2" t="str">
        <f t="shared" si="22"/>
        <v>Error?</v>
      </c>
    </row>
    <row r="1487" spans="1:4" x14ac:dyDescent="0.2">
      <c r="A1487" s="5">
        <v>1426</v>
      </c>
      <c r="B1487" s="138">
        <f>'Expenditures 15-22'!K246</f>
        <v>1522</v>
      </c>
      <c r="C1487" s="2" t="s">
        <v>573</v>
      </c>
      <c r="D1487" s="2" t="str">
        <f t="shared" si="22"/>
        <v>Error?</v>
      </c>
    </row>
    <row r="1488" spans="1:4" x14ac:dyDescent="0.2">
      <c r="A1488" s="5">
        <v>1427</v>
      </c>
      <c r="B1488" s="138">
        <f>'Expenditures 15-22'!K257</f>
        <v>29306</v>
      </c>
      <c r="C1488" s="2" t="s">
        <v>573</v>
      </c>
      <c r="D1488" s="2" t="str">
        <f t="shared" si="22"/>
        <v>Error?</v>
      </c>
    </row>
    <row r="1489" spans="1:4" x14ac:dyDescent="0.2">
      <c r="A1489" s="5">
        <v>1428</v>
      </c>
      <c r="B1489" s="138">
        <f>'Expenditures 15-22'!K259</f>
        <v>33257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33257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10739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70619</v>
      </c>
      <c r="C1495" s="2" t="s">
        <v>573</v>
      </c>
      <c r="D1495" s="2" t="str">
        <f t="shared" si="22"/>
        <v>Error?</v>
      </c>
    </row>
    <row r="1496" spans="1:4" x14ac:dyDescent="0.2">
      <c r="A1496" s="5">
        <v>1435</v>
      </c>
      <c r="B1496" s="138">
        <f>'Expenditures 15-22'!K267</f>
        <v>43556</v>
      </c>
      <c r="C1496" s="2" t="s">
        <v>573</v>
      </c>
      <c r="D1496" s="2" t="str">
        <f t="shared" si="22"/>
        <v>Error?</v>
      </c>
    </row>
    <row r="1497" spans="1:4" x14ac:dyDescent="0.2">
      <c r="A1497" s="5">
        <v>1436</v>
      </c>
      <c r="B1497" s="138">
        <f>'Expenditures 15-22'!K268</f>
        <v>26914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151828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66</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66</v>
      </c>
      <c r="C1508" s="2" t="s">
        <v>573</v>
      </c>
      <c r="D1508" s="2" t="str">
        <f t="shared" si="22"/>
        <v>Error?</v>
      </c>
    </row>
    <row r="1509" spans="1:4" x14ac:dyDescent="0.2">
      <c r="A1509" s="5">
        <v>1448</v>
      </c>
      <c r="B1509" s="138">
        <f>'Expenditures 15-22'!K278</f>
        <v>326</v>
      </c>
      <c r="C1509" s="2" t="s">
        <v>573</v>
      </c>
      <c r="D1509" s="2" t="str">
        <f t="shared" si="22"/>
        <v>Error?</v>
      </c>
    </row>
    <row r="1510" spans="1:4" x14ac:dyDescent="0.2">
      <c r="A1510" s="5">
        <v>1449</v>
      </c>
      <c r="B1510" s="138">
        <f>'Expenditures 15-22'!K279</f>
        <v>260952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434690</v>
      </c>
      <c r="C1517" s="2" t="s">
        <v>573</v>
      </c>
      <c r="D1517" s="2" t="str">
        <f t="shared" si="22"/>
        <v>Error?</v>
      </c>
    </row>
    <row r="1518" spans="1:4" x14ac:dyDescent="0.2">
      <c r="A1518" s="5">
        <v>1457</v>
      </c>
      <c r="B1518" s="138">
        <f>'Expenditures 15-22'!K296</f>
        <v>93410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160890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1631519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1851826</v>
      </c>
      <c r="C1630" s="2" t="s">
        <v>573</v>
      </c>
      <c r="D1630" s="2" t="str">
        <f t="shared" si="24"/>
        <v>Error?</v>
      </c>
    </row>
    <row r="1631" spans="1:4" x14ac:dyDescent="0.2">
      <c r="A1631" s="5">
        <v>1570</v>
      </c>
      <c r="B1631" s="138">
        <f>'Acct Summary 7-8'!D79</f>
        <v>1633238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2024268</v>
      </c>
      <c r="C1644" s="2" t="s">
        <v>573</v>
      </c>
      <c r="D1644" s="2" t="str">
        <f t="shared" si="24"/>
        <v>Error?</v>
      </c>
    </row>
    <row r="1645" spans="1:4" x14ac:dyDescent="0.2">
      <c r="A1645" s="5">
        <v>1584</v>
      </c>
      <c r="B1645" s="138">
        <f>'Acct Summary 7-8'!E79</f>
        <v>232133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246888</v>
      </c>
      <c r="C1658" s="2" t="s">
        <v>573</v>
      </c>
      <c r="D1658" s="2" t="str">
        <f t="shared" si="24"/>
        <v>Error?</v>
      </c>
    </row>
    <row r="1659" spans="1:4" x14ac:dyDescent="0.2">
      <c r="A1659" s="5">
        <v>1598</v>
      </c>
      <c r="B1659" s="138">
        <f>'Acct Summary 7-8'!F79</f>
        <v>599508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685947</v>
      </c>
      <c r="C1672" s="2" t="s">
        <v>573</v>
      </c>
      <c r="D1672" s="2" t="str">
        <f t="shared" si="25"/>
        <v>Error?</v>
      </c>
    </row>
    <row r="1673" spans="1:4" x14ac:dyDescent="0.2">
      <c r="A1673" s="5">
        <v>1612</v>
      </c>
      <c r="B1673" s="138">
        <f>'Acct Summary 7-8'!G79</f>
        <v>457834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551244</v>
      </c>
      <c r="C1686" s="2" t="s">
        <v>573</v>
      </c>
      <c r="D1686" s="2" t="str">
        <f t="shared" si="25"/>
        <v>Error?</v>
      </c>
    </row>
    <row r="1687" spans="1:4" x14ac:dyDescent="0.2">
      <c r="A1687" s="5">
        <v>1626</v>
      </c>
      <c r="B1687" s="138">
        <f>'Acct Summary 7-8'!H79</f>
        <v>217789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378679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4018132</v>
      </c>
      <c r="C1744" s="2" t="s">
        <v>573</v>
      </c>
      <c r="D1744" s="2" t="str">
        <f t="shared" si="26"/>
        <v>Error?</v>
      </c>
    </row>
    <row r="1745" spans="1:5" x14ac:dyDescent="0.2">
      <c r="A1745" s="5">
        <v>1684</v>
      </c>
      <c r="B1745" s="138">
        <f>'Tax Sched 23'!B5</f>
        <v>1041818</v>
      </c>
      <c r="C1745" s="2" t="s">
        <v>573</v>
      </c>
      <c r="D1745" s="2" t="str">
        <f t="shared" si="26"/>
        <v>Error?</v>
      </c>
    </row>
    <row r="1746" spans="1:5" x14ac:dyDescent="0.2">
      <c r="A1746" s="5">
        <v>1685</v>
      </c>
      <c r="B1746" s="138">
        <f>'Tax Sched 23'!B6</f>
        <v>398825</v>
      </c>
      <c r="C1746" s="2" t="s">
        <v>573</v>
      </c>
      <c r="D1746" s="2" t="str">
        <f t="shared" si="26"/>
        <v>Error?</v>
      </c>
    </row>
    <row r="1747" spans="1:5" x14ac:dyDescent="0.2">
      <c r="A1747" s="5">
        <v>1686</v>
      </c>
      <c r="B1747" s="138">
        <f>'Tax Sched 23'!B7</f>
        <v>297748</v>
      </c>
      <c r="C1747" s="2" t="s">
        <v>573</v>
      </c>
      <c r="D1747" s="2" t="str">
        <f t="shared" si="26"/>
        <v>Error?</v>
      </c>
    </row>
    <row r="1748" spans="1:5" x14ac:dyDescent="0.2">
      <c r="A1748" s="5">
        <v>1687</v>
      </c>
      <c r="B1748" s="138">
        <f>'Tax Sched 23'!B8</f>
        <v>222929</v>
      </c>
      <c r="C1748" s="2" t="s">
        <v>573</v>
      </c>
      <c r="D1748" s="2" t="str">
        <f t="shared" si="26"/>
        <v>Error?</v>
      </c>
    </row>
    <row r="1749" spans="1:5" x14ac:dyDescent="0.2">
      <c r="A1749" s="5">
        <v>1688</v>
      </c>
      <c r="B1749" s="138">
        <f>'Tax Sched 23'!B10</f>
        <v>74437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535743</v>
      </c>
      <c r="C1752" s="2" t="s">
        <v>573</v>
      </c>
      <c r="D1752" s="2" t="str">
        <f t="shared" si="26"/>
        <v>Error?</v>
      </c>
    </row>
    <row r="1753" spans="1:5" x14ac:dyDescent="0.2">
      <c r="A1753" s="5">
        <v>1692</v>
      </c>
      <c r="B1753" s="138">
        <f>'Tax Sched 23'!B12</f>
        <v>74437</v>
      </c>
      <c r="C1753" s="2" t="s">
        <v>573</v>
      </c>
      <c r="D1753" s="2" t="str">
        <f t="shared" si="26"/>
        <v>Error?</v>
      </c>
    </row>
    <row r="1754" spans="1:5" x14ac:dyDescent="0.2">
      <c r="A1754" s="5">
        <v>1693</v>
      </c>
      <c r="B1754" s="138">
        <f>'Tax Sched 23'!B14</f>
        <v>59581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7066561</v>
      </c>
      <c r="C1759" s="2" t="s">
        <v>573</v>
      </c>
      <c r="D1759" s="2" t="str">
        <f t="shared" si="26"/>
        <v>Error?</v>
      </c>
    </row>
    <row r="1760" spans="1:5" x14ac:dyDescent="0.2">
      <c r="A1760" s="5">
        <v>1699</v>
      </c>
      <c r="B1760" s="138">
        <f>'Tax Sched 23'!D4</f>
        <v>3981392</v>
      </c>
      <c r="C1760" s="2" t="s">
        <v>573</v>
      </c>
      <c r="D1760" s="2" t="str">
        <f t="shared" si="26"/>
        <v>Error?</v>
      </c>
    </row>
    <row r="1761" spans="1:5" x14ac:dyDescent="0.2">
      <c r="A1761" s="5">
        <v>1700</v>
      </c>
      <c r="B1761" s="138">
        <f>'Tax Sched 23'!D5</f>
        <v>1032293</v>
      </c>
      <c r="C1761" s="2" t="s">
        <v>573</v>
      </c>
      <c r="D1761" s="2" t="str">
        <f t="shared" si="26"/>
        <v>Error?</v>
      </c>
    </row>
    <row r="1762" spans="1:5" s="8" customFormat="1" x14ac:dyDescent="0.2">
      <c r="A1762" s="5">
        <v>1701</v>
      </c>
      <c r="B1762" s="138">
        <f>'Tax Sched 23'!D6</f>
        <v>395019</v>
      </c>
      <c r="C1762" s="2" t="s">
        <v>573</v>
      </c>
      <c r="D1762" s="2" t="str">
        <f t="shared" si="26"/>
        <v>Error?</v>
      </c>
      <c r="E1762" s="9"/>
    </row>
    <row r="1763" spans="1:5" x14ac:dyDescent="0.2">
      <c r="A1763" s="5">
        <v>1702</v>
      </c>
      <c r="B1763" s="138">
        <f>'Tax Sched 23'!D7</f>
        <v>295026</v>
      </c>
      <c r="C1763" s="2" t="s">
        <v>573</v>
      </c>
      <c r="D1763" s="2" t="str">
        <f t="shared" si="26"/>
        <v>Error?</v>
      </c>
    </row>
    <row r="1764" spans="1:5" x14ac:dyDescent="0.2">
      <c r="A1764" s="5">
        <v>1703</v>
      </c>
      <c r="B1764" s="138">
        <f>'Tax Sched 23'!D8</f>
        <v>221276</v>
      </c>
      <c r="C1764" s="2" t="s">
        <v>573</v>
      </c>
      <c r="D1764" s="2" t="str">
        <f t="shared" si="26"/>
        <v>Error?</v>
      </c>
    </row>
    <row r="1765" spans="1:5" x14ac:dyDescent="0.2">
      <c r="A1765" s="5">
        <v>1704</v>
      </c>
      <c r="B1765" s="138">
        <f>'Tax Sched 23'!D10</f>
        <v>73757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530880</v>
      </c>
      <c r="C1768" s="2" t="s">
        <v>573</v>
      </c>
      <c r="D1768" s="2" t="str">
        <f t="shared" si="26"/>
        <v>Error?</v>
      </c>
    </row>
    <row r="1769" spans="1:5" x14ac:dyDescent="0.2">
      <c r="A1769" s="5">
        <v>1708</v>
      </c>
      <c r="B1769" s="138">
        <f>'Tax Sched 23'!D12</f>
        <v>73757</v>
      </c>
      <c r="C1769" s="2" t="s">
        <v>573</v>
      </c>
      <c r="D1769" s="2" t="str">
        <f t="shared" si="26"/>
        <v>Error?</v>
      </c>
    </row>
    <row r="1770" spans="1:5" x14ac:dyDescent="0.2">
      <c r="A1770" s="5">
        <v>1709</v>
      </c>
      <c r="B1770" s="138">
        <f>'Tax Sched 23'!D14</f>
        <v>59035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7001620</v>
      </c>
      <c r="C1775" s="2" t="s">
        <v>573</v>
      </c>
      <c r="D1775" s="2" t="str">
        <f t="shared" si="26"/>
        <v>Error?</v>
      </c>
    </row>
    <row r="1776" spans="1:5" x14ac:dyDescent="0.2">
      <c r="A1776" s="5">
        <v>1715</v>
      </c>
      <c r="B1776" s="138">
        <f>'Tax Sched 23'!C4</f>
        <v>36740</v>
      </c>
      <c r="D1776" s="2" t="str">
        <f t="shared" si="26"/>
        <v>Error?</v>
      </c>
    </row>
    <row r="1777" spans="1:4" x14ac:dyDescent="0.2">
      <c r="A1777" s="5">
        <v>1716</v>
      </c>
      <c r="B1777" s="138">
        <f>'Tax Sched 23'!C5</f>
        <v>9525</v>
      </c>
      <c r="D1777" s="2" t="str">
        <f t="shared" si="26"/>
        <v>Error?</v>
      </c>
    </row>
    <row r="1778" spans="1:4" x14ac:dyDescent="0.2">
      <c r="A1778" s="5">
        <v>1717</v>
      </c>
      <c r="B1778" s="138">
        <f>'Tax Sched 23'!C6</f>
        <v>3806</v>
      </c>
      <c r="D1778" s="2" t="str">
        <f t="shared" si="26"/>
        <v>Error?</v>
      </c>
    </row>
    <row r="1779" spans="1:4" x14ac:dyDescent="0.2">
      <c r="A1779" s="5">
        <v>1718</v>
      </c>
      <c r="B1779" s="138">
        <f>'Tax Sched 23'!C7</f>
        <v>2722</v>
      </c>
      <c r="D1779" s="2" t="str">
        <f t="shared" si="26"/>
        <v>Error?</v>
      </c>
    </row>
    <row r="1780" spans="1:4" x14ac:dyDescent="0.2">
      <c r="A1780" s="5">
        <v>1719</v>
      </c>
      <c r="B1780" s="138">
        <f>'Tax Sched 23'!C8</f>
        <v>1653</v>
      </c>
      <c r="D1780" s="2" t="str">
        <f t="shared" si="26"/>
        <v>Error?</v>
      </c>
    </row>
    <row r="1781" spans="1:4" x14ac:dyDescent="0.2">
      <c r="A1781" s="5">
        <v>1720</v>
      </c>
      <c r="B1781" s="138">
        <f>'Tax Sched 23'!C10</f>
        <v>680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4863</v>
      </c>
      <c r="D1784" s="2" t="str">
        <f t="shared" si="26"/>
        <v>Error?</v>
      </c>
    </row>
    <row r="1785" spans="1:4" x14ac:dyDescent="0.2">
      <c r="A1785" s="5">
        <v>1724</v>
      </c>
      <c r="B1785" s="138">
        <f>'Tax Sched 23'!C12</f>
        <v>680</v>
      </c>
      <c r="D1785" s="2" t="str">
        <f t="shared" si="26"/>
        <v>Error?</v>
      </c>
    </row>
    <row r="1786" spans="1:4" x14ac:dyDescent="0.2">
      <c r="A1786" s="5">
        <v>1725</v>
      </c>
      <c r="B1786" s="138">
        <f>'Tax Sched 23'!C14</f>
        <v>546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64941</v>
      </c>
      <c r="C1791" s="2" t="s">
        <v>573</v>
      </c>
      <c r="D1791" s="2" t="str">
        <f t="shared" ref="D1791:D1854" si="27">IF(ISBLANK(B1791),"OK",IF(A1791-B1791=0,"OK","Error?"))</f>
        <v>Error?</v>
      </c>
    </row>
    <row r="1792" spans="1:4" x14ac:dyDescent="0.2">
      <c r="A1792" s="5">
        <v>1731</v>
      </c>
      <c r="B1792" s="138">
        <f>'Tax Sched 23'!F4</f>
        <v>4184025</v>
      </c>
      <c r="C1792" s="2" t="s">
        <v>573</v>
      </c>
      <c r="D1792" s="2" t="str">
        <f t="shared" si="27"/>
        <v>Error?</v>
      </c>
    </row>
    <row r="1793" spans="1:4" x14ac:dyDescent="0.2">
      <c r="A1793" s="5">
        <v>1732</v>
      </c>
      <c r="B1793" s="138">
        <f>'Tax Sched 23'!F5</f>
        <v>1084792</v>
      </c>
      <c r="C1793" s="2" t="s">
        <v>573</v>
      </c>
      <c r="D1793" s="2" t="str">
        <f t="shared" si="27"/>
        <v>Error?</v>
      </c>
    </row>
    <row r="1794" spans="1:4" x14ac:dyDescent="0.2">
      <c r="A1794" s="5">
        <v>1733</v>
      </c>
      <c r="B1794" s="138">
        <f>'Tax Sched 23'!F6</f>
        <v>433449</v>
      </c>
      <c r="C1794" s="2" t="s">
        <v>573</v>
      </c>
      <c r="D1794" s="2" t="str">
        <f t="shared" si="27"/>
        <v>Error?</v>
      </c>
    </row>
    <row r="1795" spans="1:4" x14ac:dyDescent="0.2">
      <c r="A1795" s="5">
        <v>1734</v>
      </c>
      <c r="B1795" s="138">
        <f>'Tax Sched 23'!F7</f>
        <v>309983</v>
      </c>
      <c r="C1795" s="2" t="s">
        <v>573</v>
      </c>
      <c r="D1795" s="2" t="str">
        <f t="shared" si="27"/>
        <v>Error?</v>
      </c>
    </row>
    <row r="1796" spans="1:4" x14ac:dyDescent="0.2">
      <c r="A1796" s="5">
        <v>1735</v>
      </c>
      <c r="B1796" s="138">
        <f>'Tax Sched 23'!F8</f>
        <v>188260</v>
      </c>
      <c r="C1796" s="2" t="s">
        <v>573</v>
      </c>
      <c r="D1796" s="2" t="str">
        <f t="shared" si="27"/>
        <v>Error?</v>
      </c>
    </row>
    <row r="1797" spans="1:4" x14ac:dyDescent="0.2">
      <c r="A1797" s="5">
        <v>1736</v>
      </c>
      <c r="B1797" s="138">
        <f>'Tax Sched 23'!F10</f>
        <v>77492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553775</v>
      </c>
      <c r="C1800" s="2" t="s">
        <v>573</v>
      </c>
      <c r="D1800" s="2" t="str">
        <f t="shared" si="27"/>
        <v>Error?</v>
      </c>
    </row>
    <row r="1801" spans="1:4" x14ac:dyDescent="0.2">
      <c r="A1801" s="5">
        <v>1740</v>
      </c>
      <c r="B1801" s="138">
        <f>'Tax Sched 23'!F12</f>
        <v>77492</v>
      </c>
      <c r="C1801" s="2" t="s">
        <v>573</v>
      </c>
      <c r="D1801" s="2" t="str">
        <f t="shared" si="27"/>
        <v>Error?</v>
      </c>
    </row>
    <row r="1802" spans="1:4" x14ac:dyDescent="0.2">
      <c r="A1802" s="5">
        <v>1741</v>
      </c>
      <c r="B1802" s="138">
        <f>'Tax Sched 23'!F14</f>
        <v>62125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7395738</v>
      </c>
      <c r="C1807" s="2" t="s">
        <v>573</v>
      </c>
      <c r="D1807" s="2" t="str">
        <f t="shared" si="27"/>
        <v>Error?</v>
      </c>
    </row>
    <row r="1808" spans="1:4" x14ac:dyDescent="0.2">
      <c r="A1808" s="5">
        <v>1747</v>
      </c>
      <c r="B1808" s="138">
        <f>'Tax Sched 23'!E4</f>
        <v>4220765</v>
      </c>
      <c r="D1808" s="2" t="str">
        <f t="shared" si="27"/>
        <v>Error?</v>
      </c>
    </row>
    <row r="1809" spans="1:4" x14ac:dyDescent="0.2">
      <c r="A1809" s="5">
        <v>1748</v>
      </c>
      <c r="B1809" s="138">
        <f>'Tax Sched 23'!E5</f>
        <v>1094317</v>
      </c>
      <c r="D1809" s="2" t="str">
        <f t="shared" si="27"/>
        <v>Error?</v>
      </c>
    </row>
    <row r="1810" spans="1:4" x14ac:dyDescent="0.2">
      <c r="A1810" s="5">
        <v>1749</v>
      </c>
      <c r="B1810" s="138">
        <f>'Tax Sched 23'!E6</f>
        <v>437255</v>
      </c>
      <c r="D1810" s="2" t="str">
        <f t="shared" si="27"/>
        <v>Error?</v>
      </c>
    </row>
    <row r="1811" spans="1:4" x14ac:dyDescent="0.2">
      <c r="A1811" s="5">
        <v>1750</v>
      </c>
      <c r="B1811" s="138">
        <f>'Tax Sched 23'!E7</f>
        <v>312705</v>
      </c>
      <c r="D1811" s="2" t="str">
        <f t="shared" si="27"/>
        <v>Error?</v>
      </c>
    </row>
    <row r="1812" spans="1:4" x14ac:dyDescent="0.2">
      <c r="A1812" s="5">
        <v>1751</v>
      </c>
      <c r="B1812" s="138">
        <f>'Tax Sched 23'!E8</f>
        <v>189913</v>
      </c>
      <c r="D1812" s="2" t="str">
        <f t="shared" si="27"/>
        <v>Error?</v>
      </c>
    </row>
    <row r="1813" spans="1:4" x14ac:dyDescent="0.2">
      <c r="A1813" s="5">
        <v>1752</v>
      </c>
      <c r="B1813" s="138">
        <f>'Tax Sched 23'!E10</f>
        <v>78172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558638</v>
      </c>
      <c r="D1816" s="2" t="str">
        <f t="shared" si="27"/>
        <v>Error?</v>
      </c>
    </row>
    <row r="1817" spans="1:4" x14ac:dyDescent="0.2">
      <c r="A1817" s="5">
        <v>1756</v>
      </c>
      <c r="B1817" s="138">
        <f>'Tax Sched 23'!E12</f>
        <v>78172</v>
      </c>
      <c r="D1817" s="2" t="str">
        <f t="shared" si="27"/>
        <v>Error?</v>
      </c>
    </row>
    <row r="1818" spans="1:4" x14ac:dyDescent="0.2">
      <c r="A1818" s="5">
        <v>1757</v>
      </c>
      <c r="B1818" s="138">
        <f>'Tax Sched 23'!E14</f>
        <v>62671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7460679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5114184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59581</v>
      </c>
      <c r="D1972" s="2" t="str">
        <f t="shared" si="29"/>
        <v>Error?</v>
      </c>
    </row>
    <row r="1973" spans="1:5" x14ac:dyDescent="0.2">
      <c r="A1973" s="5">
        <v>1912</v>
      </c>
      <c r="B1973" s="138">
        <f>'Rest Tax Levies-Tort Im 25'!H6</f>
        <v>19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59600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59600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235697</v>
      </c>
      <c r="D2008" s="2" t="str">
        <f t="shared" si="30"/>
        <v>Error?</v>
      </c>
    </row>
    <row r="2009" spans="1:4" x14ac:dyDescent="0.2">
      <c r="A2009" s="5">
        <v>1948</v>
      </c>
      <c r="B2009" s="138">
        <f>'Cap Outlay Deprec 26'!C8</f>
        <v>14970605</v>
      </c>
      <c r="D2009" s="2" t="str">
        <f t="shared" si="30"/>
        <v>Error?</v>
      </c>
    </row>
    <row r="2010" spans="1:4" x14ac:dyDescent="0.2">
      <c r="A2010" s="5">
        <v>1949</v>
      </c>
      <c r="B2010" s="138">
        <f>'Cap Outlay Deprec 26'!C10</f>
        <v>6225494</v>
      </c>
      <c r="D2010" s="2" t="str">
        <f t="shared" si="30"/>
        <v>Error?</v>
      </c>
    </row>
    <row r="2011" spans="1:4" x14ac:dyDescent="0.2">
      <c r="A2011" s="5">
        <v>1950</v>
      </c>
      <c r="B2011" s="138">
        <f>'Cap Outlay Deprec 26'!C12</f>
        <v>1156662</v>
      </c>
      <c r="D2011" s="2" t="str">
        <f t="shared" si="30"/>
        <v>Error?</v>
      </c>
    </row>
    <row r="2012" spans="1:4" x14ac:dyDescent="0.2">
      <c r="A2012" s="5">
        <v>1951</v>
      </c>
      <c r="B2012" s="138">
        <f>'Cap Outlay Deprec 26'!C13</f>
        <v>766096</v>
      </c>
      <c r="D2012" s="2" t="str">
        <f t="shared" si="30"/>
        <v>Error?</v>
      </c>
    </row>
    <row r="2013" spans="1:4" x14ac:dyDescent="0.2">
      <c r="A2013" s="5">
        <v>1952</v>
      </c>
      <c r="B2013" s="138">
        <f>'Cap Outlay Deprec 26'!C16</f>
        <v>23425234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1370432</v>
      </c>
      <c r="D2015" s="2" t="str">
        <f t="shared" si="30"/>
        <v>Error?</v>
      </c>
    </row>
    <row r="2016" spans="1:4" x14ac:dyDescent="0.2">
      <c r="A2016" s="5">
        <v>1955</v>
      </c>
      <c r="B2016" s="138">
        <f>'Cap Outlay Deprec 26'!D10</f>
        <v>69498</v>
      </c>
      <c r="D2016" s="2" t="str">
        <f t="shared" si="30"/>
        <v>Error?</v>
      </c>
    </row>
    <row r="2017" spans="1:4" x14ac:dyDescent="0.2">
      <c r="A2017" s="5">
        <v>1956</v>
      </c>
      <c r="B2017" s="138">
        <f>'Cap Outlay Deprec 26'!D12</f>
        <v>412257</v>
      </c>
      <c r="D2017" s="2" t="str">
        <f t="shared" si="30"/>
        <v>Error?</v>
      </c>
    </row>
    <row r="2018" spans="1:4" x14ac:dyDescent="0.2">
      <c r="A2018" s="5">
        <v>1957</v>
      </c>
      <c r="B2018" s="138">
        <f>'Cap Outlay Deprec 26'!D13</f>
        <v>30078</v>
      </c>
      <c r="D2018" s="2" t="str">
        <f t="shared" si="30"/>
        <v>Error?</v>
      </c>
    </row>
    <row r="2019" spans="1:4" x14ac:dyDescent="0.2">
      <c r="A2019" s="5">
        <v>1958</v>
      </c>
      <c r="B2019" s="138">
        <f>'Cap Outlay Deprec 26'!D16</f>
        <v>1918882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85389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151459</v>
      </c>
      <c r="C2025" s="2" t="s">
        <v>573</v>
      </c>
      <c r="D2025" s="2" t="str">
        <f t="shared" si="30"/>
        <v>Error?</v>
      </c>
    </row>
    <row r="2026" spans="1:4" x14ac:dyDescent="0.2">
      <c r="A2026" s="5">
        <v>1965</v>
      </c>
      <c r="B2026" s="138">
        <f>'Cap Outlay Deprec 26'!F5</f>
        <v>235697</v>
      </c>
      <c r="C2026" s="2" t="s">
        <v>573</v>
      </c>
      <c r="D2026" s="2" t="str">
        <f t="shared" si="30"/>
        <v>Error?</v>
      </c>
    </row>
    <row r="2027" spans="1:4" x14ac:dyDescent="0.2">
      <c r="A2027" s="5">
        <v>1966</v>
      </c>
      <c r="B2027" s="138">
        <f>'Cap Outlay Deprec 26'!F8</f>
        <v>16341037</v>
      </c>
      <c r="C2027" s="2" t="s">
        <v>573</v>
      </c>
      <c r="D2027" s="2" t="str">
        <f t="shared" si="30"/>
        <v>Error?</v>
      </c>
    </row>
    <row r="2028" spans="1:4" x14ac:dyDescent="0.2">
      <c r="A2028" s="5">
        <v>1967</v>
      </c>
      <c r="B2028" s="138">
        <f>'Cap Outlay Deprec 26'!F10</f>
        <v>6294992</v>
      </c>
      <c r="C2028" s="2" t="s">
        <v>573</v>
      </c>
      <c r="D2028" s="2" t="str">
        <f t="shared" si="30"/>
        <v>Error?</v>
      </c>
    </row>
    <row r="2029" spans="1:4" x14ac:dyDescent="0.2">
      <c r="A2029" s="5">
        <v>1968</v>
      </c>
      <c r="B2029" s="138">
        <f>'Cap Outlay Deprec 26'!F12</f>
        <v>1483530</v>
      </c>
      <c r="C2029" s="2" t="s">
        <v>573</v>
      </c>
      <c r="D2029" s="2" t="str">
        <f t="shared" si="30"/>
        <v>Error?</v>
      </c>
    </row>
    <row r="2030" spans="1:4" x14ac:dyDescent="0.2">
      <c r="A2030" s="5">
        <v>1969</v>
      </c>
      <c r="B2030" s="138">
        <f>'Cap Outlay Deprec 26'!F13</f>
        <v>796174</v>
      </c>
      <c r="C2030" s="2" t="s">
        <v>573</v>
      </c>
      <c r="D2030" s="2" t="str">
        <f t="shared" si="30"/>
        <v>Error?</v>
      </c>
    </row>
    <row r="2031" spans="1:4" x14ac:dyDescent="0.2">
      <c r="A2031" s="5">
        <v>1970</v>
      </c>
      <c r="B2031" s="138">
        <f>'Cap Outlay Deprec 26'!F16</f>
        <v>25192657</v>
      </c>
      <c r="C2031" s="2" t="s">
        <v>573</v>
      </c>
      <c r="D2031" s="2" t="str">
        <f t="shared" si="30"/>
        <v>Error?</v>
      </c>
    </row>
    <row r="2032" spans="1:4" x14ac:dyDescent="0.2">
      <c r="A2032" s="10">
        <v>1971</v>
      </c>
      <c r="D2032" s="2" t="str">
        <f t="shared" si="30"/>
        <v>OK</v>
      </c>
    </row>
    <row r="2033" spans="1:4" x14ac:dyDescent="0.2">
      <c r="A2033" s="5">
        <v>1972</v>
      </c>
      <c r="B2033" s="138">
        <f>'Cap Outlay Deprec 26'!H8</f>
        <v>8934996</v>
      </c>
      <c r="D2033" s="2" t="str">
        <f t="shared" si="30"/>
        <v>Error?</v>
      </c>
    </row>
    <row r="2034" spans="1:4" x14ac:dyDescent="0.2">
      <c r="A2034" s="5">
        <v>1973</v>
      </c>
      <c r="B2034" s="138">
        <f>'Cap Outlay Deprec 26'!H10</f>
        <v>1935675</v>
      </c>
      <c r="D2034" s="2" t="str">
        <f t="shared" si="30"/>
        <v>Error?</v>
      </c>
    </row>
    <row r="2035" spans="1:4" x14ac:dyDescent="0.2">
      <c r="A2035" s="5">
        <v>1974</v>
      </c>
      <c r="B2035" s="138">
        <f>'Cap Outlay Deprec 26'!H12</f>
        <v>598850</v>
      </c>
      <c r="D2035" s="2" t="str">
        <f t="shared" si="30"/>
        <v>Error?</v>
      </c>
    </row>
    <row r="2036" spans="1:4" x14ac:dyDescent="0.2">
      <c r="A2036" s="5">
        <v>1975</v>
      </c>
      <c r="B2036" s="138">
        <f>'Cap Outlay Deprec 26'!H13</f>
        <v>585826</v>
      </c>
      <c r="D2036" s="2" t="str">
        <f t="shared" si="30"/>
        <v>Error?</v>
      </c>
    </row>
    <row r="2037" spans="1:4" x14ac:dyDescent="0.2">
      <c r="A2037" s="5">
        <v>1976</v>
      </c>
      <c r="B2037" s="138">
        <f>'Cap Outlay Deprec 26'!H16</f>
        <v>12056884</v>
      </c>
      <c r="C2037" s="2" t="s">
        <v>573</v>
      </c>
      <c r="D2037" s="2" t="str">
        <f t="shared" si="30"/>
        <v>Error?</v>
      </c>
    </row>
    <row r="2038" spans="1:4" x14ac:dyDescent="0.2">
      <c r="A2038" s="10">
        <v>1977</v>
      </c>
      <c r="D2038" s="2" t="str">
        <f t="shared" si="30"/>
        <v>OK</v>
      </c>
    </row>
    <row r="2039" spans="1:4" x14ac:dyDescent="0.2">
      <c r="A2039" s="5">
        <v>1978</v>
      </c>
      <c r="B2039" s="138">
        <f>'Cap Outlay Deprec 26'!I8</f>
        <v>264127</v>
      </c>
      <c r="D2039" s="2" t="str">
        <f t="shared" si="30"/>
        <v>Error?</v>
      </c>
    </row>
    <row r="2040" spans="1:4" x14ac:dyDescent="0.2">
      <c r="A2040" s="5">
        <v>1979</v>
      </c>
      <c r="B2040" s="138">
        <f>'Cap Outlay Deprec 26'!I10</f>
        <v>308606</v>
      </c>
      <c r="D2040" s="2" t="str">
        <f t="shared" si="30"/>
        <v>Error?</v>
      </c>
    </row>
    <row r="2041" spans="1:4" x14ac:dyDescent="0.2">
      <c r="A2041" s="5">
        <v>1980</v>
      </c>
      <c r="B2041" s="138">
        <f>'Cap Outlay Deprec 26'!I12</f>
        <v>148356</v>
      </c>
      <c r="D2041" s="2" t="str">
        <f t="shared" si="30"/>
        <v>Error?</v>
      </c>
    </row>
    <row r="2042" spans="1:4" x14ac:dyDescent="0.2">
      <c r="A2042" s="5">
        <v>1981</v>
      </c>
      <c r="B2042" s="138">
        <f>'Cap Outlay Deprec 26'!I13</f>
        <v>80209</v>
      </c>
      <c r="D2042" s="2" t="str">
        <f t="shared" si="30"/>
        <v>Error?</v>
      </c>
    </row>
    <row r="2043" spans="1:4" x14ac:dyDescent="0.2">
      <c r="A2043" s="5">
        <v>1982</v>
      </c>
      <c r="B2043" s="138">
        <f>'Cap Outlay Deprec 26'!I16</f>
        <v>802835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85389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85389</v>
      </c>
      <c r="C2049" s="2" t="s">
        <v>573</v>
      </c>
      <c r="D2049" s="2" t="str">
        <f t="shared" si="31"/>
        <v>Error?</v>
      </c>
    </row>
    <row r="2050" spans="1:4" x14ac:dyDescent="0.2">
      <c r="A2050" s="10">
        <v>1989</v>
      </c>
      <c r="D2050" s="2" t="str">
        <f t="shared" si="31"/>
        <v>OK</v>
      </c>
    </row>
    <row r="2051" spans="1:4" x14ac:dyDescent="0.2">
      <c r="A2051" s="5">
        <v>1990</v>
      </c>
      <c r="B2051" s="138">
        <f>'Cap Outlay Deprec 26'!K8</f>
        <v>9199123</v>
      </c>
      <c r="C2051" s="2" t="s">
        <v>573</v>
      </c>
      <c r="D2051" s="2" t="str">
        <f t="shared" si="31"/>
        <v>Error?</v>
      </c>
    </row>
    <row r="2052" spans="1:4" x14ac:dyDescent="0.2">
      <c r="A2052" s="5">
        <v>1991</v>
      </c>
      <c r="B2052" s="138">
        <f>'Cap Outlay Deprec 26'!K10</f>
        <v>2244281</v>
      </c>
      <c r="C2052" s="2" t="s">
        <v>573</v>
      </c>
      <c r="D2052" s="2" t="str">
        <f t="shared" si="31"/>
        <v>Error?</v>
      </c>
    </row>
    <row r="2053" spans="1:4" x14ac:dyDescent="0.2">
      <c r="A2053" s="5">
        <v>1992</v>
      </c>
      <c r="B2053" s="138">
        <f>'Cap Outlay Deprec 26'!K12</f>
        <v>661817</v>
      </c>
      <c r="C2053" s="2" t="s">
        <v>573</v>
      </c>
      <c r="D2053" s="2" t="str">
        <f t="shared" si="31"/>
        <v>Error?</v>
      </c>
    </row>
    <row r="2054" spans="1:4" x14ac:dyDescent="0.2">
      <c r="A2054" s="5">
        <v>1993</v>
      </c>
      <c r="B2054" s="138">
        <f>'Cap Outlay Deprec 26'!K13</f>
        <v>666035</v>
      </c>
      <c r="C2054" s="2" t="s">
        <v>573</v>
      </c>
      <c r="D2054" s="2" t="str">
        <f t="shared" si="31"/>
        <v>Error?</v>
      </c>
    </row>
    <row r="2055" spans="1:4" x14ac:dyDescent="0.2">
      <c r="A2055" s="5">
        <v>1994</v>
      </c>
      <c r="B2055" s="138">
        <f>'Cap Outlay Deprec 26'!K16</f>
        <v>12774330</v>
      </c>
      <c r="C2055" s="2" t="s">
        <v>573</v>
      </c>
      <c r="D2055" s="2" t="str">
        <f t="shared" si="31"/>
        <v>Error?</v>
      </c>
    </row>
    <row r="2056" spans="1:4" x14ac:dyDescent="0.2">
      <c r="A2056" s="5">
        <v>1995</v>
      </c>
      <c r="B2056" s="138">
        <f>'Cap Outlay Deprec 26'!L5</f>
        <v>235697</v>
      </c>
      <c r="C2056" s="2" t="s">
        <v>573</v>
      </c>
      <c r="D2056" s="2" t="str">
        <f t="shared" si="31"/>
        <v>Error?</v>
      </c>
    </row>
    <row r="2057" spans="1:4" x14ac:dyDescent="0.2">
      <c r="A2057" s="5">
        <v>1996</v>
      </c>
      <c r="B2057" s="138">
        <f>'Cap Outlay Deprec 26'!L8</f>
        <v>7141914</v>
      </c>
      <c r="C2057" s="2" t="s">
        <v>573</v>
      </c>
      <c r="D2057" s="2" t="str">
        <f t="shared" si="31"/>
        <v>Error?</v>
      </c>
    </row>
    <row r="2058" spans="1:4" x14ac:dyDescent="0.2">
      <c r="A2058" s="5">
        <v>1997</v>
      </c>
      <c r="B2058" s="138">
        <f>'Cap Outlay Deprec 26'!L10</f>
        <v>4050711</v>
      </c>
      <c r="C2058" s="2" t="s">
        <v>573</v>
      </c>
      <c r="D2058" s="2" t="str">
        <f t="shared" si="31"/>
        <v>Error?</v>
      </c>
    </row>
    <row r="2059" spans="1:4" x14ac:dyDescent="0.2">
      <c r="A2059" s="5">
        <v>1998</v>
      </c>
      <c r="B2059" s="138">
        <f>'Cap Outlay Deprec 26'!L12</f>
        <v>821713</v>
      </c>
      <c r="C2059" s="2" t="s">
        <v>573</v>
      </c>
      <c r="D2059" s="2" t="str">
        <f t="shared" si="31"/>
        <v>Error?</v>
      </c>
    </row>
    <row r="2060" spans="1:4" x14ac:dyDescent="0.2">
      <c r="A2060" s="5">
        <v>1999</v>
      </c>
      <c r="B2060" s="138">
        <f>'Cap Outlay Deprec 26'!L13</f>
        <v>130139</v>
      </c>
      <c r="C2060" s="2" t="s">
        <v>573</v>
      </c>
      <c r="D2060" s="2" t="str">
        <f t="shared" si="31"/>
        <v>Error?</v>
      </c>
    </row>
    <row r="2061" spans="1:4" x14ac:dyDescent="0.2">
      <c r="A2061" s="5">
        <v>2000</v>
      </c>
      <c r="B2061" s="138">
        <f>'Cap Outlay Deprec 26'!L16</f>
        <v>12418327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18449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290349</v>
      </c>
      <c r="C2088" s="2" t="s">
        <v>573</v>
      </c>
      <c r="D2088" s="2" t="str">
        <f t="shared" si="31"/>
        <v>Error?</v>
      </c>
    </row>
    <row r="2089" spans="1:4" x14ac:dyDescent="0.2">
      <c r="A2089" s="5">
        <v>2028</v>
      </c>
      <c r="B2089" s="138">
        <f>'Expenditures 15-22'!K92</f>
        <v>174834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23057</v>
      </c>
      <c r="D2435" s="2" t="str">
        <f t="shared" si="37"/>
        <v>Error?</v>
      </c>
    </row>
    <row r="2436" spans="1:4" x14ac:dyDescent="0.2">
      <c r="A2436" s="10">
        <v>2375</v>
      </c>
      <c r="D2436" s="2" t="str">
        <f t="shared" si="37"/>
        <v>OK</v>
      </c>
    </row>
    <row r="2437" spans="1:4" x14ac:dyDescent="0.2">
      <c r="A2437" s="5">
        <v>2376</v>
      </c>
      <c r="B2437" s="138">
        <f>'Assets-Liab 5-6'!D38</f>
        <v>34002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117347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164250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215170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5337682</v>
      </c>
      <c r="C2551" s="2" t="s">
        <v>573</v>
      </c>
      <c r="D2551" s="2" t="str">
        <f t="shared" si="38"/>
        <v>Error?</v>
      </c>
    </row>
    <row r="2552" spans="1:4" x14ac:dyDescent="0.2">
      <c r="A2552" s="10">
        <v>2491</v>
      </c>
      <c r="D2552" s="2" t="str">
        <f t="shared" si="38"/>
        <v>OK</v>
      </c>
    </row>
    <row r="2553" spans="1:4" x14ac:dyDescent="0.2">
      <c r="A2553" s="5">
        <v>2492</v>
      </c>
      <c r="B2553" s="138">
        <f>'Acct Summary 7-8'!C6</f>
        <v>4182512</v>
      </c>
      <c r="C2553" s="2" t="s">
        <v>573</v>
      </c>
      <c r="D2553" s="2" t="str">
        <f t="shared" si="38"/>
        <v>Error?</v>
      </c>
    </row>
    <row r="2554" spans="1:4" x14ac:dyDescent="0.2">
      <c r="A2554" s="5">
        <v>2493</v>
      </c>
      <c r="B2554" s="138">
        <f>'Acct Summary 7-8'!C7</f>
        <v>999662</v>
      </c>
      <c r="C2554" s="2" t="s">
        <v>573</v>
      </c>
      <c r="D2554" s="2" t="str">
        <f t="shared" si="38"/>
        <v>Error?</v>
      </c>
    </row>
    <row r="2555" spans="1:4" x14ac:dyDescent="0.2">
      <c r="A2555" s="5">
        <v>2494</v>
      </c>
      <c r="B2555" s="138">
        <f>'Acct Summary 7-8'!C8</f>
        <v>10519856</v>
      </c>
      <c r="C2555" s="2" t="s">
        <v>573</v>
      </c>
      <c r="D2555" s="2" t="str">
        <f t="shared" si="38"/>
        <v>Error?</v>
      </c>
    </row>
    <row r="2556" spans="1:4" x14ac:dyDescent="0.2">
      <c r="A2556" s="5">
        <v>2495</v>
      </c>
      <c r="B2556" s="138">
        <f>'Acct Summary 7-8'!C12</f>
        <v>6955419</v>
      </c>
      <c r="C2556" s="2" t="s">
        <v>573</v>
      </c>
      <c r="D2556" s="2" t="str">
        <f t="shared" si="38"/>
        <v>Error?</v>
      </c>
    </row>
    <row r="2557" spans="1:4" x14ac:dyDescent="0.2">
      <c r="A2557" s="5">
        <v>2496</v>
      </c>
      <c r="B2557" s="138">
        <f>'Acct Summary 7-8'!C13</f>
        <v>2878947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465183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10299549</v>
      </c>
      <c r="C2561" s="2" t="s">
        <v>573</v>
      </c>
      <c r="D2561" s="2" t="str">
        <f t="shared" si="39"/>
        <v>Error?</v>
      </c>
    </row>
    <row r="2562" spans="1:4" x14ac:dyDescent="0.2">
      <c r="A2562" s="5">
        <v>2501</v>
      </c>
      <c r="B2562" s="138">
        <f>'Acct Summary 7-8'!C20</f>
        <v>220307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1711211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1711211</v>
      </c>
      <c r="C2568" s="2" t="s">
        <v>573</v>
      </c>
      <c r="D2568" s="2" t="str">
        <f t="shared" si="39"/>
        <v>Error?</v>
      </c>
    </row>
    <row r="2569" spans="1:4" x14ac:dyDescent="0.2">
      <c r="A2569" s="5">
        <v>2508</v>
      </c>
      <c r="B2569" s="138">
        <f>'Acct Summary 7-8'!D13</f>
        <v>1321296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1321296</v>
      </c>
      <c r="C2573" s="2" t="s">
        <v>573</v>
      </c>
      <c r="D2573" s="2" t="str">
        <f t="shared" si="39"/>
        <v>Error?</v>
      </c>
    </row>
    <row r="2574" spans="1:4" x14ac:dyDescent="0.2">
      <c r="A2574" s="5">
        <v>2513</v>
      </c>
      <c r="B2574" s="138">
        <f>'Acct Summary 7-8'!D20</f>
        <v>389915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458949</v>
      </c>
      <c r="C2591" s="2" t="s">
        <v>573</v>
      </c>
      <c r="D2591" s="2" t="str">
        <f t="shared" si="39"/>
        <v>Error?</v>
      </c>
    </row>
    <row r="2592" spans="1:4" x14ac:dyDescent="0.2">
      <c r="A2592" s="10">
        <v>2531</v>
      </c>
      <c r="D2592" s="2" t="str">
        <f t="shared" si="39"/>
        <v>OK</v>
      </c>
    </row>
    <row r="2593" spans="1:4" x14ac:dyDescent="0.2">
      <c r="A2593" s="5">
        <v>2532</v>
      </c>
      <c r="B2593" s="138">
        <f>'Acct Summary 7-8'!F6</f>
        <v>582735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1041684</v>
      </c>
      <c r="C2595" s="2" t="s">
        <v>573</v>
      </c>
      <c r="D2595" s="2" t="str">
        <f t="shared" si="39"/>
        <v>Error?</v>
      </c>
    </row>
    <row r="2596" spans="1:4" x14ac:dyDescent="0.2">
      <c r="A2596" s="5">
        <v>2535</v>
      </c>
      <c r="B2596" s="138">
        <f>'Acct Summary 7-8'!F13</f>
        <v>955245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955245</v>
      </c>
      <c r="C2600" s="2" t="s">
        <v>573</v>
      </c>
      <c r="D2600" s="2" t="str">
        <f t="shared" si="39"/>
        <v>Error?</v>
      </c>
    </row>
    <row r="2601" spans="1:4" x14ac:dyDescent="0.2">
      <c r="A2601" s="5">
        <v>2540</v>
      </c>
      <c r="B2601" s="138">
        <f>'Acct Summary 7-8'!F20</f>
        <v>86439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528100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528100</v>
      </c>
      <c r="C2606" s="2" t="s">
        <v>573</v>
      </c>
      <c r="D2606" s="2" t="str">
        <f t="shared" si="39"/>
        <v>Error?</v>
      </c>
    </row>
    <row r="2607" spans="1:4" x14ac:dyDescent="0.2">
      <c r="A2607" s="5">
        <v>2546</v>
      </c>
      <c r="B2607" s="138">
        <f>'Acct Summary 7-8'!G12</f>
        <v>173738</v>
      </c>
      <c r="C2607" s="2" t="s">
        <v>573</v>
      </c>
      <c r="D2607" s="2" t="str">
        <f t="shared" si="39"/>
        <v>Error?</v>
      </c>
    </row>
    <row r="2608" spans="1:4" x14ac:dyDescent="0.2">
      <c r="A2608" s="5">
        <v>2547</v>
      </c>
      <c r="B2608" s="138">
        <f>'Acct Summary 7-8'!G13</f>
        <v>260952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434690</v>
      </c>
      <c r="C2612" s="2" t="s">
        <v>573</v>
      </c>
      <c r="D2612" s="2" t="str">
        <f t="shared" si="39"/>
        <v>Error?</v>
      </c>
    </row>
    <row r="2613" spans="1:4" x14ac:dyDescent="0.2">
      <c r="A2613" s="5">
        <v>2552</v>
      </c>
      <c r="B2613" s="138">
        <f>'Acct Summary 7-8'!G20</f>
        <v>93410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610731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610731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595976</v>
      </c>
      <c r="C2634" s="2" t="s">
        <v>573</v>
      </c>
      <c r="D2634" s="2" t="str">
        <f t="shared" si="40"/>
        <v>Error?</v>
      </c>
    </row>
    <row r="2635" spans="1:4" x14ac:dyDescent="0.2">
      <c r="A2635" s="5">
        <v>2574</v>
      </c>
      <c r="B2635" s="138">
        <f>'Acct Summary 7-8'!E17</f>
        <v>595976</v>
      </c>
      <c r="C2635" s="2" t="s">
        <v>573</v>
      </c>
      <c r="D2635" s="2" t="str">
        <f t="shared" si="40"/>
        <v>Error?</v>
      </c>
    </row>
    <row r="2636" spans="1:4" x14ac:dyDescent="0.2">
      <c r="A2636" s="5">
        <v>2575</v>
      </c>
      <c r="B2636" s="138">
        <f>'Acct Summary 7-8'!E20</f>
        <v>14755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160890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160890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160890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271900</v>
      </c>
      <c r="C2789" s="2" t="s">
        <v>573</v>
      </c>
      <c r="D2789" s="2" t="str">
        <f t="shared" si="42"/>
        <v>Error?</v>
      </c>
    </row>
    <row r="2790" spans="1:4" x14ac:dyDescent="0.2">
      <c r="A2790" s="5">
        <v>2729</v>
      </c>
      <c r="B2790" s="138">
        <f>'Expenditures 15-22'!E102</f>
        <v>271900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36617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1710400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1867074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961174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1867074</v>
      </c>
      <c r="D2912" s="2" t="str">
        <f t="shared" si="44"/>
        <v>Error?</v>
      </c>
    </row>
    <row r="2913" spans="1:4" x14ac:dyDescent="0.2">
      <c r="A2913" s="5">
        <v>2852</v>
      </c>
      <c r="B2913" s="138">
        <f>'Assets-Liab 5-6'!I41</f>
        <v>1867074</v>
      </c>
      <c r="C2913" s="2" t="s">
        <v>573</v>
      </c>
      <c r="D2913" s="2" t="str">
        <f t="shared" si="44"/>
        <v>Error?</v>
      </c>
    </row>
    <row r="2914" spans="1:4" x14ac:dyDescent="0.2">
      <c r="A2914" s="5">
        <v>2853</v>
      </c>
      <c r="B2914" s="138">
        <f>'Assets-Liab 5-6'!L33</f>
        <v>247299</v>
      </c>
      <c r="D2914" s="2" t="str">
        <f t="shared" si="44"/>
        <v>Error?</v>
      </c>
    </row>
    <row r="2915" spans="1:4" x14ac:dyDescent="0.2">
      <c r="A2915" s="10">
        <v>2854</v>
      </c>
      <c r="D2915" s="2" t="str">
        <f t="shared" si="44"/>
        <v>OK</v>
      </c>
    </row>
    <row r="2916" spans="1:4" x14ac:dyDescent="0.2">
      <c r="A2916" s="5">
        <v>2855</v>
      </c>
      <c r="B2916" s="138">
        <f>'Assets-Liab 5-6'!L34</f>
        <v>247299</v>
      </c>
      <c r="C2916" s="2" t="s">
        <v>573</v>
      </c>
      <c r="D2916" s="2" t="str">
        <f t="shared" si="44"/>
        <v>Error?</v>
      </c>
    </row>
    <row r="2917" spans="1:4" x14ac:dyDescent="0.2">
      <c r="A2917" s="5">
        <v>2856</v>
      </c>
      <c r="B2917" s="138">
        <f>'Assets-Liab 5-6'!L41</f>
        <v>961174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271900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18449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290349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116165</v>
      </c>
      <c r="D3055" s="2" t="str">
        <f t="shared" si="46"/>
        <v>Error?</v>
      </c>
    </row>
    <row r="3056" spans="1:4" x14ac:dyDescent="0.2">
      <c r="A3056" s="5">
        <v>2995</v>
      </c>
      <c r="B3056" s="138">
        <f>'Expenditures 15-22'!D10</f>
        <v>40310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76985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233460</v>
      </c>
      <c r="C3062" s="2" t="s">
        <v>573</v>
      </c>
      <c r="D3062" s="2" t="str">
        <f t="shared" si="46"/>
        <v>Error?</v>
      </c>
    </row>
    <row r="3063" spans="1:4" x14ac:dyDescent="0.2">
      <c r="A3063" s="10">
        <v>3002</v>
      </c>
      <c r="D3063" s="2" t="str">
        <f t="shared" si="46"/>
        <v>OK</v>
      </c>
    </row>
    <row r="3064" spans="1:4" x14ac:dyDescent="0.2">
      <c r="A3064" s="5">
        <v>3003</v>
      </c>
      <c r="B3064" s="138">
        <f>'Expenditures 15-22'!D219</f>
        <v>12416</v>
      </c>
      <c r="D3064" s="2" t="str">
        <f t="shared" si="46"/>
        <v>Error?</v>
      </c>
    </row>
    <row r="3065" spans="1:4" x14ac:dyDescent="0.2">
      <c r="A3065" s="5">
        <v>3004</v>
      </c>
      <c r="B3065" s="138">
        <f>'Expenditures 15-22'!K219</f>
        <v>12416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713875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95931</v>
      </c>
      <c r="C3225" s="2" t="s">
        <v>573</v>
      </c>
      <c r="D3225" s="2" t="str">
        <f t="shared" si="49"/>
        <v>Error?</v>
      </c>
    </row>
    <row r="3226" spans="1:4" x14ac:dyDescent="0.2">
      <c r="A3226" s="5">
        <v>3165</v>
      </c>
      <c r="B3226" s="138">
        <f>'Acct Summary 7-8'!I8</f>
        <v>95931</v>
      </c>
      <c r="C3226" s="2" t="s">
        <v>573</v>
      </c>
      <c r="D3226" s="2" t="str">
        <f t="shared" si="49"/>
        <v>Error?</v>
      </c>
    </row>
    <row r="3227" spans="1:4" x14ac:dyDescent="0.2">
      <c r="A3227" s="5">
        <v>3166</v>
      </c>
      <c r="B3227" s="138">
        <f>'Acct Summary 7-8'!I20</f>
        <v>95931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220307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1115</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1115</v>
      </c>
      <c r="C3238" s="2" t="s">
        <v>573</v>
      </c>
      <c r="D3238" s="2" t="str">
        <f t="shared" si="49"/>
        <v>Error?</v>
      </c>
    </row>
    <row r="3239" spans="1:4" x14ac:dyDescent="0.2">
      <c r="A3239" s="5">
        <v>3178</v>
      </c>
      <c r="B3239" s="138">
        <f>'Acct Summary 7-8'!D78</f>
        <v>391030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86439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93410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14755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160890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95931</v>
      </c>
      <c r="C3320" s="2" t="s">
        <v>573</v>
      </c>
      <c r="D3320" s="2" t="str">
        <f t="shared" si="50"/>
        <v>Error?</v>
      </c>
    </row>
    <row r="3321" spans="1:4" x14ac:dyDescent="0.2">
      <c r="A3321" s="5">
        <v>3260</v>
      </c>
      <c r="B3321" s="138">
        <f>'Acct Summary 7-8'!I79</f>
        <v>1771143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1867074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899705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143962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1056784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56635</v>
      </c>
      <c r="D3387" s="2" t="str">
        <f t="shared" si="51"/>
        <v>Error?</v>
      </c>
    </row>
    <row r="3388" spans="1:4" x14ac:dyDescent="0.2">
      <c r="A3388" s="5">
        <v>3327</v>
      </c>
      <c r="B3388" s="138">
        <f>'Expenditures 15-22'!D217</f>
        <v>77232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56635</v>
      </c>
      <c r="C3390" s="2" t="s">
        <v>573</v>
      </c>
      <c r="D3390" s="2" t="str">
        <f t="shared" si="51"/>
        <v>Error?</v>
      </c>
    </row>
    <row r="3391" spans="1:4" x14ac:dyDescent="0.2">
      <c r="A3391" s="5">
        <v>3330</v>
      </c>
      <c r="B3391" s="138">
        <f>'Expenditures 15-22'!K217</f>
        <v>77232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1073168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1009468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246888</v>
      </c>
      <c r="D3417" s="2" t="str">
        <f t="shared" si="52"/>
        <v>Error?</v>
      </c>
    </row>
    <row r="3418" spans="1:4" x14ac:dyDescent="0.2">
      <c r="A3418" s="10">
        <v>3357</v>
      </c>
      <c r="D3418" s="2" t="str">
        <f t="shared" si="52"/>
        <v>OK</v>
      </c>
    </row>
    <row r="3419" spans="1:4" x14ac:dyDescent="0.2">
      <c r="A3419" s="5">
        <v>3358</v>
      </c>
      <c r="B3419" s="138">
        <f>'Assets-Liab 5-6'!F4</f>
        <v>685947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551244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378679</v>
      </c>
      <c r="D3425" s="2" t="str">
        <f t="shared" si="52"/>
        <v>Error?</v>
      </c>
    </row>
    <row r="3426" spans="1:4" x14ac:dyDescent="0.2">
      <c r="A3426" s="10">
        <v>3365</v>
      </c>
      <c r="D3426" s="2" t="str">
        <f t="shared" si="52"/>
        <v>OK</v>
      </c>
    </row>
    <row r="3427" spans="1:4" x14ac:dyDescent="0.2">
      <c r="A3427" s="5">
        <v>3366</v>
      </c>
      <c r="B3427" s="138">
        <f>'Assets-Liab 5-6'!I4</f>
        <v>156674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961174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268474</v>
      </c>
      <c r="C3446" s="2" t="s">
        <v>573</v>
      </c>
      <c r="D3446" s="2" t="str">
        <f t="shared" si="52"/>
        <v>Error?</v>
      </c>
    </row>
    <row r="3447" spans="1:4" x14ac:dyDescent="0.2">
      <c r="A3447" s="5">
        <v>3386</v>
      </c>
      <c r="B3447" s="138">
        <f>'Tax Sched 23'!D16</f>
        <v>265428</v>
      </c>
      <c r="C3447" s="2" t="s">
        <v>573</v>
      </c>
      <c r="D3447" s="2" t="str">
        <f t="shared" si="52"/>
        <v>Error?</v>
      </c>
    </row>
    <row r="3448" spans="1:4" x14ac:dyDescent="0.2">
      <c r="A3448" s="5">
        <v>3387</v>
      </c>
      <c r="B3448" s="138">
        <f>'Tax Sched 23'!C16</f>
        <v>3046</v>
      </c>
      <c r="D3448" s="2" t="str">
        <f t="shared" si="52"/>
        <v>Error?</v>
      </c>
    </row>
    <row r="3449" spans="1:4" x14ac:dyDescent="0.2">
      <c r="A3449" s="5">
        <v>3388</v>
      </c>
      <c r="B3449" s="138">
        <f>'Tax Sched 23'!F16</f>
        <v>346853</v>
      </c>
      <c r="C3449" s="2" t="s">
        <v>573</v>
      </c>
      <c r="D3449" s="2" t="str">
        <f t="shared" si="52"/>
        <v>Error?</v>
      </c>
    </row>
    <row r="3450" spans="1:4" x14ac:dyDescent="0.2">
      <c r="A3450" s="5">
        <v>3389</v>
      </c>
      <c r="B3450" s="138">
        <f>'Tax Sched 23'!E16</f>
        <v>349899</v>
      </c>
      <c r="D3450" s="2" t="str">
        <f t="shared" si="52"/>
        <v>Error?</v>
      </c>
    </row>
    <row r="3451" spans="1:4" x14ac:dyDescent="0.2">
      <c r="A3451" s="5">
        <v>3390</v>
      </c>
      <c r="B3451" s="138">
        <f>'Cap Outlay Deprec 26'!C15</f>
        <v>66070</v>
      </c>
      <c r="D3451" s="2" t="str">
        <f t="shared" si="52"/>
        <v>Error?</v>
      </c>
    </row>
    <row r="3452" spans="1:4" x14ac:dyDescent="0.2">
      <c r="A3452" s="5">
        <v>3391</v>
      </c>
      <c r="B3452" s="138">
        <f>'Cap Outlay Deprec 26'!D15</f>
        <v>36617</v>
      </c>
      <c r="D3452" s="2" t="str">
        <f t="shared" si="52"/>
        <v>Error?</v>
      </c>
    </row>
    <row r="3453" spans="1:4" x14ac:dyDescent="0.2">
      <c r="A3453" s="5">
        <v>3392</v>
      </c>
      <c r="B3453" s="138">
        <f>'Cap Outlay Deprec 26'!E15</f>
        <v>66070</v>
      </c>
      <c r="D3453" s="2" t="str">
        <f t="shared" si="52"/>
        <v>Error?</v>
      </c>
    </row>
    <row r="3454" spans="1:4" x14ac:dyDescent="0.2">
      <c r="A3454" s="5">
        <v>3393</v>
      </c>
      <c r="B3454" s="138">
        <f>'Cap Outlay Deprec 26'!F15</f>
        <v>36617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36617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1115</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1765162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1765162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1765162</v>
      </c>
      <c r="D3567" s="2" t="str">
        <f t="shared" si="54"/>
        <v>Error?</v>
      </c>
    </row>
    <row r="3568" spans="1:4" x14ac:dyDescent="0.2">
      <c r="A3568" s="5">
        <v>3507</v>
      </c>
      <c r="B3568" s="138">
        <f>'Assets-Liab 5-6'!K41</f>
        <v>1765162</v>
      </c>
      <c r="C3568" s="2" t="s">
        <v>573</v>
      </c>
      <c r="D3568" s="2" t="str">
        <f t="shared" si="54"/>
        <v>Error?</v>
      </c>
    </row>
    <row r="3569" spans="1:4" x14ac:dyDescent="0.2">
      <c r="A3569" s="5">
        <v>3508</v>
      </c>
      <c r="B3569" s="138">
        <f>'Acct Summary 7-8'!K4</f>
        <v>112479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112479</v>
      </c>
      <c r="C3571" s="2" t="s">
        <v>573</v>
      </c>
      <c r="D3571" s="2" t="str">
        <f t="shared" si="54"/>
        <v>Error?</v>
      </c>
    </row>
    <row r="3572" spans="1:4" x14ac:dyDescent="0.2">
      <c r="A3572" s="5">
        <v>3511</v>
      </c>
      <c r="B3572" s="138">
        <f>'Acct Summary 7-8'!K13</f>
        <v>1491041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1491041</v>
      </c>
      <c r="C3575" s="2" t="s">
        <v>573</v>
      </c>
      <c r="D3575" s="2" t="str">
        <f t="shared" si="54"/>
        <v>Error?</v>
      </c>
    </row>
    <row r="3576" spans="1:4" x14ac:dyDescent="0.2">
      <c r="A3576" s="5">
        <v>3515</v>
      </c>
      <c r="B3576" s="138">
        <f>'Acct Summary 7-8'!K20</f>
        <v>-1378562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-1378562</v>
      </c>
      <c r="C3588" s="2" t="s">
        <v>573</v>
      </c>
      <c r="D3588" s="2" t="str">
        <f t="shared" si="55"/>
        <v>Error?</v>
      </c>
    </row>
    <row r="3589" spans="1:4" x14ac:dyDescent="0.2">
      <c r="A3589" s="5">
        <v>3528</v>
      </c>
      <c r="B3589" s="138">
        <f>'Acct Summary 7-8'!K79</f>
        <v>3143724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1765162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143988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143988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143988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1347053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1347053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1347053</v>
      </c>
      <c r="C3649" s="2" t="s">
        <v>573</v>
      </c>
      <c r="D3649" s="2" t="str">
        <f t="shared" si="56"/>
        <v>Error?</v>
      </c>
    </row>
    <row r="3650" spans="1:4" x14ac:dyDescent="0.2">
      <c r="A3650" s="5">
        <v>3589</v>
      </c>
      <c r="B3650" s="138">
        <f>'Expenditures 15-22'!G367</f>
        <v>1347053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1491041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1491041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1491041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1491041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-1378562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74437</v>
      </c>
      <c r="C3725" s="2" t="s">
        <v>573</v>
      </c>
      <c r="D3725" s="2" t="str">
        <f t="shared" si="57"/>
        <v>Error?</v>
      </c>
    </row>
    <row r="3726" spans="1:4" x14ac:dyDescent="0.2">
      <c r="A3726" s="5">
        <v>3665</v>
      </c>
      <c r="B3726" s="138">
        <f>'Tax Sched 23'!D13</f>
        <v>73757</v>
      </c>
      <c r="C3726" s="2" t="s">
        <v>573</v>
      </c>
      <c r="D3726" s="2" t="str">
        <f t="shared" si="57"/>
        <v>Error?</v>
      </c>
    </row>
    <row r="3727" spans="1:4" x14ac:dyDescent="0.2">
      <c r="A3727" s="5">
        <v>3666</v>
      </c>
      <c r="B3727" s="138">
        <f>'Tax Sched 23'!C13</f>
        <v>680</v>
      </c>
      <c r="D3727" s="2" t="str">
        <f t="shared" si="57"/>
        <v>Error?</v>
      </c>
    </row>
    <row r="3728" spans="1:4" x14ac:dyDescent="0.2">
      <c r="A3728" s="5">
        <v>3667</v>
      </c>
      <c r="B3728" s="138">
        <f>'Tax Sched 23'!F13</f>
        <v>77492</v>
      </c>
      <c r="C3728" s="2" t="s">
        <v>573</v>
      </c>
      <c r="D3728" s="2" t="str">
        <f t="shared" si="57"/>
        <v>Error?</v>
      </c>
    </row>
    <row r="3729" spans="1:4" x14ac:dyDescent="0.2">
      <c r="A3729" s="5">
        <v>3668</v>
      </c>
      <c r="B3729" s="138">
        <f>'Tax Sched 23'!E13</f>
        <v>78172</v>
      </c>
      <c r="D3729" s="2" t="str">
        <f t="shared" si="57"/>
        <v>Error?</v>
      </c>
    </row>
    <row r="3730" spans="1:4" x14ac:dyDescent="0.2">
      <c r="A3730" s="5">
        <v>3669</v>
      </c>
      <c r="B3730" s="138">
        <f>'ICR Computation 30'!E10</f>
        <v>372176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3852907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14372763</v>
      </c>
      <c r="C4122" s="2" t="s">
        <v>573</v>
      </c>
      <c r="D4122" s="2" t="str">
        <f t="shared" si="63"/>
        <v>Error?</v>
      </c>
    </row>
    <row r="4123" spans="1:4" x14ac:dyDescent="0.2">
      <c r="A4123" s="5">
        <v>4062</v>
      </c>
      <c r="B4123" s="138">
        <f>'Acct Summary 7-8'!D10</f>
        <v>1711211</v>
      </c>
      <c r="C4123" s="2" t="s">
        <v>573</v>
      </c>
      <c r="D4123" s="2" t="str">
        <f t="shared" si="63"/>
        <v>Error?</v>
      </c>
    </row>
    <row r="4124" spans="1:4" x14ac:dyDescent="0.2">
      <c r="A4124" s="5">
        <v>4063</v>
      </c>
      <c r="B4124" s="138">
        <f>'Acct Summary 7-8'!E10</f>
        <v>610731</v>
      </c>
      <c r="C4124" s="2" t="s">
        <v>573</v>
      </c>
      <c r="D4124" s="2" t="str">
        <f t="shared" si="63"/>
        <v>Error?</v>
      </c>
    </row>
    <row r="4125" spans="1:4" x14ac:dyDescent="0.2">
      <c r="A4125" s="5">
        <v>4064</v>
      </c>
      <c r="B4125" s="138">
        <f>'Acct Summary 7-8'!F10</f>
        <v>1041684</v>
      </c>
      <c r="C4125" s="2" t="s">
        <v>573</v>
      </c>
      <c r="D4125" s="2" t="str">
        <f t="shared" si="63"/>
        <v>Error?</v>
      </c>
    </row>
    <row r="4126" spans="1:4" x14ac:dyDescent="0.2">
      <c r="A4126" s="5">
        <v>4065</v>
      </c>
      <c r="B4126" s="138">
        <f>'Acct Summary 7-8'!G10</f>
        <v>528100</v>
      </c>
      <c r="C4126" s="2" t="s">
        <v>573</v>
      </c>
      <c r="D4126" s="2" t="str">
        <f t="shared" si="63"/>
        <v>Error?</v>
      </c>
    </row>
    <row r="4127" spans="1:4" x14ac:dyDescent="0.2">
      <c r="A4127" s="5">
        <v>4066</v>
      </c>
      <c r="B4127" s="138">
        <f>'Acct Summary 7-8'!H10</f>
        <v>160890</v>
      </c>
      <c r="C4127" s="2" t="s">
        <v>573</v>
      </c>
      <c r="D4127" s="2" t="str">
        <f t="shared" si="63"/>
        <v>Error?</v>
      </c>
    </row>
    <row r="4128" spans="1:4" x14ac:dyDescent="0.2">
      <c r="A4128" s="5">
        <v>4067</v>
      </c>
      <c r="B4128" s="138">
        <f>'Acct Summary 7-8'!I10</f>
        <v>95931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112479</v>
      </c>
      <c r="C4130" s="2" t="s">
        <v>573</v>
      </c>
      <c r="D4130" s="2" t="str">
        <f t="shared" si="63"/>
        <v>Error?</v>
      </c>
    </row>
    <row r="4131" spans="1:4" x14ac:dyDescent="0.2">
      <c r="A4131" s="5">
        <v>4070</v>
      </c>
      <c r="B4131" s="138">
        <f>'Acct Summary 7-8'!C18</f>
        <v>3852907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14152456</v>
      </c>
      <c r="C4136" s="2" t="s">
        <v>573</v>
      </c>
      <c r="D4136" s="2" t="str">
        <f t="shared" si="63"/>
        <v>Error?</v>
      </c>
    </row>
    <row r="4137" spans="1:4" x14ac:dyDescent="0.2">
      <c r="A4137" s="5">
        <v>4076</v>
      </c>
      <c r="B4137" s="138">
        <f>'Acct Summary 7-8'!D19</f>
        <v>1321296</v>
      </c>
      <c r="C4137" s="2" t="s">
        <v>573</v>
      </c>
      <c r="D4137" s="2" t="str">
        <f t="shared" si="63"/>
        <v>Error?</v>
      </c>
    </row>
    <row r="4138" spans="1:4" x14ac:dyDescent="0.2">
      <c r="A4138" s="5">
        <v>4077</v>
      </c>
      <c r="B4138" s="138">
        <f>'Acct Summary 7-8'!E19</f>
        <v>595976</v>
      </c>
      <c r="C4138" s="2" t="s">
        <v>573</v>
      </c>
      <c r="D4138" s="2" t="str">
        <f t="shared" si="63"/>
        <v>Error?</v>
      </c>
    </row>
    <row r="4139" spans="1:4" x14ac:dyDescent="0.2">
      <c r="A4139" s="5">
        <v>4078</v>
      </c>
      <c r="B4139" s="138">
        <f>'Acct Summary 7-8'!F19</f>
        <v>955245</v>
      </c>
      <c r="C4139" s="2" t="s">
        <v>573</v>
      </c>
      <c r="D4139" s="2" t="str">
        <f t="shared" si="63"/>
        <v>Error?</v>
      </c>
    </row>
    <row r="4140" spans="1:4" x14ac:dyDescent="0.2">
      <c r="A4140" s="5">
        <v>4079</v>
      </c>
      <c r="B4140" s="138">
        <f>'Acct Summary 7-8'!G19</f>
        <v>434690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1491041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4612962</v>
      </c>
      <c r="C4171" s="2" t="s">
        <v>573</v>
      </c>
      <c r="D4171" s="2" t="str">
        <f t="shared" si="64"/>
        <v>Error?</v>
      </c>
    </row>
    <row r="4172" spans="1:4" x14ac:dyDescent="0.2">
      <c r="A4172" s="5">
        <v>4111</v>
      </c>
      <c r="B4172" s="138">
        <f>'Short-Term Long-Term Debt 24'!J49</f>
        <v>4366074</v>
      </c>
      <c r="C4172" s="2" t="s">
        <v>573</v>
      </c>
      <c r="D4172" s="2" t="str">
        <f t="shared" si="64"/>
        <v>Error?</v>
      </c>
    </row>
    <row r="4173" spans="1:4" x14ac:dyDescent="0.2">
      <c r="A4173" s="5">
        <v>4112</v>
      </c>
      <c r="B4173" s="138">
        <f>'Short-Term Long-Term Debt 24'!H49</f>
        <v>497400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-3822</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2665.6</v>
      </c>
      <c r="C4265" s="2" t="s">
        <v>573</v>
      </c>
      <c r="D4265" s="2" t="str">
        <f t="shared" si="65"/>
        <v>Error?</v>
      </c>
      <c r="E4265" s="128"/>
    </row>
    <row r="4266" spans="1:5" x14ac:dyDescent="0.2">
      <c r="A4266" s="12">
        <v>4205</v>
      </c>
      <c r="B4266" s="138">
        <f>('FP Info 3'!F10)*100000</f>
        <v>691.09999999999991</v>
      </c>
      <c r="C4266" s="2" t="s">
        <v>573</v>
      </c>
      <c r="D4266" s="2" t="str">
        <f t="shared" si="65"/>
        <v>Error?</v>
      </c>
      <c r="E4266" s="128"/>
    </row>
    <row r="4267" spans="1:5" x14ac:dyDescent="0.2">
      <c r="A4267" s="12">
        <v>4206</v>
      </c>
      <c r="B4267" s="138">
        <f>('FP Info 3'!H10)*100000</f>
        <v>197.50000000000003</v>
      </c>
      <c r="C4267" s="2" t="s">
        <v>573</v>
      </c>
      <c r="D4267" s="2" t="str">
        <f t="shared" si="65"/>
        <v>Error?</v>
      </c>
      <c r="E4267" s="128"/>
    </row>
    <row r="4268" spans="1:5" x14ac:dyDescent="0.2">
      <c r="A4268" s="12">
        <v>4207</v>
      </c>
      <c r="B4268" s="138">
        <f>('FP Info 3'!J10)*100000</f>
        <v>3554</v>
      </c>
      <c r="C4268" s="2" t="s">
        <v>573</v>
      </c>
      <c r="D4268" s="2" t="str">
        <f t="shared" si="65"/>
        <v>Error?</v>
      </c>
    </row>
    <row r="4269" spans="1:5" x14ac:dyDescent="0.2">
      <c r="A4269" s="12">
        <v>4208</v>
      </c>
      <c r="B4269" s="138">
        <f>'FP Info 3'!J16</f>
        <v>6429115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19869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80162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9186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38854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3161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158339645</v>
      </c>
      <c r="D4995" s="2" t="str">
        <f t="shared" si="77"/>
        <v>Error?</v>
      </c>
    </row>
    <row r="4996" spans="1:4" x14ac:dyDescent="0.2">
      <c r="A4996" s="12">
        <v>4935</v>
      </c>
      <c r="B4996" s="138">
        <f>'FP Info 3'!H31</f>
        <v>21850871.010000002</v>
      </c>
      <c r="D4996" s="2" t="str">
        <f t="shared" si="77"/>
        <v>Error?</v>
      </c>
    </row>
    <row r="4997" spans="1:4" x14ac:dyDescent="0.2">
      <c r="A4997" s="12">
        <v>4936</v>
      </c>
      <c r="B4997" s="138">
        <f>'FP Info 3'!H37</f>
        <v>4612962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74437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4018132</v>
      </c>
      <c r="D5061" s="2" t="str">
        <f t="shared" si="78"/>
        <v>Error?</v>
      </c>
    </row>
    <row r="5062" spans="1:4" x14ac:dyDescent="0.2">
      <c r="A5062" s="10">
        <v>5001</v>
      </c>
      <c r="D5062" s="2" t="str">
        <f t="shared" si="78"/>
        <v>OK</v>
      </c>
    </row>
    <row r="5063" spans="1:4" x14ac:dyDescent="0.2">
      <c r="A5063" s="5">
        <v>5002</v>
      </c>
      <c r="B5063" s="138">
        <f>'Revenues 9-14'!C7</f>
        <v>59581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4152150</v>
      </c>
      <c r="C5066" s="2" t="s">
        <v>573</v>
      </c>
      <c r="D5066" s="2" t="str">
        <f t="shared" si="78"/>
        <v>Error?</v>
      </c>
    </row>
    <row r="5067" spans="1:4" x14ac:dyDescent="0.2">
      <c r="A5067" s="5">
        <v>5006</v>
      </c>
      <c r="B5067" s="138">
        <f>'Revenues 9-14'!C14</f>
        <v>808</v>
      </c>
      <c r="D5067" s="2" t="str">
        <f t="shared" si="78"/>
        <v>Error?</v>
      </c>
    </row>
    <row r="5068" spans="1:4" x14ac:dyDescent="0.2">
      <c r="A5068" s="5">
        <v>5007</v>
      </c>
      <c r="B5068" s="138">
        <f>'Revenues 9-14'!C15</f>
        <v>4253</v>
      </c>
      <c r="D5068" s="2" t="str">
        <f t="shared" si="78"/>
        <v>Error?</v>
      </c>
    </row>
    <row r="5069" spans="1:4" x14ac:dyDescent="0.2">
      <c r="A5069" s="5">
        <v>5008</v>
      </c>
      <c r="B5069" s="138">
        <f>'Revenues 9-14'!C16</f>
        <v>227821</v>
      </c>
      <c r="D5069" s="2" t="str">
        <f t="shared" si="78"/>
        <v>Error?</v>
      </c>
    </row>
    <row r="5070" spans="1:4" x14ac:dyDescent="0.2">
      <c r="A5070" s="5">
        <v>5009</v>
      </c>
      <c r="B5070" s="138">
        <f>'Revenues 9-14'!C17</f>
        <v>32708</v>
      </c>
      <c r="D5070" s="2" t="str">
        <f t="shared" si="78"/>
        <v>Error?</v>
      </c>
    </row>
    <row r="5071" spans="1:4" x14ac:dyDescent="0.2">
      <c r="A5071" s="5">
        <v>5010</v>
      </c>
      <c r="B5071" s="138">
        <f>'Revenues 9-14'!C18</f>
        <v>265590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100818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100818</v>
      </c>
      <c r="C5090" s="2" t="s">
        <v>573</v>
      </c>
      <c r="D5090" s="2" t="str">
        <f t="shared" si="78"/>
        <v>Error?</v>
      </c>
    </row>
    <row r="5091" spans="1:4" x14ac:dyDescent="0.2">
      <c r="A5091" s="5">
        <v>5030</v>
      </c>
      <c r="B5091" s="138">
        <f>'Revenues 9-14'!C70</f>
        <v>16718</v>
      </c>
      <c r="D5091" s="2" t="str">
        <f t="shared" si="78"/>
        <v>Error?</v>
      </c>
    </row>
    <row r="5092" spans="1:4" x14ac:dyDescent="0.2">
      <c r="A5092" s="5">
        <v>5031</v>
      </c>
      <c r="B5092" s="138">
        <f>'Revenues 9-14'!C71</f>
        <v>158049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6999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321035</v>
      </c>
      <c r="C5096" s="2" t="s">
        <v>573</v>
      </c>
      <c r="D5096" s="2" t="str">
        <f t="shared" si="78"/>
        <v>Error?</v>
      </c>
    </row>
    <row r="5097" spans="1:4" x14ac:dyDescent="0.2">
      <c r="A5097" s="5">
        <v>5036</v>
      </c>
      <c r="B5097" s="138">
        <f>'Revenues 9-14'!C77</f>
        <v>40722</v>
      </c>
      <c r="D5097" s="2" t="str">
        <f t="shared" si="78"/>
        <v>Error?</v>
      </c>
    </row>
    <row r="5098" spans="1:4" x14ac:dyDescent="0.2">
      <c r="A5098" s="5">
        <v>5037</v>
      </c>
      <c r="B5098" s="138">
        <f>'Revenues 9-14'!C78</f>
        <v>11423</v>
      </c>
      <c r="D5098" s="2" t="str">
        <f t="shared" si="78"/>
        <v>Error?</v>
      </c>
    </row>
    <row r="5099" spans="1:4" x14ac:dyDescent="0.2">
      <c r="A5099" s="5">
        <v>5038</v>
      </c>
      <c r="B5099" s="138">
        <f>'Revenues 9-14'!C79</f>
        <v>5671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12455</v>
      </c>
      <c r="D5101" s="2" t="str">
        <f t="shared" si="78"/>
        <v>Error?</v>
      </c>
    </row>
    <row r="5102" spans="1:4" x14ac:dyDescent="0.2">
      <c r="A5102" s="5">
        <v>5041</v>
      </c>
      <c r="B5102" s="138">
        <f>'Revenues 9-14'!C82</f>
        <v>70271</v>
      </c>
      <c r="C5102" s="2" t="s">
        <v>573</v>
      </c>
      <c r="D5102" s="2" t="str">
        <f t="shared" si="78"/>
        <v>Error?</v>
      </c>
    </row>
    <row r="5103" spans="1:4" x14ac:dyDescent="0.2">
      <c r="A5103" s="5">
        <v>5042</v>
      </c>
      <c r="B5103" s="138">
        <f>'Revenues 9-14'!C84</f>
        <v>80942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2195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83137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108572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74258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155551</v>
      </c>
      <c r="D5119" s="2" t="str">
        <f t="shared" ref="D5119:D5182" si="79">IF(ISBLANK(B5119),"OK",IF(A5119-B5119=0,"OK","Error?"))</f>
        <v>Error?</v>
      </c>
    </row>
    <row r="5120" spans="1:4" x14ac:dyDescent="0.2">
      <c r="A5120" s="5">
        <v>5059</v>
      </c>
      <c r="B5120" s="138">
        <f>'Revenues 9-14'!C108</f>
        <v>344681</v>
      </c>
      <c r="C5120" s="2" t="s">
        <v>573</v>
      </c>
      <c r="D5120" s="2" t="str">
        <f t="shared" si="79"/>
        <v>Error?</v>
      </c>
    </row>
    <row r="5121" spans="1:4" x14ac:dyDescent="0.2">
      <c r="A5121" s="5">
        <v>5060</v>
      </c>
      <c r="B5121" s="138">
        <f>'Revenues 9-14'!C109</f>
        <v>5337682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3732970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3732970</v>
      </c>
      <c r="C5132" s="2" t="s">
        <v>573</v>
      </c>
      <c r="D5132" s="2" t="str">
        <f t="shared" si="79"/>
        <v>Error?</v>
      </c>
    </row>
    <row r="5133" spans="1:4" x14ac:dyDescent="0.2">
      <c r="A5133" s="5">
        <v>5072</v>
      </c>
      <c r="B5133" s="138">
        <f>'Revenues 9-14'!C125</f>
        <v>6393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18206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24599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22516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49138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4744</v>
      </c>
      <c r="D5167" s="2" t="str">
        <f t="shared" si="79"/>
        <v>Error?</v>
      </c>
    </row>
    <row r="5168" spans="1:4" x14ac:dyDescent="0.2">
      <c r="A5168" s="5">
        <v>5107</v>
      </c>
      <c r="B5168" s="138">
        <f>'Revenues 9-14'!C148</f>
        <v>17166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350734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449542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4182512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220582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60167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280749</v>
      </c>
      <c r="C5246" s="2" t="s">
        <v>573</v>
      </c>
      <c r="D5246" s="2" t="str">
        <f t="shared" si="80"/>
        <v>Error?</v>
      </c>
    </row>
    <row r="5247" spans="1:4" x14ac:dyDescent="0.2">
      <c r="A5247" s="5">
        <v>5186</v>
      </c>
      <c r="B5247" s="138">
        <f>'Revenues 9-14'!C200</f>
        <v>232828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9186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232828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325045</v>
      </c>
      <c r="D5278" s="2" t="str">
        <f t="shared" si="81"/>
        <v>Error?</v>
      </c>
    </row>
    <row r="5279" spans="1:4" x14ac:dyDescent="0.2">
      <c r="A5279" s="5">
        <v>5218</v>
      </c>
      <c r="B5279" s="138">
        <f>'Revenues 9-14'!C214</f>
        <v>12969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338014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999662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999662</v>
      </c>
      <c r="C5326" s="2" t="s">
        <v>573</v>
      </c>
      <c r="D5326" s="2" t="str">
        <f t="shared" si="82"/>
        <v>Error?</v>
      </c>
    </row>
    <row r="5327" spans="1:5" x14ac:dyDescent="0.2">
      <c r="A5327" s="5">
        <v>5266</v>
      </c>
      <c r="B5327" s="138">
        <f>'Revenues 9-14'!C268</f>
        <v>10519856</v>
      </c>
      <c r="C5327" s="2" t="s">
        <v>573</v>
      </c>
      <c r="D5327" s="2" t="str">
        <f t="shared" si="82"/>
        <v>Error?</v>
      </c>
    </row>
    <row r="5328" spans="1:5" x14ac:dyDescent="0.2">
      <c r="A5328" s="5">
        <v>5267</v>
      </c>
      <c r="B5328" s="138">
        <f>'Revenues 9-14'!D5</f>
        <v>1041818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1041818</v>
      </c>
      <c r="C5334" s="2" t="s">
        <v>573</v>
      </c>
      <c r="D5334" s="2" t="str">
        <f t="shared" si="82"/>
        <v>Error?</v>
      </c>
    </row>
    <row r="5335" spans="1:4" x14ac:dyDescent="0.2">
      <c r="A5335" s="5">
        <v>5274</v>
      </c>
      <c r="B5335" s="138">
        <f>'Revenues 9-14'!D14</f>
        <v>203</v>
      </c>
      <c r="D5335" s="2" t="str">
        <f t="shared" si="82"/>
        <v>Error?</v>
      </c>
    </row>
    <row r="5336" spans="1:4" x14ac:dyDescent="0.2">
      <c r="A5336" s="5">
        <v>5275</v>
      </c>
      <c r="B5336" s="138">
        <f>'Revenues 9-14'!D15</f>
        <v>1067</v>
      </c>
      <c r="D5336" s="2" t="str">
        <f t="shared" si="82"/>
        <v>Error?</v>
      </c>
    </row>
    <row r="5337" spans="1:4" x14ac:dyDescent="0.2">
      <c r="A5337" s="5">
        <v>5276</v>
      </c>
      <c r="B5337" s="138">
        <f>'Revenues 9-14'!D16</f>
        <v>456416</v>
      </c>
      <c r="D5337" s="2" t="str">
        <f t="shared" si="82"/>
        <v>Error?</v>
      </c>
    </row>
    <row r="5338" spans="1:4" x14ac:dyDescent="0.2">
      <c r="A5338" s="5">
        <v>5277</v>
      </c>
      <c r="B5338" s="138">
        <f>'Revenues 9-14'!D17</f>
        <v>8206</v>
      </c>
      <c r="D5338" s="2" t="str">
        <f t="shared" si="82"/>
        <v>Error?</v>
      </c>
    </row>
    <row r="5339" spans="1:4" x14ac:dyDescent="0.2">
      <c r="A5339" s="5">
        <v>5278</v>
      </c>
      <c r="B5339" s="138">
        <f>'Revenues 9-14'!D18</f>
        <v>465892</v>
      </c>
      <c r="C5339" s="2" t="s">
        <v>573</v>
      </c>
      <c r="D5339" s="2" t="str">
        <f t="shared" si="82"/>
        <v>Error?</v>
      </c>
    </row>
    <row r="5340" spans="1:4" x14ac:dyDescent="0.2">
      <c r="A5340" s="5">
        <v>5279</v>
      </c>
      <c r="B5340" s="138">
        <f>'Revenues 9-14'!D65</f>
        <v>20208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20208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3212</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3212</v>
      </c>
      <c r="C5348" s="2" t="s">
        <v>573</v>
      </c>
      <c r="D5348" s="2" t="str">
        <f t="shared" si="82"/>
        <v>Error?</v>
      </c>
    </row>
    <row r="5349" spans="1:4" x14ac:dyDescent="0.2">
      <c r="A5349" s="5">
        <v>5288</v>
      </c>
      <c r="B5349" s="138">
        <f>'Revenues 9-14'!D95</f>
        <v>1665</v>
      </c>
      <c r="D5349" s="2" t="str">
        <f t="shared" si="82"/>
        <v>Error?</v>
      </c>
    </row>
    <row r="5350" spans="1:4" x14ac:dyDescent="0.2">
      <c r="A5350" s="5">
        <v>5289</v>
      </c>
      <c r="B5350" s="138">
        <f>'Revenues 9-14'!D96</f>
        <v>171736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6680</v>
      </c>
      <c r="D5354" s="2" t="str">
        <f t="shared" si="82"/>
        <v>Error?</v>
      </c>
    </row>
    <row r="5355" spans="1:4" x14ac:dyDescent="0.2">
      <c r="A5355" s="5">
        <v>5294</v>
      </c>
      <c r="B5355" s="138">
        <f>'Revenues 9-14'!D108</f>
        <v>180081</v>
      </c>
      <c r="C5355" s="2" t="s">
        <v>573</v>
      </c>
      <c r="D5355" s="2" t="str">
        <f t="shared" si="82"/>
        <v>Error?</v>
      </c>
    </row>
    <row r="5356" spans="1:4" x14ac:dyDescent="0.2">
      <c r="A5356" s="5">
        <v>5295</v>
      </c>
      <c r="B5356" s="138">
        <f>'Revenues 9-14'!D109</f>
        <v>1711211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1711211</v>
      </c>
      <c r="C5508" s="2" t="s">
        <v>573</v>
      </c>
      <c r="D5508" s="2" t="str">
        <f t="shared" si="85"/>
        <v>Error?</v>
      </c>
    </row>
    <row r="5509" spans="1:4" x14ac:dyDescent="0.2">
      <c r="A5509" s="5">
        <v>5448</v>
      </c>
      <c r="B5509" s="138">
        <f>'Revenues 9-14'!E5</f>
        <v>398825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398825</v>
      </c>
      <c r="C5513" s="2" t="s">
        <v>573</v>
      </c>
      <c r="D5513" s="2" t="str">
        <f t="shared" si="85"/>
        <v>Error?</v>
      </c>
    </row>
    <row r="5514" spans="1:4" x14ac:dyDescent="0.2">
      <c r="A5514" s="5">
        <v>5453</v>
      </c>
      <c r="B5514" s="138">
        <f>'Revenues 9-14'!E14</f>
        <v>78</v>
      </c>
      <c r="D5514" s="2" t="str">
        <f t="shared" si="85"/>
        <v>Error?</v>
      </c>
    </row>
    <row r="5515" spans="1:4" x14ac:dyDescent="0.2">
      <c r="A5515" s="5">
        <v>5454</v>
      </c>
      <c r="B5515" s="138">
        <f>'Revenues 9-14'!E15</f>
        <v>408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3140</v>
      </c>
      <c r="D5517" s="2" t="str">
        <f t="shared" si="85"/>
        <v>Error?</v>
      </c>
    </row>
    <row r="5518" spans="1:4" x14ac:dyDescent="0.2">
      <c r="A5518" s="5">
        <v>5457</v>
      </c>
      <c r="B5518" s="138">
        <f>'Revenues 9-14'!E18</f>
        <v>3626</v>
      </c>
      <c r="C5518" s="2" t="s">
        <v>573</v>
      </c>
      <c r="D5518" s="2" t="str">
        <f t="shared" si="85"/>
        <v>Error?</v>
      </c>
    </row>
    <row r="5519" spans="1:4" x14ac:dyDescent="0.2">
      <c r="A5519" s="5">
        <v>5458</v>
      </c>
      <c r="B5519" s="138">
        <f>'Revenues 9-14'!E65</f>
        <v>2530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2530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205750</v>
      </c>
      <c r="C5526" s="2" t="s">
        <v>573</v>
      </c>
      <c r="D5526" s="2" t="str">
        <f t="shared" si="85"/>
        <v>Error?</v>
      </c>
    </row>
    <row r="5527" spans="1:4" x14ac:dyDescent="0.2">
      <c r="A5527" s="5">
        <v>5466</v>
      </c>
      <c r="B5527" s="138">
        <f>'Revenues 9-14'!E109</f>
        <v>610731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610731</v>
      </c>
      <c r="C5552" s="2" t="s">
        <v>573</v>
      </c>
      <c r="D5552" s="2" t="str">
        <f t="shared" si="85"/>
        <v>Error?</v>
      </c>
    </row>
    <row r="5553" spans="1:4" x14ac:dyDescent="0.2">
      <c r="A5553" s="5">
        <v>5492</v>
      </c>
      <c r="B5553" s="138">
        <f>'Revenues 9-14'!F5</f>
        <v>297748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297748</v>
      </c>
      <c r="C5557" s="2" t="s">
        <v>573</v>
      </c>
      <c r="D5557" s="2" t="str">
        <f t="shared" si="85"/>
        <v>Error?</v>
      </c>
    </row>
    <row r="5558" spans="1:4" x14ac:dyDescent="0.2">
      <c r="A5558" s="5">
        <v>5497</v>
      </c>
      <c r="B5558" s="138">
        <f>'Revenues 9-14'!F14</f>
        <v>58</v>
      </c>
      <c r="D5558" s="2" t="str">
        <f t="shared" si="85"/>
        <v>Error?</v>
      </c>
    </row>
    <row r="5559" spans="1:4" x14ac:dyDescent="0.2">
      <c r="A5559" s="5">
        <v>5498</v>
      </c>
      <c r="B5559" s="138">
        <f>'Revenues 9-14'!F15</f>
        <v>305</v>
      </c>
      <c r="D5559" s="2" t="str">
        <f t="shared" si="85"/>
        <v>Error?</v>
      </c>
    </row>
    <row r="5560" spans="1:4" x14ac:dyDescent="0.2">
      <c r="A5560" s="5">
        <v>5499</v>
      </c>
      <c r="B5560" s="138">
        <f>'Revenues 9-14'!F16</f>
        <v>100000</v>
      </c>
      <c r="D5560" s="2" t="str">
        <f t="shared" si="85"/>
        <v>Error?</v>
      </c>
    </row>
    <row r="5561" spans="1:4" x14ac:dyDescent="0.2">
      <c r="A5561" s="5">
        <v>5500</v>
      </c>
      <c r="B5561" s="138">
        <f>'Revenues 9-14'!F17</f>
        <v>2345</v>
      </c>
      <c r="D5561" s="2" t="str">
        <f t="shared" si="85"/>
        <v>Error?</v>
      </c>
    </row>
    <row r="5562" spans="1:4" x14ac:dyDescent="0.2">
      <c r="A5562" s="5">
        <v>5501</v>
      </c>
      <c r="B5562" s="138">
        <f>'Revenues 9-14'!F18</f>
        <v>102708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6737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6737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50000</v>
      </c>
      <c r="D5585" s="2" t="str">
        <f t="shared" si="86"/>
        <v>Error?</v>
      </c>
    </row>
    <row r="5586" spans="1:4" x14ac:dyDescent="0.2">
      <c r="A5586" s="5">
        <v>5525</v>
      </c>
      <c r="B5586" s="138">
        <f>'Revenues 9-14'!F107</f>
        <v>1756</v>
      </c>
      <c r="D5586" s="2" t="str">
        <f t="shared" si="86"/>
        <v>Error?</v>
      </c>
    </row>
    <row r="5587" spans="1:4" x14ac:dyDescent="0.2">
      <c r="A5587" s="5">
        <v>5526</v>
      </c>
      <c r="B5587" s="138">
        <f>'Revenues 9-14'!F108</f>
        <v>51756</v>
      </c>
      <c r="C5587" s="2" t="s">
        <v>573</v>
      </c>
      <c r="D5587" s="2" t="str">
        <f t="shared" si="86"/>
        <v>Error?</v>
      </c>
    </row>
    <row r="5588" spans="1:4" x14ac:dyDescent="0.2">
      <c r="A5588" s="5">
        <v>5527</v>
      </c>
      <c r="B5588" s="138">
        <f>'Revenues 9-14'!F109</f>
        <v>458949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482272</v>
      </c>
      <c r="D5615" s="2" t="str">
        <f t="shared" si="86"/>
        <v>Error?</v>
      </c>
    </row>
    <row r="5616" spans="1:4" x14ac:dyDescent="0.2">
      <c r="A5616" s="10">
        <v>5555</v>
      </c>
      <c r="D5616" s="2" t="str">
        <f t="shared" si="86"/>
        <v>OK</v>
      </c>
    </row>
    <row r="5617" spans="1:5" x14ac:dyDescent="0.2">
      <c r="A5617" s="5">
        <v>5556</v>
      </c>
      <c r="B5617" s="138">
        <f>'Revenues 9-14'!F153</f>
        <v>100463</v>
      </c>
      <c r="D5617" s="2" t="str">
        <f t="shared" si="86"/>
        <v>Error?</v>
      </c>
    </row>
    <row r="5618" spans="1:5" x14ac:dyDescent="0.2">
      <c r="A5618" s="5">
        <v>5557</v>
      </c>
      <c r="B5618" s="138">
        <f>'Revenues 9-14'!F155</f>
        <v>582735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582735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582735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1041684</v>
      </c>
      <c r="C5720" s="2" t="s">
        <v>573</v>
      </c>
      <c r="D5720" s="2" t="str">
        <f t="shared" si="88"/>
        <v>Error?</v>
      </c>
    </row>
    <row r="5721" spans="1:4" x14ac:dyDescent="0.2">
      <c r="A5721" s="5">
        <v>5660</v>
      </c>
      <c r="B5721" s="138">
        <f>'Revenues 9-14'!G5</f>
        <v>222929</v>
      </c>
      <c r="D5721" s="2" t="str">
        <f t="shared" si="88"/>
        <v>Error?</v>
      </c>
    </row>
    <row r="5722" spans="1:4" x14ac:dyDescent="0.2">
      <c r="A5722" s="5">
        <v>5661</v>
      </c>
      <c r="B5722" s="138">
        <f>'Revenues 9-14'!G7</f>
        <v>0</v>
      </c>
      <c r="D5722" s="2" t="str">
        <f t="shared" si="88"/>
        <v>Error?</v>
      </c>
    </row>
    <row r="5723" spans="1:4" x14ac:dyDescent="0.2">
      <c r="A5723" s="5">
        <v>5662</v>
      </c>
      <c r="B5723" s="138">
        <f>'Revenues 9-14'!G8</f>
        <v>268474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491403</v>
      </c>
      <c r="C5725" s="2" t="s">
        <v>573</v>
      </c>
      <c r="D5725" s="2" t="str">
        <f t="shared" si="88"/>
        <v>Error?</v>
      </c>
    </row>
    <row r="5726" spans="1:4" x14ac:dyDescent="0.2">
      <c r="A5726" s="5">
        <v>5665</v>
      </c>
      <c r="B5726" s="138">
        <f>'Revenues 9-14'!G14</f>
        <v>96</v>
      </c>
      <c r="D5726" s="2" t="str">
        <f t="shared" si="88"/>
        <v>Error?</v>
      </c>
    </row>
    <row r="5727" spans="1:4" x14ac:dyDescent="0.2">
      <c r="A5727" s="5">
        <v>5666</v>
      </c>
      <c r="B5727" s="138">
        <f>'Revenues 9-14'!G15</f>
        <v>503</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3869</v>
      </c>
      <c r="D5729" s="2" t="str">
        <f t="shared" si="88"/>
        <v>Error?</v>
      </c>
    </row>
    <row r="5730" spans="1:4" x14ac:dyDescent="0.2">
      <c r="A5730" s="5">
        <v>5669</v>
      </c>
      <c r="B5730" s="138">
        <f>'Revenues 9-14'!G18</f>
        <v>24468</v>
      </c>
      <c r="C5730" s="2" t="s">
        <v>573</v>
      </c>
      <c r="D5730" s="2" t="str">
        <f t="shared" si="88"/>
        <v>Error?</v>
      </c>
    </row>
    <row r="5731" spans="1:4" x14ac:dyDescent="0.2">
      <c r="A5731" s="5">
        <v>5670</v>
      </c>
      <c r="B5731" s="138">
        <f>'Revenues 9-14'!G65</f>
        <v>5640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5640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382</v>
      </c>
      <c r="D5735" s="2" t="str">
        <f t="shared" si="88"/>
        <v>Error?</v>
      </c>
    </row>
    <row r="5736" spans="1:4" x14ac:dyDescent="0.2">
      <c r="A5736" s="5">
        <v>5675</v>
      </c>
      <c r="B5736" s="138">
        <f>'Revenues 9-14'!G107</f>
        <v>6207</v>
      </c>
      <c r="D5736" s="2" t="str">
        <f t="shared" si="88"/>
        <v>Error?</v>
      </c>
    </row>
    <row r="5737" spans="1:4" x14ac:dyDescent="0.2">
      <c r="A5737" s="5">
        <v>5676</v>
      </c>
      <c r="B5737" s="138">
        <f>'Revenues 9-14'!G108</f>
        <v>6589</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528100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3896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3896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156994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160890</v>
      </c>
      <c r="C5915" s="2" t="s">
        <v>573</v>
      </c>
      <c r="D5915" s="2" t="str">
        <f t="shared" si="91"/>
        <v>Error?</v>
      </c>
    </row>
    <row r="5916" spans="1:4" x14ac:dyDescent="0.2">
      <c r="A5916" s="5">
        <v>5855</v>
      </c>
      <c r="B5916" s="138">
        <f>'Revenues 9-14'!I5</f>
        <v>74437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74437</v>
      </c>
      <c r="C5918" s="2" t="s">
        <v>573</v>
      </c>
      <c r="D5918" s="2" t="str">
        <f t="shared" si="91"/>
        <v>Error?</v>
      </c>
    </row>
    <row r="5919" spans="1:4" x14ac:dyDescent="0.2">
      <c r="A5919" s="5">
        <v>5858</v>
      </c>
      <c r="B5919" s="138">
        <f>'Revenues 9-14'!I14</f>
        <v>14</v>
      </c>
      <c r="D5919" s="2" t="str">
        <f t="shared" si="91"/>
        <v>Error?</v>
      </c>
    </row>
    <row r="5920" spans="1:4" x14ac:dyDescent="0.2">
      <c r="A5920" s="5">
        <v>5859</v>
      </c>
      <c r="B5920" s="138">
        <f>'Revenues 9-14'!I15</f>
        <v>76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586</v>
      </c>
      <c r="D5922" s="2" t="str">
        <f t="shared" si="91"/>
        <v>Error?</v>
      </c>
    </row>
    <row r="5923" spans="1:4" x14ac:dyDescent="0.2">
      <c r="A5923" s="5">
        <v>5862</v>
      </c>
      <c r="B5923" s="138">
        <f>'Revenues 9-14'!I18</f>
        <v>676</v>
      </c>
      <c r="C5923" s="2" t="s">
        <v>573</v>
      </c>
      <c r="D5923" s="2" t="str">
        <f t="shared" si="91"/>
        <v>Error?</v>
      </c>
    </row>
    <row r="5924" spans="1:4" x14ac:dyDescent="0.2">
      <c r="A5924" s="5">
        <v>5863</v>
      </c>
      <c r="B5924" s="138">
        <f>'Revenues 9-14'!I65</f>
        <v>20818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20818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95931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74437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74437</v>
      </c>
      <c r="C5987" s="2" t="s">
        <v>573</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76</v>
      </c>
      <c r="D5989" s="2" t="str">
        <f t="shared" si="92"/>
        <v>Error?</v>
      </c>
    </row>
    <row r="5990" spans="1:4" x14ac:dyDescent="0.2">
      <c r="A5990" s="5">
        <v>5929</v>
      </c>
      <c r="B5990" s="138">
        <f>'Revenues 9-14'!K16</f>
        <v>0</v>
      </c>
      <c r="D5990" s="2" t="str">
        <f t="shared" si="92"/>
        <v>Error?</v>
      </c>
    </row>
    <row r="5991" spans="1:4" x14ac:dyDescent="0.2">
      <c r="A5991" s="5">
        <v>5930</v>
      </c>
      <c r="B5991" s="138">
        <f>'Revenues 9-14'!K17</f>
        <v>586</v>
      </c>
      <c r="D5991" s="2" t="str">
        <f t="shared" si="92"/>
        <v>Error?</v>
      </c>
    </row>
    <row r="5992" spans="1:4" x14ac:dyDescent="0.2">
      <c r="A5992" s="5">
        <v>5931</v>
      </c>
      <c r="B5992" s="138">
        <f>'Revenues 9-14'!K18</f>
        <v>676</v>
      </c>
      <c r="C5992" s="2" t="s">
        <v>573</v>
      </c>
      <c r="D5992" s="2" t="str">
        <f t="shared" si="92"/>
        <v>Error?</v>
      </c>
    </row>
    <row r="5993" spans="1:4" x14ac:dyDescent="0.2">
      <c r="A5993" s="5">
        <v>5932</v>
      </c>
      <c r="B5993" s="138">
        <f>'Revenues 9-14'!K65</f>
        <v>37366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37366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112479</v>
      </c>
      <c r="C6023" s="2" t="s">
        <v>573</v>
      </c>
      <c r="D6023" s="2" t="str">
        <f t="shared" si="93"/>
        <v>Error?</v>
      </c>
    </row>
    <row r="6024" spans="1:5" x14ac:dyDescent="0.2">
      <c r="A6024" s="5">
        <v>5963</v>
      </c>
      <c r="B6024" s="138">
        <f>'Revenues 9-14'!G109</f>
        <v>528100</v>
      </c>
      <c r="C6024" s="2" t="s">
        <v>573</v>
      </c>
      <c r="D6024" s="2" t="str">
        <f t="shared" si="93"/>
        <v>Error?</v>
      </c>
    </row>
    <row r="6025" spans="1:5" x14ac:dyDescent="0.2">
      <c r="A6025" s="5">
        <v>5964</v>
      </c>
      <c r="B6025" s="138">
        <f>'Revenues 9-14'!H109</f>
        <v>160890</v>
      </c>
      <c r="C6025" s="2" t="s">
        <v>573</v>
      </c>
      <c r="D6025" s="2" t="str">
        <f t="shared" si="93"/>
        <v>Error?</v>
      </c>
    </row>
    <row r="6026" spans="1:5" x14ac:dyDescent="0.2">
      <c r="A6026" s="5">
        <v>5965</v>
      </c>
      <c r="B6026" s="138">
        <f>'Revenues 9-14'!I109</f>
        <v>95931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112479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139269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45999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1215.4000000000001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1058</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721593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721593</v>
      </c>
      <c r="D6215" s="2" t="str">
        <f t="shared" si="96"/>
        <v>Error?</v>
      </c>
      <c r="E6215" s="2" t="s">
        <v>190</v>
      </c>
    </row>
    <row r="6216" spans="1:5" x14ac:dyDescent="0.2">
      <c r="A6216">
        <v>6155</v>
      </c>
      <c r="B6216" s="138">
        <f>'Assets-Liab 5-6'!J41</f>
        <v>721593</v>
      </c>
      <c r="D6216" s="2" t="str">
        <f t="shared" si="96"/>
        <v>Error?</v>
      </c>
      <c r="E6216" s="2" t="s">
        <v>190</v>
      </c>
    </row>
    <row r="6217" spans="1:5" x14ac:dyDescent="0.2">
      <c r="A6217">
        <v>6156</v>
      </c>
      <c r="B6217" s="138">
        <f>'Assets-Liab 5-6'!J4</f>
        <v>721593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646812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646812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646812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601107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601107</v>
      </c>
      <c r="D6229" s="2" t="str">
        <f t="shared" si="96"/>
        <v>Error?</v>
      </c>
      <c r="E6229" s="2" t="s">
        <v>190</v>
      </c>
    </row>
    <row r="6230" spans="1:5" x14ac:dyDescent="0.2">
      <c r="A6230">
        <v>6169</v>
      </c>
      <c r="B6230" s="138">
        <f>'Acct Summary 7-8'!J20</f>
        <v>45705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45705</v>
      </c>
      <c r="D6263" s="2" t="str">
        <f t="shared" si="96"/>
        <v>Error?</v>
      </c>
      <c r="E6263" s="2" t="s">
        <v>190</v>
      </c>
    </row>
    <row r="6264" spans="1:5" x14ac:dyDescent="0.2">
      <c r="A6264">
        <v>6203</v>
      </c>
      <c r="B6264" s="138">
        <f>'Acct Summary 7-8'!J79</f>
        <v>675888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721593</v>
      </c>
      <c r="D6266" s="2" t="str">
        <f t="shared" si="96"/>
        <v>Error?</v>
      </c>
      <c r="E6266" s="2" t="s">
        <v>190</v>
      </c>
    </row>
    <row r="6267" spans="1:5" x14ac:dyDescent="0.2">
      <c r="A6267">
        <v>6206</v>
      </c>
      <c r="B6267" s="138">
        <f>'Acct Summary 7-8'!C82</f>
        <v>220307</v>
      </c>
      <c r="D6267" s="2" t="str">
        <f t="shared" si="96"/>
        <v>Error?</v>
      </c>
      <c r="E6267" s="2" t="s">
        <v>190</v>
      </c>
    </row>
    <row r="6268" spans="1:5" x14ac:dyDescent="0.2">
      <c r="A6268">
        <v>6207</v>
      </c>
      <c r="B6268" s="138">
        <f>'Acct Summary 7-8'!D82</f>
        <v>391030</v>
      </c>
      <c r="D6268" s="2" t="str">
        <f t="shared" si="96"/>
        <v>Error?</v>
      </c>
      <c r="E6268" s="2" t="s">
        <v>190</v>
      </c>
    </row>
    <row r="6269" spans="1:5" x14ac:dyDescent="0.2">
      <c r="A6269">
        <v>6208</v>
      </c>
      <c r="B6269" s="138">
        <f>'Acct Summary 7-8'!E82</f>
        <v>14755</v>
      </c>
      <c r="D6269" s="2" t="str">
        <f t="shared" si="96"/>
        <v>Error?</v>
      </c>
      <c r="E6269" s="2" t="s">
        <v>190</v>
      </c>
    </row>
    <row r="6270" spans="1:5" x14ac:dyDescent="0.2">
      <c r="A6270">
        <v>6209</v>
      </c>
      <c r="B6270" s="138">
        <f>'Acct Summary 7-8'!F82</f>
        <v>86439</v>
      </c>
      <c r="D6270" s="2" t="str">
        <f t="shared" si="96"/>
        <v>Error?</v>
      </c>
      <c r="E6270" s="2" t="s">
        <v>190</v>
      </c>
    </row>
    <row r="6271" spans="1:5" x14ac:dyDescent="0.2">
      <c r="A6271">
        <v>6210</v>
      </c>
      <c r="B6271" s="138">
        <f>'Acct Summary 7-8'!G82</f>
        <v>93410</v>
      </c>
      <c r="D6271" s="2" t="str">
        <f t="shared" ref="D6271:D6334" si="97">IF(ISBLANK(B6271),"OK",IF(A6271-B6271=0,"OK","Error?"))</f>
        <v>Error?</v>
      </c>
      <c r="E6271" s="2" t="s">
        <v>190</v>
      </c>
    </row>
    <row r="6272" spans="1:5" x14ac:dyDescent="0.2">
      <c r="A6272">
        <v>6211</v>
      </c>
      <c r="B6272" s="138">
        <f>'Acct Summary 7-8'!H82</f>
        <v>160890</v>
      </c>
      <c r="D6272" s="2" t="str">
        <f t="shared" si="97"/>
        <v>Error?</v>
      </c>
      <c r="E6272" s="2" t="s">
        <v>190</v>
      </c>
    </row>
    <row r="6273" spans="1:5" x14ac:dyDescent="0.2">
      <c r="A6273">
        <v>6212</v>
      </c>
      <c r="B6273" s="138">
        <f>'Acct Summary 7-8'!I82</f>
        <v>95931</v>
      </c>
      <c r="D6273" s="2" t="str">
        <f t="shared" si="97"/>
        <v>Error?</v>
      </c>
      <c r="E6273" s="2" t="s">
        <v>190</v>
      </c>
    </row>
    <row r="6274" spans="1:5" x14ac:dyDescent="0.2">
      <c r="A6274">
        <v>6213</v>
      </c>
      <c r="B6274" s="138">
        <f>'Acct Summary 7-8'!J82</f>
        <v>45705</v>
      </c>
      <c r="D6274" s="2" t="str">
        <f t="shared" si="97"/>
        <v>Error?</v>
      </c>
      <c r="E6274" s="2" t="s">
        <v>190</v>
      </c>
    </row>
    <row r="6275" spans="1:5" x14ac:dyDescent="0.2">
      <c r="A6275">
        <v>6214</v>
      </c>
      <c r="B6275" s="138">
        <f>'Acct Summary 7-8'!K82</f>
        <v>-1378562</v>
      </c>
      <c r="D6275" s="2" t="str">
        <f t="shared" si="97"/>
        <v>Error?</v>
      </c>
      <c r="E6275" s="2" t="s">
        <v>190</v>
      </c>
    </row>
    <row r="6276" spans="1:5" x14ac:dyDescent="0.2">
      <c r="A6276">
        <v>6215</v>
      </c>
      <c r="B6276" s="138">
        <f>'Acct Summary 7-8'!C83</f>
        <v>0.11896744078547336</v>
      </c>
      <c r="D6276" s="2" t="str">
        <f t="shared" si="97"/>
        <v>Error?</v>
      </c>
      <c r="E6276" s="2" t="s">
        <v>190</v>
      </c>
    </row>
    <row r="6277" spans="1:5" x14ac:dyDescent="0.2">
      <c r="A6277">
        <v>6216</v>
      </c>
      <c r="B6277" s="138">
        <f>'Acct Summary 7-8'!D83</f>
        <v>0.19317106232969153</v>
      </c>
      <c r="D6277" s="2" t="str">
        <f t="shared" si="97"/>
        <v>Error?</v>
      </c>
      <c r="E6277" s="2" t="s">
        <v>190</v>
      </c>
    </row>
    <row r="6278" spans="1:5" x14ac:dyDescent="0.2">
      <c r="A6278">
        <v>6217</v>
      </c>
      <c r="B6278" s="138">
        <f>'Acct Summary 7-8'!E83</f>
        <v>5.9763941544343994E-2</v>
      </c>
      <c r="D6278" s="2" t="str">
        <f t="shared" si="97"/>
        <v>Error?</v>
      </c>
      <c r="E6278" s="2" t="s">
        <v>190</v>
      </c>
    </row>
    <row r="6279" spans="1:5" x14ac:dyDescent="0.2">
      <c r="A6279">
        <v>6218</v>
      </c>
      <c r="B6279" s="138">
        <f>'Acct Summary 7-8'!F83</f>
        <v>0.12601410896177109</v>
      </c>
      <c r="D6279" s="2" t="str">
        <f t="shared" si="97"/>
        <v>Error?</v>
      </c>
      <c r="E6279" s="2" t="s">
        <v>190</v>
      </c>
    </row>
    <row r="6280" spans="1:5" x14ac:dyDescent="0.2">
      <c r="A6280">
        <v>6219</v>
      </c>
      <c r="B6280" s="138">
        <f>'Acct Summary 7-8'!G83</f>
        <v>0.16945309155292393</v>
      </c>
      <c r="D6280" s="2" t="str">
        <f t="shared" si="97"/>
        <v>Error?</v>
      </c>
      <c r="E6280" s="2" t="s">
        <v>190</v>
      </c>
    </row>
    <row r="6281" spans="1:5" x14ac:dyDescent="0.2">
      <c r="A6281">
        <v>6220</v>
      </c>
      <c r="B6281" s="138">
        <f>'Acct Summary 7-8'!H83</f>
        <v>0.424871725128671</v>
      </c>
      <c r="D6281" s="2" t="str">
        <f t="shared" si="97"/>
        <v>Error?</v>
      </c>
      <c r="E6281" s="2" t="s">
        <v>190</v>
      </c>
    </row>
    <row r="6282" spans="1:5" x14ac:dyDescent="0.2">
      <c r="A6282">
        <v>6221</v>
      </c>
      <c r="B6282" s="138">
        <f>'Acct Summary 7-8'!I83</f>
        <v>5.1380395206617413E-2</v>
      </c>
      <c r="D6282" s="2" t="str">
        <f t="shared" si="97"/>
        <v>Error?</v>
      </c>
      <c r="E6282" s="2" t="s">
        <v>190</v>
      </c>
    </row>
    <row r="6283" spans="1:5" x14ac:dyDescent="0.2">
      <c r="A6283">
        <v>6222</v>
      </c>
      <c r="B6283" s="138">
        <f>'Acct Summary 7-8'!J83</f>
        <v>6.3339029064860664E-2</v>
      </c>
      <c r="D6283" s="2" t="str">
        <f t="shared" si="97"/>
        <v>Error?</v>
      </c>
      <c r="E6283" s="2" t="s">
        <v>190</v>
      </c>
    </row>
    <row r="6284" spans="1:5" x14ac:dyDescent="0.2">
      <c r="A6284">
        <v>6223</v>
      </c>
      <c r="B6284" s="138">
        <f>'Acct Summary 7-8'!K83</f>
        <v>-0.78098327518947275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535743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535743</v>
      </c>
      <c r="D6301" s="2" t="str">
        <f t="shared" si="97"/>
        <v>Error?</v>
      </c>
      <c r="E6301" s="2" t="s">
        <v>190</v>
      </c>
    </row>
    <row r="6302" spans="1:5" x14ac:dyDescent="0.2">
      <c r="A6302">
        <v>6241</v>
      </c>
      <c r="B6302" s="138">
        <f>'Revenues 9-14'!J14</f>
        <v>104</v>
      </c>
      <c r="D6302" s="2" t="str">
        <f t="shared" si="97"/>
        <v>Error?</v>
      </c>
      <c r="E6302" s="2" t="s">
        <v>190</v>
      </c>
    </row>
    <row r="6303" spans="1:5" x14ac:dyDescent="0.2">
      <c r="A6303">
        <v>6242</v>
      </c>
      <c r="B6303" s="138">
        <f>'Revenues 9-14'!J15</f>
        <v>549</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4220</v>
      </c>
      <c r="D6305" s="2" t="str">
        <f t="shared" si="97"/>
        <v>Error?</v>
      </c>
      <c r="E6305" s="2" t="s">
        <v>190</v>
      </c>
    </row>
    <row r="6306" spans="1:5" x14ac:dyDescent="0.2">
      <c r="A6306">
        <v>6245</v>
      </c>
      <c r="B6306" s="138">
        <f>'Revenues 9-14'!J18</f>
        <v>4873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8516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8516</v>
      </c>
      <c r="D6318" s="2" t="str">
        <f t="shared" si="97"/>
        <v>Error?</v>
      </c>
      <c r="E6318" s="2" t="s">
        <v>190</v>
      </c>
    </row>
    <row r="6319" spans="1:5" x14ac:dyDescent="0.2">
      <c r="A6319">
        <v>6258</v>
      </c>
      <c r="B6319" s="138">
        <f>'Revenues 9-14'!J96</f>
        <v>93870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3810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6300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97680</v>
      </c>
      <c r="D6351" s="2" t="str">
        <f t="shared" si="98"/>
        <v>Error?</v>
      </c>
      <c r="E6351" s="2" t="s">
        <v>190</v>
      </c>
    </row>
    <row r="6352" spans="1:5" x14ac:dyDescent="0.2">
      <c r="A6352">
        <v>6291</v>
      </c>
      <c r="B6352" s="138">
        <f>'Revenues 9-14'!J109</f>
        <v>646812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26622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124113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190171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57496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106773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174834</v>
      </c>
      <c r="D6983" s="2" t="str">
        <f t="shared" si="108"/>
        <v>Error?</v>
      </c>
    </row>
    <row r="6984" spans="1:4" x14ac:dyDescent="0.2">
      <c r="A6984">
        <v>6923</v>
      </c>
      <c r="B6984" s="138">
        <f>'Expenditures 15-22'!K86</f>
        <v>174834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174834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601107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646812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5766</v>
      </c>
      <c r="D7073" s="2" t="str">
        <f t="shared" si="109"/>
        <v>Error?</v>
      </c>
    </row>
    <row r="7074" spans="1:4" x14ac:dyDescent="0.2">
      <c r="A7074">
        <v>7013</v>
      </c>
      <c r="B7074" s="138">
        <f>'Expenditures 15-22'!K216</f>
        <v>5766</v>
      </c>
      <c r="D7074" s="2" t="str">
        <f t="shared" si="109"/>
        <v>Error?</v>
      </c>
    </row>
    <row r="7075" spans="1:4" x14ac:dyDescent="0.2">
      <c r="A7075">
        <v>7014</v>
      </c>
      <c r="B7075" s="138">
        <f>'Expenditures 15-22'!D218</f>
        <v>3191</v>
      </c>
      <c r="D7075" s="2" t="str">
        <f t="shared" si="109"/>
        <v>Error?</v>
      </c>
    </row>
    <row r="7076" spans="1:4" x14ac:dyDescent="0.2">
      <c r="A7076">
        <v>7015</v>
      </c>
      <c r="B7076" s="138">
        <f>'Expenditures 15-22'!K218</f>
        <v>3191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1109</v>
      </c>
      <c r="D7079" s="2" t="str">
        <f t="shared" si="109"/>
        <v>Error?</v>
      </c>
    </row>
    <row r="7080" spans="1:4" x14ac:dyDescent="0.2">
      <c r="A7080">
        <v>7019</v>
      </c>
      <c r="B7080" s="138">
        <f>'Expenditures 15-22'!K226</f>
        <v>1109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16135</v>
      </c>
      <c r="D7093" s="2" t="str">
        <f t="shared" si="109"/>
        <v>Error?</v>
      </c>
    </row>
    <row r="7094" spans="1:4" x14ac:dyDescent="0.2">
      <c r="A7094">
        <v>7033</v>
      </c>
      <c r="B7094" s="138">
        <f>'Expenditures 15-22'!K254</f>
        <v>16135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41203</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41203</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58238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58238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81226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81226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59570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59570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301242</v>
      </c>
      <c r="D7172" s="2" t="str">
        <f t="shared" si="111"/>
        <v>Error?</v>
      </c>
    </row>
    <row r="7173" spans="1:4" x14ac:dyDescent="0.2">
      <c r="A7173">
        <v>7112</v>
      </c>
      <c r="B7173" s="138">
        <f>'Expenditures 15-22'!D325</f>
        <v>7794</v>
      </c>
      <c r="D7173" s="2" t="str">
        <f t="shared" si="111"/>
        <v>Error?</v>
      </c>
    </row>
    <row r="7174" spans="1:4" x14ac:dyDescent="0.2">
      <c r="A7174">
        <v>7113</v>
      </c>
      <c r="B7174" s="138">
        <f>'Expenditures 15-22'!E325</f>
        <v>16052</v>
      </c>
      <c r="D7174" s="2" t="str">
        <f t="shared" si="111"/>
        <v>Error?</v>
      </c>
    </row>
    <row r="7175" spans="1:4" x14ac:dyDescent="0.2">
      <c r="A7175">
        <v>7114</v>
      </c>
      <c r="B7175" s="138">
        <f>'Expenditures 15-22'!F325</f>
        <v>440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325528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34636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34636</v>
      </c>
      <c r="D7198" s="2" t="str">
        <f t="shared" si="111"/>
        <v>Error?</v>
      </c>
    </row>
    <row r="7199" spans="1:4" x14ac:dyDescent="0.2">
      <c r="A7199">
        <v>7138</v>
      </c>
      <c r="B7199" s="138">
        <f>'Expenditures 15-22'!C330</f>
        <v>301242</v>
      </c>
      <c r="D7199" s="2" t="str">
        <f t="shared" si="111"/>
        <v>Error?</v>
      </c>
    </row>
    <row r="7200" spans="1:4" x14ac:dyDescent="0.2">
      <c r="A7200">
        <v>7139</v>
      </c>
      <c r="B7200" s="138">
        <f>'Expenditures 15-22'!D330</f>
        <v>7794</v>
      </c>
      <c r="D7200" s="2" t="str">
        <f t="shared" si="111"/>
        <v>Error?</v>
      </c>
    </row>
    <row r="7201" spans="1:4" x14ac:dyDescent="0.2">
      <c r="A7201">
        <v>7140</v>
      </c>
      <c r="B7201" s="138">
        <f>'Expenditures 15-22'!E330</f>
        <v>291631</v>
      </c>
      <c r="D7201" s="2" t="str">
        <f t="shared" si="111"/>
        <v>Error?</v>
      </c>
    </row>
    <row r="7202" spans="1:4" x14ac:dyDescent="0.2">
      <c r="A7202">
        <v>7141</v>
      </c>
      <c r="B7202" s="138">
        <f>'Expenditures 15-22'!F330</f>
        <v>440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601107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301242</v>
      </c>
      <c r="D7216" s="2" t="str">
        <f t="shared" si="111"/>
        <v>Error?</v>
      </c>
    </row>
    <row r="7217" spans="1:4" x14ac:dyDescent="0.2">
      <c r="A7217">
        <v>7156</v>
      </c>
      <c r="B7217" s="138">
        <f>'Expenditures 15-22'!D342</f>
        <v>7794</v>
      </c>
      <c r="D7217" s="2" t="str">
        <f t="shared" si="111"/>
        <v>Error?</v>
      </c>
    </row>
    <row r="7218" spans="1:4" x14ac:dyDescent="0.2">
      <c r="A7218">
        <v>7157</v>
      </c>
      <c r="B7218" s="138">
        <f>'Expenditures 15-22'!E342</f>
        <v>291631</v>
      </c>
      <c r="D7218" s="2" t="str">
        <f t="shared" si="111"/>
        <v>Error?</v>
      </c>
    </row>
    <row r="7219" spans="1:4" x14ac:dyDescent="0.2">
      <c r="A7219">
        <v>7158</v>
      </c>
      <c r="B7219" s="138">
        <f>'Expenditures 15-22'!F342</f>
        <v>440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601107</v>
      </c>
      <c r="D7224" s="2" t="str">
        <f t="shared" si="111"/>
        <v>Error?</v>
      </c>
    </row>
    <row r="7225" spans="1:4" x14ac:dyDescent="0.2">
      <c r="A7225">
        <v>7164</v>
      </c>
      <c r="B7225" s="138">
        <f>'Expenditures 15-22'!K343</f>
        <v>45705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31976</v>
      </c>
      <c r="D7246" s="2" t="str">
        <f t="shared" si="112"/>
        <v>Error?</v>
      </c>
    </row>
    <row r="7247" spans="1:4" x14ac:dyDescent="0.2">
      <c r="A7247">
        <f t="shared" si="113"/>
        <v>7186</v>
      </c>
      <c r="B7247" s="138">
        <f>'Expenditures 15-22'!E7</f>
        <v>2861</v>
      </c>
      <c r="D7247" s="2" t="str">
        <f t="shared" si="112"/>
        <v>Error?</v>
      </c>
    </row>
    <row r="7248" spans="1:4" x14ac:dyDescent="0.2">
      <c r="A7248">
        <f t="shared" si="113"/>
        <v>7187</v>
      </c>
      <c r="B7248" s="138">
        <f>'Expenditures 15-22'!F7</f>
        <v>11787</v>
      </c>
      <c r="D7248" s="2" t="str">
        <f t="shared" si="112"/>
        <v>Error?</v>
      </c>
    </row>
    <row r="7249" spans="1:4" x14ac:dyDescent="0.2">
      <c r="A7249">
        <f t="shared" si="113"/>
        <v>7188</v>
      </c>
      <c r="B7249" s="138">
        <f>'Expenditures 15-22'!G7</f>
        <v>19434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46936</v>
      </c>
      <c r="D7251" s="2" t="str">
        <f t="shared" si="112"/>
        <v>Error?</v>
      </c>
    </row>
    <row r="7252" spans="1:4" x14ac:dyDescent="0.2">
      <c r="A7252">
        <f t="shared" si="113"/>
        <v>7191</v>
      </c>
      <c r="B7252" s="138">
        <f>'Expenditures 15-22'!D9</f>
        <v>10560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86051</v>
      </c>
      <c r="D7263" s="2" t="str">
        <f t="shared" si="112"/>
        <v>Error?</v>
      </c>
    </row>
    <row r="7264" spans="1:4" x14ac:dyDescent="0.2">
      <c r="A7264">
        <f t="shared" si="113"/>
        <v>7203</v>
      </c>
      <c r="B7264" s="138">
        <f>'Expenditures 15-22'!D17</f>
        <v>16599</v>
      </c>
      <c r="D7264" s="2" t="str">
        <f t="shared" si="112"/>
        <v>Error?</v>
      </c>
    </row>
    <row r="7265" spans="1:5" x14ac:dyDescent="0.2">
      <c r="A7265">
        <f t="shared" si="113"/>
        <v>7204</v>
      </c>
      <c r="B7265" s="138">
        <f>'Expenditures 15-22'!E17</f>
        <v>3433</v>
      </c>
      <c r="D7265" s="2" t="str">
        <f t="shared" si="112"/>
        <v>Error?</v>
      </c>
    </row>
    <row r="7266" spans="1:5" x14ac:dyDescent="0.2">
      <c r="A7266">
        <f t="shared" si="113"/>
        <v>7205</v>
      </c>
      <c r="B7266" s="138">
        <f>'Expenditures 15-22'!F17</f>
        <v>690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4610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4610</v>
      </c>
      <c r="D7618" s="2" t="str">
        <f t="shared" si="124"/>
        <v>Error?</v>
      </c>
      <c r="E7618" s="2" t="s">
        <v>19</v>
      </c>
    </row>
    <row r="7619" spans="1:5" x14ac:dyDescent="0.2">
      <c r="A7619">
        <f t="shared" si="123"/>
        <v>7558</v>
      </c>
      <c r="B7619" s="138">
        <f>'Cap Outlay Deprec 26'!H14</f>
        <v>1537</v>
      </c>
      <c r="D7619" s="2" t="str">
        <f t="shared" si="124"/>
        <v>Error?</v>
      </c>
      <c r="E7619" s="2" t="s">
        <v>19</v>
      </c>
    </row>
    <row r="7620" spans="1:5" x14ac:dyDescent="0.2">
      <c r="A7620">
        <f t="shared" si="123"/>
        <v>7559</v>
      </c>
      <c r="B7620" s="138">
        <f>'Cap Outlay Deprec 26'!I14</f>
        <v>1537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3074</v>
      </c>
      <c r="D7622" s="2" t="str">
        <f t="shared" si="124"/>
        <v>Error?</v>
      </c>
      <c r="E7622" s="2" t="s">
        <v>19</v>
      </c>
    </row>
    <row r="7623" spans="1:5" x14ac:dyDescent="0.2">
      <c r="A7623">
        <f t="shared" si="123"/>
        <v>7562</v>
      </c>
      <c r="B7623" s="138">
        <f>'Cap Outlay Deprec 26'!L14</f>
        <v>1536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802835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210174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1670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362744</v>
      </c>
      <c r="D7713" s="2" t="str">
        <f t="shared" si="126"/>
        <v>Error?</v>
      </c>
      <c r="E7713" s="2" t="s">
        <v>827</v>
      </c>
    </row>
    <row r="7714" spans="1:6" x14ac:dyDescent="0.2">
      <c r="A7714">
        <v>7653</v>
      </c>
      <c r="B7714" s="138">
        <f>'Rest Tax Levies-Tort Im 25'!K9</f>
        <v>17166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6300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364414</v>
      </c>
      <c r="D7718" s="2" t="str">
        <f t="shared" si="126"/>
        <v>Error?</v>
      </c>
      <c r="E7718" s="2" t="s">
        <v>827</v>
      </c>
    </row>
    <row r="7719" spans="1:6" x14ac:dyDescent="0.2">
      <c r="A7719">
        <v>7658</v>
      </c>
      <c r="B7719" s="138">
        <f>'Rest Tax Levies-Tort Im 25'!K12</f>
        <v>23466</v>
      </c>
      <c r="D7719" s="2" t="str">
        <f t="shared" si="126"/>
        <v>Error?</v>
      </c>
      <c r="E7719" s="2" t="s">
        <v>827</v>
      </c>
    </row>
    <row r="7720" spans="1:6" x14ac:dyDescent="0.2">
      <c r="A7720">
        <v>7659</v>
      </c>
      <c r="B7720" s="138">
        <f>'Rest Tax Levies-Tort Im 25'!H14</f>
        <v>59600</v>
      </c>
      <c r="D7720" s="2" t="str">
        <f t="shared" si="126"/>
        <v>Error?</v>
      </c>
      <c r="E7720" s="2" t="s">
        <v>827</v>
      </c>
    </row>
    <row r="7721" spans="1:6" x14ac:dyDescent="0.2">
      <c r="A7721">
        <v>7660</v>
      </c>
      <c r="B7721" s="138">
        <f>'Rest Tax Levies-Tort Im 25'!K14</f>
        <v>23466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192300</v>
      </c>
      <c r="D7725" s="2" t="str">
        <f t="shared" si="126"/>
        <v>Error?</v>
      </c>
      <c r="E7725" s="2" t="s">
        <v>827</v>
      </c>
    </row>
    <row r="7726" spans="1:6" x14ac:dyDescent="0.2">
      <c r="A7726">
        <v>7665</v>
      </c>
      <c r="B7726" s="138">
        <f>'Rest Tax Levies-Tort Im 25'!J20</f>
        <v>2868</v>
      </c>
      <c r="D7726" s="2" t="str">
        <f t="shared" si="126"/>
        <v>Error?</v>
      </c>
      <c r="E7726" s="2" t="s">
        <v>827</v>
      </c>
    </row>
    <row r="7727" spans="1:6" x14ac:dyDescent="0.2">
      <c r="A7727">
        <v>7666</v>
      </c>
      <c r="B7727" s="138">
        <f>'Rest Tax Levies-Tort Im 25'!J21</f>
        <v>195168</v>
      </c>
      <c r="D7727" s="2" t="str">
        <f t="shared" si="126"/>
        <v>Error?</v>
      </c>
      <c r="E7727" s="2" t="s">
        <v>827</v>
      </c>
    </row>
    <row r="7728" spans="1:6" x14ac:dyDescent="0.2">
      <c r="A7728">
        <v>7667</v>
      </c>
      <c r="B7728" s="138">
        <f>'Revenues 9-14'!E103</f>
        <v>205750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195168</v>
      </c>
      <c r="D7730" s="2" t="str">
        <f t="shared" si="126"/>
        <v>Error?</v>
      </c>
      <c r="E7730" s="2" t="s">
        <v>827</v>
      </c>
    </row>
    <row r="7731" spans="1:6" x14ac:dyDescent="0.2">
      <c r="A7731">
        <v>7670</v>
      </c>
      <c r="B7731" s="138">
        <f>'Revenues 9-14'!H103</f>
        <v>156994</v>
      </c>
      <c r="D7731" s="2" t="str">
        <f t="shared" si="126"/>
        <v>Error?</v>
      </c>
      <c r="E7731" s="2" t="s">
        <v>827</v>
      </c>
    </row>
    <row r="7732" spans="1:6" x14ac:dyDescent="0.2">
      <c r="A7732">
        <v>7671</v>
      </c>
      <c r="B7732" s="138">
        <f>'Rest Tax Levies-Tort Im 25'!J24</f>
        <v>379420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379420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30" t="s">
        <v>1191</v>
      </c>
      <c r="B2" s="2530"/>
      <c r="C2" s="2530"/>
      <c r="D2" s="2530"/>
      <c r="E2" s="2530"/>
      <c r="F2" s="2530"/>
      <c r="G2" s="2530"/>
      <c r="H2" s="2530"/>
      <c r="I2" s="2530"/>
      <c r="J2" s="2530"/>
      <c r="K2" s="2530"/>
      <c r="L2" s="2530"/>
    </row>
    <row r="3" spans="1:29" ht="13.5" customHeight="1" x14ac:dyDescent="0.2">
      <c r="A3" s="2516" t="s">
        <v>1190</v>
      </c>
      <c r="B3" s="2516"/>
      <c r="C3" s="2516"/>
      <c r="D3" s="2516"/>
      <c r="E3" s="2516"/>
      <c r="F3" s="2516"/>
      <c r="G3" s="2516"/>
      <c r="H3" s="2516"/>
      <c r="I3" s="2516"/>
      <c r="J3" s="2516"/>
      <c r="K3" s="2516"/>
      <c r="L3" s="2516"/>
    </row>
    <row r="4" spans="1:29" ht="13.5" customHeight="1" x14ac:dyDescent="0.2">
      <c r="A4" s="2530" t="s">
        <v>1987</v>
      </c>
      <c r="B4" s="2547"/>
      <c r="C4" s="2547"/>
      <c r="D4" s="2547"/>
      <c r="E4" s="2547"/>
      <c r="F4" s="2547"/>
      <c r="G4" s="2547"/>
      <c r="H4" s="2547"/>
      <c r="I4" s="2547"/>
      <c r="J4" s="2547"/>
      <c r="K4" s="2547"/>
      <c r="L4" s="254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10" t="str">
        <f>COVER!A17</f>
        <v>Mercer County School District 404</v>
      </c>
      <c r="B7" s="2511"/>
      <c r="C7" s="2511"/>
      <c r="D7" s="2548"/>
      <c r="E7" s="2549">
        <f>COVER!A13</f>
        <v>33066404026</v>
      </c>
      <c r="F7" s="2550"/>
      <c r="G7" s="2517" t="str">
        <f>COVER!T23</f>
        <v>066-005027</v>
      </c>
      <c r="H7" s="2518"/>
      <c r="I7" s="2518"/>
      <c r="J7" s="2518"/>
      <c r="K7" s="2518"/>
      <c r="L7" s="251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20"/>
      <c r="B9" s="2521"/>
      <c r="C9" s="2521"/>
      <c r="D9" s="2521"/>
      <c r="E9" s="2521"/>
      <c r="F9" s="2522"/>
      <c r="G9" s="2523" t="str">
        <f>COVER!T13</f>
        <v>Gorenz and Associates, Ltd.</v>
      </c>
      <c r="H9" s="2524"/>
      <c r="I9" s="2524"/>
      <c r="J9" s="2524"/>
      <c r="K9" s="2524"/>
      <c r="L9" s="2525"/>
    </row>
    <row r="10" spans="1:29" ht="13.5" customHeight="1" x14ac:dyDescent="0.2">
      <c r="A10" s="2507" t="str">
        <f>COVER!A38</f>
        <v>Scott Petrie</v>
      </c>
      <c r="B10" s="2508"/>
      <c r="C10" s="2508"/>
      <c r="D10" s="2508"/>
      <c r="E10" s="2508"/>
      <c r="F10" s="2509"/>
      <c r="G10" s="2523" t="str">
        <f>COVER!T17</f>
        <v>4200 N Knoxville Ave</v>
      </c>
      <c r="H10" s="2536"/>
      <c r="I10" s="2536"/>
      <c r="J10" s="2536"/>
      <c r="K10" s="2536"/>
      <c r="L10" s="2537"/>
    </row>
    <row r="11" spans="1:29" ht="13.5" customHeight="1" x14ac:dyDescent="0.2">
      <c r="A11" s="1181" t="s">
        <v>1519</v>
      </c>
      <c r="B11" s="1182"/>
      <c r="C11" s="1183"/>
      <c r="D11" s="1188"/>
      <c r="E11" s="1183"/>
      <c r="F11" s="1187"/>
      <c r="G11" s="2523" t="str">
        <f>COVER!T19</f>
        <v>Peoria</v>
      </c>
      <c r="H11" s="2536"/>
      <c r="I11" s="2536"/>
      <c r="J11" s="2536"/>
      <c r="K11" s="2536"/>
      <c r="L11" s="2537"/>
    </row>
    <row r="12" spans="1:29" ht="13.5" customHeight="1" x14ac:dyDescent="0.2">
      <c r="A12" s="2541" t="s">
        <v>1518</v>
      </c>
      <c r="B12" s="2542"/>
      <c r="C12" s="2542"/>
      <c r="D12" s="2542"/>
      <c r="E12" s="2542"/>
      <c r="F12" s="2543"/>
      <c r="G12" s="2538"/>
      <c r="H12" s="2539"/>
      <c r="I12" s="2539"/>
      <c r="J12" s="2539"/>
      <c r="K12" s="2539"/>
      <c r="L12" s="2540"/>
    </row>
    <row r="13" spans="1:29" ht="13.5" customHeight="1" x14ac:dyDescent="0.2">
      <c r="A13" s="2523"/>
      <c r="B13" s="2536"/>
      <c r="C13" s="2536"/>
      <c r="D13" s="2536"/>
      <c r="E13" s="2536"/>
      <c r="F13" s="2537"/>
      <c r="G13" s="2531" t="s">
        <v>1520</v>
      </c>
      <c r="H13" s="2532"/>
      <c r="I13" s="2544" t="str">
        <f>COVER!T25</f>
        <v>jhohulin@gorenzcpa.com</v>
      </c>
      <c r="J13" s="2545"/>
      <c r="K13" s="2545"/>
      <c r="L13" s="2546"/>
    </row>
    <row r="14" spans="1:29" ht="13.5" customHeight="1" x14ac:dyDescent="0.2">
      <c r="A14" s="2523" t="str">
        <f>COVER!A19</f>
        <v>1002 SW 6th St</v>
      </c>
      <c r="B14" s="2536"/>
      <c r="C14" s="2536"/>
      <c r="D14" s="2536"/>
      <c r="E14" s="2536"/>
      <c r="F14" s="2537"/>
      <c r="G14" s="1192" t="s">
        <v>1185</v>
      </c>
      <c r="H14" s="1190"/>
      <c r="I14" s="1190"/>
      <c r="J14" s="1190"/>
      <c r="K14" s="1190"/>
      <c r="L14" s="1191"/>
    </row>
    <row r="15" spans="1:29" ht="13.5" customHeight="1" x14ac:dyDescent="0.2">
      <c r="A15" s="2523" t="str">
        <f>COVER!A21</f>
        <v>Aledo</v>
      </c>
      <c r="B15" s="2536"/>
      <c r="C15" s="2536"/>
      <c r="D15" s="2536"/>
      <c r="E15" s="2536"/>
      <c r="F15" s="2537"/>
      <c r="G15" s="2533" t="str">
        <f>COVER!T15</f>
        <v>Jason A. Hohulin, CPA</v>
      </c>
      <c r="H15" s="2534"/>
      <c r="I15" s="2534"/>
      <c r="J15" s="2534"/>
      <c r="K15" s="2534"/>
      <c r="L15" s="2535"/>
    </row>
    <row r="16" spans="1:29" ht="12.2" customHeight="1" x14ac:dyDescent="0.2">
      <c r="A16" s="2513">
        <f>COVER!A25</f>
        <v>61231</v>
      </c>
      <c r="B16" s="2514"/>
      <c r="C16" s="2514"/>
      <c r="D16" s="2514"/>
      <c r="E16" s="2514"/>
      <c r="F16" s="2515"/>
      <c r="G16" s="2526"/>
      <c r="H16" s="2527"/>
      <c r="I16" s="2527"/>
      <c r="J16" s="2527"/>
      <c r="K16" s="2527"/>
      <c r="L16" s="2528"/>
    </row>
    <row r="17" spans="1:13" ht="12.2" customHeight="1" x14ac:dyDescent="0.2">
      <c r="A17" s="2529"/>
      <c r="B17" s="2514"/>
      <c r="C17" s="2514"/>
      <c r="D17" s="2514"/>
      <c r="E17" s="2514"/>
      <c r="F17" s="2515"/>
      <c r="G17" s="1192" t="s">
        <v>1184</v>
      </c>
      <c r="H17" s="1190"/>
      <c r="I17" s="1190"/>
      <c r="J17" s="1190"/>
      <c r="K17" s="1194" t="s">
        <v>1183</v>
      </c>
      <c r="L17" s="1187"/>
      <c r="M17" s="1180"/>
    </row>
    <row r="18" spans="1:13" ht="12.2" customHeight="1" x14ac:dyDescent="0.2">
      <c r="A18" s="2507"/>
      <c r="B18" s="2508"/>
      <c r="C18" s="2508"/>
      <c r="D18" s="2508"/>
      <c r="E18" s="2508"/>
      <c r="F18" s="2509"/>
      <c r="G18" s="2510" t="str">
        <f>COVER!T21</f>
        <v>309-685-7621</v>
      </c>
      <c r="H18" s="2511"/>
      <c r="I18" s="2511"/>
      <c r="J18" s="2511"/>
      <c r="K18" s="2510" t="str">
        <f>COVER!X21</f>
        <v>309-685-4758</v>
      </c>
      <c r="L18" s="251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2068</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2068</v>
      </c>
      <c r="C26" s="1199" t="s">
        <v>1699</v>
      </c>
    </row>
    <row r="27" spans="1:13" s="1195" customFormat="1" ht="9" customHeight="1" x14ac:dyDescent="0.2">
      <c r="B27" s="1200"/>
      <c r="C27" s="1199"/>
    </row>
    <row r="28" spans="1:13" s="1195" customFormat="1" ht="12.2" customHeight="1" x14ac:dyDescent="0.2">
      <c r="A28" s="1202"/>
      <c r="B28" s="1198" t="s">
        <v>2068</v>
      </c>
      <c r="C28" s="1199" t="s">
        <v>1700</v>
      </c>
    </row>
    <row r="29" spans="1:13" s="1195" customFormat="1" ht="9" customHeight="1" x14ac:dyDescent="0.2">
      <c r="A29" s="1202"/>
      <c r="B29" s="1200"/>
      <c r="C29" s="1199"/>
    </row>
    <row r="30" spans="1:13" s="1195" customFormat="1" ht="12.2" customHeight="1" x14ac:dyDescent="0.2">
      <c r="B30" s="1198" t="s">
        <v>2068</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2068</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2068</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2068</v>
      </c>
      <c r="C38" s="1199" t="s">
        <v>1566</v>
      </c>
    </row>
    <row r="39" spans="1:8" ht="9" customHeight="1" x14ac:dyDescent="0.2">
      <c r="B39" s="1200"/>
      <c r="C39" s="1203"/>
    </row>
    <row r="40" spans="1:8" s="1195" customFormat="1" ht="13.5" customHeight="1" x14ac:dyDescent="0.2">
      <c r="B40" s="1198" t="s">
        <v>2068</v>
      </c>
      <c r="C40" s="1199" t="s">
        <v>1567</v>
      </c>
    </row>
    <row r="41" spans="1:8" ht="9" customHeight="1" x14ac:dyDescent="0.2">
      <c r="A41" s="1204"/>
      <c r="B41" s="1200"/>
      <c r="C41" s="1203"/>
    </row>
    <row r="42" spans="1:8" s="1195" customFormat="1" ht="13.5" customHeight="1" x14ac:dyDescent="0.2">
      <c r="B42" s="1198" t="s">
        <v>2068</v>
      </c>
      <c r="C42" s="1199" t="s">
        <v>1834</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51" t="str">
        <f>'Single Audit Cover'!A7</f>
        <v>Mercer County School District 404</v>
      </c>
      <c r="B1" s="2547"/>
      <c r="C1" s="2547"/>
      <c r="D1" s="2547"/>
    </row>
    <row r="2" spans="1:11" s="1209" customFormat="1" ht="12.75" x14ac:dyDescent="0.2">
      <c r="A2" s="2552">
        <f>'Single Audit Cover'!E7</f>
        <v>33066404026</v>
      </c>
      <c r="B2" s="2553"/>
      <c r="C2" s="2553"/>
      <c r="D2" s="2553"/>
    </row>
    <row r="3" spans="1:11" s="1209" customFormat="1" ht="12.75" x14ac:dyDescent="0.2">
      <c r="A3" s="2551" t="s">
        <v>1513</v>
      </c>
      <c r="B3" s="2547"/>
      <c r="C3" s="2547"/>
      <c r="D3" s="254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1835</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55" t="str">
        <f>'Single Audit Cover'!A7</f>
        <v>Mercer County School District 404</v>
      </c>
      <c r="B1" s="2555"/>
      <c r="C1" s="2555"/>
      <c r="D1" s="2555"/>
      <c r="E1" s="2555"/>
    </row>
    <row r="2" spans="1:5" x14ac:dyDescent="0.2">
      <c r="A2" s="2556">
        <f>'Single Audit Cover'!E7</f>
        <v>33066404026</v>
      </c>
      <c r="B2" s="2556"/>
      <c r="C2" s="2556"/>
      <c r="D2" s="2556"/>
      <c r="E2" s="2556"/>
    </row>
    <row r="3" spans="1:5" ht="4.5" customHeight="1" x14ac:dyDescent="0.2"/>
    <row r="4" spans="1:5" x14ac:dyDescent="0.2">
      <c r="A4" s="2555" t="s">
        <v>1245</v>
      </c>
      <c r="B4" s="2555"/>
      <c r="C4" s="2555"/>
      <c r="D4" s="2555"/>
      <c r="E4" s="2555"/>
    </row>
    <row r="5" spans="1:5" x14ac:dyDescent="0.2">
      <c r="A5" s="2558" t="str">
        <f>'Single Audit Cover'!A4</f>
        <v>Year Ending June 30, 2019</v>
      </c>
      <c r="B5" s="2558"/>
      <c r="C5" s="2558"/>
      <c r="D5" s="2558"/>
      <c r="E5" s="2558"/>
    </row>
    <row r="6" spans="1:5" x14ac:dyDescent="0.2">
      <c r="A6" s="2555" t="s">
        <v>1244</v>
      </c>
      <c r="B6" s="2555"/>
      <c r="C6" s="2555"/>
      <c r="D6" s="2555"/>
      <c r="E6" s="2555"/>
    </row>
    <row r="8" spans="1:5" x14ac:dyDescent="0.2">
      <c r="A8" s="1254" t="s">
        <v>1243</v>
      </c>
    </row>
    <row r="10" spans="1:5" x14ac:dyDescent="0.2">
      <c r="A10" s="1255" t="s">
        <v>1242</v>
      </c>
      <c r="B10" s="1256" t="s">
        <v>1241</v>
      </c>
      <c r="C10" s="1256"/>
      <c r="D10" s="1257">
        <f>SUM('Acct Summary 7-8'!C7:K7)</f>
        <v>999662</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45999</v>
      </c>
    </row>
    <row r="15" spans="1:5" x14ac:dyDescent="0.2">
      <c r="A15" s="1255"/>
      <c r="B15" s="1256"/>
      <c r="C15" s="1256"/>
    </row>
    <row r="16" spans="1:5" x14ac:dyDescent="0.2">
      <c r="A16" s="1255" t="s">
        <v>1842</v>
      </c>
      <c r="B16" s="1256"/>
      <c r="C16" s="1256"/>
    </row>
    <row r="17" spans="1:4" x14ac:dyDescent="0.2">
      <c r="A17" s="1255" t="s">
        <v>2059</v>
      </c>
      <c r="B17" s="1256" t="s">
        <v>1236</v>
      </c>
      <c r="C17" s="1256"/>
      <c r="D17" s="1258">
        <f>-SUM('Revenues 9-14'!C264:D264,'Revenues 9-14'!F264:G264)</f>
        <v>-80162</v>
      </c>
    </row>
    <row r="19" spans="1:4" ht="13.5" thickBot="1" x14ac:dyDescent="0.25">
      <c r="A19" s="1259" t="s">
        <v>1235</v>
      </c>
      <c r="D19" s="1260">
        <f>SUM(D10:D17)</f>
        <v>965499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57" t="s">
        <v>2299</v>
      </c>
      <c r="B24" s="2557"/>
      <c r="D24" s="1262">
        <v>-45999</v>
      </c>
    </row>
    <row r="25" spans="1:4" x14ac:dyDescent="0.2">
      <c r="A25" s="2554"/>
      <c r="B25" s="2554"/>
      <c r="D25" s="1262"/>
    </row>
    <row r="26" spans="1:4" x14ac:dyDescent="0.2">
      <c r="A26" s="2554"/>
      <c r="B26" s="2554"/>
      <c r="D26" s="1262"/>
    </row>
    <row r="27" spans="1:4" x14ac:dyDescent="0.2">
      <c r="A27" s="2554"/>
      <c r="B27" s="2554"/>
      <c r="D27" s="1262"/>
    </row>
    <row r="28" spans="1:4" x14ac:dyDescent="0.2">
      <c r="A28" s="2554"/>
      <c r="B28" s="2554"/>
      <c r="D28" s="1262"/>
    </row>
    <row r="29" spans="1:4" x14ac:dyDescent="0.2">
      <c r="A29" s="2554"/>
      <c r="B29" s="2554"/>
      <c r="D29" s="1262"/>
    </row>
    <row r="30" spans="1:4" x14ac:dyDescent="0.2">
      <c r="A30" s="2554"/>
      <c r="B30" s="2554"/>
      <c r="D30" s="1262"/>
    </row>
    <row r="32" spans="1:4" x14ac:dyDescent="0.2">
      <c r="A32" s="1254" t="s">
        <v>1233</v>
      </c>
      <c r="D32" s="1257">
        <f>SUM(D19:D30)</f>
        <v>919500</v>
      </c>
    </row>
    <row r="33" spans="1:4" x14ac:dyDescent="0.2">
      <c r="D33" s="1263"/>
    </row>
    <row r="34" spans="1:4" x14ac:dyDescent="0.2">
      <c r="A34" s="317" t="s">
        <v>1232</v>
      </c>
    </row>
    <row r="35" spans="1:4" x14ac:dyDescent="0.2">
      <c r="A35" s="317" t="s">
        <v>1231</v>
      </c>
      <c r="B35" s="1252" t="s">
        <v>1230</v>
      </c>
      <c r="D35" s="1264">
        <v>919500</v>
      </c>
    </row>
    <row r="37" spans="1:4" x14ac:dyDescent="0.2">
      <c r="A37" s="1254" t="s">
        <v>1229</v>
      </c>
    </row>
    <row r="39" spans="1:4" ht="13.35" customHeight="1" x14ac:dyDescent="0.2">
      <c r="A39" s="1261" t="s">
        <v>1228</v>
      </c>
    </row>
    <row r="40" spans="1:4" x14ac:dyDescent="0.2">
      <c r="A40" s="2554"/>
      <c r="B40" s="2554"/>
      <c r="D40" s="1262"/>
    </row>
    <row r="41" spans="1:4" x14ac:dyDescent="0.2">
      <c r="A41" s="2554"/>
      <c r="B41" s="2554"/>
      <c r="D41" s="1265"/>
    </row>
    <row r="42" spans="1:4" x14ac:dyDescent="0.2">
      <c r="A42" s="2554"/>
      <c r="B42" s="2554"/>
      <c r="D42" s="1265"/>
    </row>
    <row r="43" spans="1:4" x14ac:dyDescent="0.2">
      <c r="A43" s="2554"/>
      <c r="B43" s="2554"/>
      <c r="D43" s="1265"/>
    </row>
    <row r="44" spans="1:4" x14ac:dyDescent="0.2">
      <c r="A44" s="2554"/>
      <c r="B44" s="2554"/>
      <c r="D44" s="1265"/>
    </row>
    <row r="45" spans="1:4" x14ac:dyDescent="0.2">
      <c r="A45" s="2554"/>
      <c r="B45" s="2554"/>
      <c r="D45" s="1265"/>
    </row>
    <row r="47" spans="1:4" x14ac:dyDescent="0.2">
      <c r="B47" s="1266" t="s">
        <v>1227</v>
      </c>
      <c r="C47" s="1266"/>
      <c r="D47" s="1267">
        <f>SUM(D35:D45)</f>
        <v>919500</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16" t="str">
        <f>'Single Audit Cover'!A7</f>
        <v>Mercer County School District 404</v>
      </c>
      <c r="C1" s="2559"/>
      <c r="D1" s="2559"/>
      <c r="E1" s="2559"/>
      <c r="F1" s="2559"/>
      <c r="G1" s="2559"/>
      <c r="H1" s="2559"/>
      <c r="I1" s="2559"/>
      <c r="J1" s="2559"/>
      <c r="K1" s="2559"/>
      <c r="L1" s="2559"/>
      <c r="M1" s="2559"/>
    </row>
    <row r="2" spans="2:14" ht="15" x14ac:dyDescent="0.2">
      <c r="B2" s="2560">
        <f>'Single Audit Cover'!E7</f>
        <v>33066404026</v>
      </c>
      <c r="C2" s="2560"/>
      <c r="D2" s="2560"/>
      <c r="E2" s="2560"/>
      <c r="F2" s="2560"/>
      <c r="G2" s="2560"/>
      <c r="H2" s="2560"/>
      <c r="I2" s="2560"/>
      <c r="J2" s="2560"/>
      <c r="K2" s="2560"/>
      <c r="L2" s="2560"/>
      <c r="M2" s="2560"/>
      <c r="N2" s="1296"/>
    </row>
    <row r="3" spans="2:14" ht="15" x14ac:dyDescent="0.2">
      <c r="B3" s="2561" t="s">
        <v>1219</v>
      </c>
      <c r="C3" s="2561"/>
      <c r="D3" s="2561"/>
      <c r="E3" s="2561"/>
      <c r="F3" s="2561"/>
      <c r="G3" s="2561"/>
      <c r="H3" s="2561"/>
      <c r="I3" s="2561"/>
      <c r="J3" s="2561"/>
      <c r="K3" s="2561"/>
      <c r="L3" s="2561"/>
      <c r="M3" s="2561"/>
      <c r="N3" s="1296"/>
    </row>
    <row r="4" spans="2:14" ht="15" x14ac:dyDescent="0.2">
      <c r="B4" s="2562" t="str">
        <f>'Single Audit Cover'!A4</f>
        <v>Year Ending June 30, 2019</v>
      </c>
      <c r="C4" s="2562"/>
      <c r="D4" s="2562"/>
      <c r="E4" s="2562"/>
      <c r="F4" s="2562"/>
      <c r="G4" s="2562"/>
      <c r="H4" s="2562"/>
      <c r="I4" s="2562"/>
      <c r="J4" s="2562"/>
      <c r="K4" s="2562"/>
      <c r="L4" s="2562"/>
      <c r="M4" s="2562"/>
      <c r="N4" s="1296"/>
    </row>
    <row r="6" spans="2:14" x14ac:dyDescent="0.2">
      <c r="B6" s="1297"/>
      <c r="C6" s="1298"/>
      <c r="D6" s="1299" t="s">
        <v>1265</v>
      </c>
      <c r="E6" s="1300" t="s">
        <v>527</v>
      </c>
      <c r="F6" s="1301"/>
      <c r="G6" s="1302" t="s">
        <v>1732</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1837</v>
      </c>
      <c r="I8" s="1313" t="s">
        <v>1262</v>
      </c>
      <c r="J8" s="1312" t="s">
        <v>1988</v>
      </c>
      <c r="K8" s="1313" t="s">
        <v>1261</v>
      </c>
      <c r="L8" s="1314" t="s">
        <v>1257</v>
      </c>
      <c r="M8" s="1315" t="s">
        <v>30</v>
      </c>
    </row>
    <row r="9" spans="2:14" ht="14.25" x14ac:dyDescent="0.2">
      <c r="B9" s="1319" t="s">
        <v>1259</v>
      </c>
      <c r="C9" s="1307" t="s">
        <v>1733</v>
      </c>
      <c r="D9" s="1308" t="s">
        <v>1734</v>
      </c>
      <c r="E9" s="1316" t="s">
        <v>1837</v>
      </c>
      <c r="F9" s="1317" t="s">
        <v>1988</v>
      </c>
      <c r="G9" s="1318" t="s">
        <v>1837</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1735</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1838</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1736</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1737</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1738</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1739</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W148"/>
  <sheetViews>
    <sheetView showGridLines="0" zoomScale="85" zoomScaleNormal="85" zoomScaleSheetLayoutView="85" workbookViewId="0">
      <pane xSplit="6" ySplit="14" topLeftCell="G15" activePane="bottomRight" state="frozen"/>
      <selection activeCell="H21" sqref="H21"/>
      <selection pane="topRight" activeCell="H21" sqref="H21"/>
      <selection pane="bottomLeft" activeCell="H21" sqref="H21"/>
      <selection pane="bottomRight" activeCell="G15" sqref="G15"/>
    </sheetView>
  </sheetViews>
  <sheetFormatPr defaultColWidth="16.7109375" defaultRowHeight="15" x14ac:dyDescent="0.2"/>
  <cols>
    <col min="1" max="1" width="6.5703125" style="1938" customWidth="1"/>
    <col min="2" max="2" width="48.28515625" style="1935" customWidth="1"/>
    <col min="3" max="3" width="19.5703125" style="1935" customWidth="1"/>
    <col min="4" max="4" width="1.140625" style="1935" customWidth="1"/>
    <col min="5" max="5" width="40.28515625" style="1935" customWidth="1"/>
    <col min="6" max="6" width="1.28515625" style="1936" customWidth="1"/>
    <col min="7" max="7" width="12.42578125" style="1935" customWidth="1"/>
    <col min="8" max="8" width="2.85546875" style="1935" customWidth="1"/>
    <col min="9" max="9" width="13" style="1937" customWidth="1"/>
    <col min="10" max="10" width="3.85546875" style="1936" customWidth="1"/>
    <col min="11" max="11" width="13.7109375" style="1935" bestFit="1" customWidth="1"/>
    <col min="12" max="12" width="1.85546875" style="1935" customWidth="1"/>
    <col min="13" max="13" width="14.5703125" style="1935" hidden="1" customWidth="1"/>
    <col min="14" max="14" width="1.85546875" style="1935" hidden="1" customWidth="1"/>
    <col min="15" max="15" width="13.28515625" style="1935" customWidth="1"/>
    <col min="16" max="16" width="1.85546875" style="1935" customWidth="1"/>
    <col min="17" max="17" width="14.5703125" style="1935" hidden="1" customWidth="1"/>
    <col min="18" max="18" width="1.85546875" style="1935" hidden="1" customWidth="1"/>
    <col min="19" max="19" width="11" style="1935" customWidth="1"/>
    <col min="20" max="20" width="4.5703125" style="1936" bestFit="1" customWidth="1"/>
    <col min="21" max="21" width="13.28515625" style="1935" bestFit="1" customWidth="1"/>
    <col min="22" max="22" width="2.85546875" style="1935" customWidth="1"/>
    <col min="23" max="23" width="12.42578125" style="1935" bestFit="1" customWidth="1"/>
    <col min="24" max="16384" width="16.7109375" style="1935"/>
  </cols>
  <sheetData>
    <row r="1" spans="1:23" hidden="1" x14ac:dyDescent="0.2">
      <c r="A1" s="2019"/>
      <c r="B1" s="2019"/>
      <c r="C1" s="2019"/>
      <c r="D1" s="2019"/>
      <c r="E1" s="2019"/>
      <c r="F1" s="2019"/>
      <c r="G1" s="2019"/>
      <c r="H1" s="2019"/>
      <c r="I1" s="1944"/>
      <c r="J1" s="1943"/>
      <c r="K1" s="1937"/>
      <c r="L1" s="1937"/>
      <c r="M1" s="1937"/>
      <c r="N1" s="1937"/>
      <c r="O1" s="2020" t="s">
        <v>1169</v>
      </c>
      <c r="P1" s="2020"/>
      <c r="Q1" s="2020"/>
      <c r="R1" s="2020"/>
      <c r="S1" s="2020"/>
      <c r="T1" s="2021"/>
      <c r="U1" s="2020"/>
      <c r="V1" s="2020"/>
      <c r="W1" s="2020"/>
    </row>
    <row r="2" spans="1:23" hidden="1" x14ac:dyDescent="0.2">
      <c r="A2" s="2019"/>
      <c r="B2" s="2019"/>
      <c r="C2" s="2019"/>
      <c r="D2" s="2019"/>
      <c r="E2" s="2019"/>
      <c r="F2" s="2019"/>
      <c r="G2" s="2019"/>
      <c r="H2" s="2019"/>
      <c r="I2" s="1944"/>
      <c r="J2" s="1943"/>
      <c r="K2" s="1937"/>
      <c r="L2" s="1937"/>
      <c r="M2" s="1937"/>
      <c r="N2" s="1937"/>
      <c r="O2" s="2017"/>
      <c r="P2" s="2017"/>
      <c r="Q2" s="2017"/>
      <c r="R2" s="2017"/>
      <c r="S2" s="2017" t="s">
        <v>1169</v>
      </c>
      <c r="T2" s="2017"/>
      <c r="U2" s="2017" t="s">
        <v>1169</v>
      </c>
      <c r="V2" s="2018"/>
      <c r="W2" s="2017"/>
    </row>
    <row r="3" spans="1:23" ht="14.25" x14ac:dyDescent="0.2">
      <c r="A3" s="2563" t="s">
        <v>2238</v>
      </c>
      <c r="B3" s="2563"/>
      <c r="C3" s="2563"/>
      <c r="D3" s="2563"/>
      <c r="E3" s="2563"/>
      <c r="F3" s="2563"/>
      <c r="G3" s="2563"/>
      <c r="H3" s="2563"/>
      <c r="I3" s="2563"/>
      <c r="J3" s="2563"/>
      <c r="K3" s="2563"/>
      <c r="L3" s="2563"/>
      <c r="M3" s="2563"/>
      <c r="N3" s="2563"/>
      <c r="O3" s="2563"/>
      <c r="P3" s="2563"/>
      <c r="Q3" s="2563"/>
      <c r="R3" s="2563"/>
      <c r="S3" s="2563"/>
      <c r="T3" s="2563"/>
      <c r="U3" s="2563"/>
      <c r="V3" s="2563"/>
      <c r="W3" s="2563"/>
    </row>
    <row r="4" spans="1:23" ht="14.25" x14ac:dyDescent="0.2">
      <c r="A4" s="2563" t="s">
        <v>2071</v>
      </c>
      <c r="B4" s="2563"/>
      <c r="C4" s="2563"/>
      <c r="D4" s="2563"/>
      <c r="E4" s="2563"/>
      <c r="F4" s="2563"/>
      <c r="G4" s="2563"/>
      <c r="H4" s="2563"/>
      <c r="I4" s="2563"/>
      <c r="J4" s="2563"/>
      <c r="K4" s="2563"/>
      <c r="L4" s="2563"/>
      <c r="M4" s="2563"/>
      <c r="N4" s="2563"/>
      <c r="O4" s="2563"/>
      <c r="P4" s="2563"/>
      <c r="Q4" s="2563"/>
      <c r="R4" s="2563"/>
      <c r="S4" s="2563"/>
      <c r="T4" s="2563"/>
      <c r="U4" s="2563"/>
      <c r="V4" s="2563"/>
      <c r="W4" s="2563"/>
    </row>
    <row r="5" spans="1:23" ht="14.25" x14ac:dyDescent="0.2">
      <c r="A5" s="2563" t="s">
        <v>2237</v>
      </c>
      <c r="B5" s="2563"/>
      <c r="C5" s="2563"/>
      <c r="D5" s="2563"/>
      <c r="E5" s="2563"/>
      <c r="F5" s="2563"/>
      <c r="G5" s="2563"/>
      <c r="H5" s="2563"/>
      <c r="I5" s="2563"/>
      <c r="J5" s="2563"/>
      <c r="K5" s="2563"/>
      <c r="L5" s="2563"/>
      <c r="M5" s="2563"/>
      <c r="N5" s="2563"/>
      <c r="O5" s="2563"/>
      <c r="P5" s="2563"/>
      <c r="Q5" s="2563"/>
      <c r="R5" s="2563"/>
      <c r="S5" s="2563"/>
      <c r="T5" s="2563"/>
      <c r="U5" s="2563"/>
      <c r="V5" s="2563"/>
      <c r="W5" s="2563"/>
    </row>
    <row r="6" spans="1:23" ht="14.25" customHeight="1" x14ac:dyDescent="0.2">
      <c r="A6" s="2564" t="s">
        <v>2236</v>
      </c>
      <c r="B6" s="2564"/>
      <c r="C6" s="2564"/>
      <c r="D6" s="2564"/>
      <c r="E6" s="2564"/>
      <c r="F6" s="2564"/>
      <c r="G6" s="2564"/>
      <c r="H6" s="2564"/>
      <c r="I6" s="2564"/>
      <c r="J6" s="2564"/>
      <c r="K6" s="2564"/>
      <c r="L6" s="2564"/>
      <c r="M6" s="2564"/>
      <c r="N6" s="2564"/>
      <c r="O6" s="2564"/>
      <c r="P6" s="2564"/>
      <c r="Q6" s="2564"/>
      <c r="R6" s="2564"/>
      <c r="S6" s="2564"/>
      <c r="T6" s="2564"/>
      <c r="U6" s="2564"/>
      <c r="V6" s="2564"/>
      <c r="W6" s="2564"/>
    </row>
    <row r="7" spans="1:23" x14ac:dyDescent="0.2">
      <c r="A7" s="2016"/>
      <c r="B7" s="2016"/>
      <c r="C7" s="2016"/>
      <c r="D7" s="2016"/>
      <c r="E7" s="2016"/>
      <c r="F7" s="2016"/>
      <c r="G7" s="2015"/>
      <c r="H7" s="2012"/>
      <c r="I7" s="2015"/>
      <c r="J7" s="2013"/>
      <c r="K7" s="2015"/>
      <c r="L7" s="2015"/>
      <c r="M7" s="2015"/>
      <c r="N7" s="2012"/>
      <c r="O7" s="2012"/>
      <c r="P7" s="2012"/>
      <c r="Q7" s="2012"/>
      <c r="R7" s="2012"/>
      <c r="S7" s="2012"/>
      <c r="T7" s="2013"/>
      <c r="U7" s="2012"/>
      <c r="V7" s="2012"/>
      <c r="W7" s="2012"/>
    </row>
    <row r="8" spans="1:23" x14ac:dyDescent="0.2">
      <c r="A8" s="2016"/>
      <c r="B8" s="2016"/>
      <c r="C8" s="2016"/>
      <c r="D8" s="2016"/>
      <c r="E8" s="2016"/>
      <c r="F8" s="2016"/>
      <c r="G8" s="2015"/>
      <c r="H8" s="2012"/>
      <c r="I8" s="2015"/>
      <c r="J8" s="2013"/>
      <c r="K8" s="2015"/>
      <c r="L8" s="2015"/>
      <c r="M8" s="2015"/>
      <c r="N8" s="2012"/>
      <c r="O8" s="2012"/>
      <c r="P8" s="2012"/>
      <c r="Q8" s="2012"/>
      <c r="R8" s="2012"/>
      <c r="S8" s="2012"/>
      <c r="T8" s="2013"/>
      <c r="U8" s="2012"/>
      <c r="V8" s="2012"/>
      <c r="W8" s="2012"/>
    </row>
    <row r="9" spans="1:23" ht="15.95" customHeight="1" x14ac:dyDescent="0.2">
      <c r="A9" s="2013"/>
      <c r="B9" s="2015"/>
      <c r="C9" s="2012"/>
      <c r="D9" s="2012"/>
      <c r="F9" s="2013"/>
      <c r="G9" s="2014" t="s">
        <v>2235</v>
      </c>
      <c r="H9" s="2014"/>
      <c r="I9" s="2014"/>
      <c r="J9" s="2013"/>
      <c r="K9" s="2565" t="s">
        <v>2234</v>
      </c>
      <c r="L9" s="2565"/>
      <c r="M9" s="2565"/>
      <c r="N9" s="2565"/>
      <c r="O9" s="2565"/>
      <c r="P9" s="2565"/>
      <c r="Q9" s="2565"/>
      <c r="R9" s="2012"/>
      <c r="S9" s="2012"/>
      <c r="T9" s="2013"/>
      <c r="U9" s="2012"/>
      <c r="V9" s="2012"/>
      <c r="W9" s="2012"/>
    </row>
    <row r="10" spans="1:23" ht="15.95" customHeight="1" x14ac:dyDescent="0.2">
      <c r="A10" s="2013"/>
      <c r="B10" s="2015"/>
      <c r="C10" s="2012"/>
      <c r="D10" s="2012"/>
      <c r="E10" s="2013" t="s">
        <v>2233</v>
      </c>
      <c r="F10" s="2013"/>
      <c r="G10" s="2014"/>
      <c r="H10" s="2014"/>
      <c r="I10" s="2014"/>
      <c r="J10" s="2013"/>
      <c r="K10" s="2014"/>
      <c r="L10" s="2014"/>
      <c r="M10" s="1943" t="str">
        <f>K11</f>
        <v>Prior to</v>
      </c>
      <c r="N10" s="2014"/>
      <c r="O10" s="2014"/>
      <c r="P10" s="2014"/>
      <c r="Q10" s="1943" t="str">
        <f>O11</f>
        <v>7/1/18 -</v>
      </c>
      <c r="R10" s="2012"/>
      <c r="S10" s="2012"/>
      <c r="T10" s="2013"/>
      <c r="U10" s="2012"/>
      <c r="V10" s="2012"/>
      <c r="W10" s="2012"/>
    </row>
    <row r="11" spans="1:23" ht="15.95" customHeight="1" x14ac:dyDescent="0.2">
      <c r="A11" s="1943"/>
      <c r="B11" s="1939"/>
      <c r="C11" s="1943" t="s">
        <v>1264</v>
      </c>
      <c r="D11" s="1944"/>
      <c r="E11" s="1943" t="s">
        <v>2232</v>
      </c>
      <c r="F11" s="1943"/>
      <c r="G11" s="1943" t="s">
        <v>2230</v>
      </c>
      <c r="H11" s="1944"/>
      <c r="I11" s="1998" t="s">
        <v>2231</v>
      </c>
      <c r="J11" s="1943"/>
      <c r="K11" s="1943" t="s">
        <v>2230</v>
      </c>
      <c r="L11" s="1943"/>
      <c r="M11" s="2010" t="str">
        <f>K12</f>
        <v>7/1/18</v>
      </c>
      <c r="N11" s="1944"/>
      <c r="O11" s="1998" t="str">
        <f>+I11</f>
        <v>7/1/18 -</v>
      </c>
      <c r="P11" s="1998"/>
      <c r="Q11" s="2010" t="str">
        <f>O12</f>
        <v>6/30/19</v>
      </c>
      <c r="R11" s="1944"/>
      <c r="S11" s="1943" t="s">
        <v>1261</v>
      </c>
      <c r="T11" s="1943"/>
      <c r="U11" s="1943" t="s">
        <v>2229</v>
      </c>
      <c r="V11" s="1944"/>
      <c r="W11" s="1939" t="s">
        <v>1169</v>
      </c>
    </row>
    <row r="12" spans="1:23" ht="15.95" customHeight="1" x14ac:dyDescent="0.2">
      <c r="A12" s="1939" t="s">
        <v>2228</v>
      </c>
      <c r="B12" s="1939"/>
      <c r="C12" s="1943" t="s">
        <v>2227</v>
      </c>
      <c r="D12" s="1944"/>
      <c r="E12" s="1943" t="s">
        <v>2227</v>
      </c>
      <c r="F12" s="1943"/>
      <c r="G12" s="2011" t="s">
        <v>2226</v>
      </c>
      <c r="H12" s="1944"/>
      <c r="I12" s="2011" t="s">
        <v>2225</v>
      </c>
      <c r="J12" s="1943"/>
      <c r="K12" s="2010" t="str">
        <f>+G12</f>
        <v>7/1/18</v>
      </c>
      <c r="L12" s="2010"/>
      <c r="M12" s="2006" t="s">
        <v>1582</v>
      </c>
      <c r="N12" s="1944"/>
      <c r="O12" s="2010" t="str">
        <f>+I12</f>
        <v>6/30/19</v>
      </c>
      <c r="P12" s="2010"/>
      <c r="Q12" s="2006" t="s">
        <v>1582</v>
      </c>
      <c r="R12" s="1944"/>
      <c r="S12" s="1943" t="s">
        <v>2224</v>
      </c>
      <c r="T12" s="1943"/>
      <c r="U12" s="1943" t="s">
        <v>1257</v>
      </c>
      <c r="V12" s="1944"/>
      <c r="W12" s="1943" t="s">
        <v>30</v>
      </c>
    </row>
    <row r="13" spans="1:23" ht="15.95" customHeight="1" x14ac:dyDescent="0.2">
      <c r="A13" s="2009" t="s">
        <v>2223</v>
      </c>
      <c r="B13" s="1944"/>
      <c r="C13" s="2008" t="s">
        <v>2222</v>
      </c>
      <c r="D13" s="1944"/>
      <c r="E13" s="2008" t="s">
        <v>2221</v>
      </c>
      <c r="F13" s="1943"/>
      <c r="G13" s="2007" t="s">
        <v>2220</v>
      </c>
      <c r="H13" s="2005"/>
      <c r="I13" s="2007" t="s">
        <v>2219</v>
      </c>
      <c r="J13" s="2006"/>
      <c r="K13" s="2007" t="s">
        <v>2218</v>
      </c>
      <c r="L13" s="2007"/>
      <c r="M13" s="2007" t="s">
        <v>1266</v>
      </c>
      <c r="N13" s="2005"/>
      <c r="O13" s="2007" t="s">
        <v>2217</v>
      </c>
      <c r="P13" s="2007"/>
      <c r="Q13" s="2007" t="s">
        <v>1266</v>
      </c>
      <c r="R13" s="2005"/>
      <c r="S13" s="2007" t="s">
        <v>2216</v>
      </c>
      <c r="T13" s="2006"/>
      <c r="U13" s="2007" t="s">
        <v>2215</v>
      </c>
      <c r="V13" s="2005"/>
      <c r="W13" s="2007" t="s">
        <v>2214</v>
      </c>
    </row>
    <row r="14" spans="1:23" x14ac:dyDescent="0.2">
      <c r="A14" s="2009"/>
      <c r="B14" s="1944"/>
      <c r="C14" s="2008"/>
      <c r="D14" s="1944"/>
      <c r="E14" s="2008"/>
      <c r="F14" s="1943"/>
      <c r="G14" s="2007"/>
      <c r="H14" s="2005"/>
      <c r="I14" s="2007"/>
      <c r="J14" s="2006"/>
      <c r="K14" s="2007"/>
      <c r="L14" s="2007"/>
      <c r="N14" s="2005"/>
      <c r="O14" s="2007"/>
      <c r="P14" s="2007"/>
      <c r="Q14" s="2007"/>
      <c r="R14" s="2005"/>
      <c r="S14" s="2007"/>
      <c r="T14" s="2006"/>
      <c r="U14" s="2007"/>
      <c r="V14" s="2005"/>
      <c r="W14" s="2007"/>
    </row>
    <row r="15" spans="1:23" x14ac:dyDescent="0.2">
      <c r="A15" s="1952" t="s">
        <v>2213</v>
      </c>
      <c r="B15" s="1944"/>
      <c r="C15" s="2008"/>
      <c r="D15" s="1944"/>
      <c r="E15" s="2008"/>
      <c r="F15" s="1943"/>
      <c r="G15" s="2007"/>
      <c r="H15" s="2005"/>
      <c r="I15" s="2007"/>
      <c r="J15" s="2006"/>
      <c r="K15" s="2007"/>
      <c r="L15" s="2007"/>
      <c r="M15" s="2007"/>
      <c r="N15" s="2005"/>
      <c r="O15" s="2007"/>
      <c r="P15" s="2007"/>
      <c r="Q15" s="2007"/>
      <c r="R15" s="2005"/>
      <c r="S15" s="2007"/>
      <c r="T15" s="2006"/>
      <c r="U15" s="2007"/>
      <c r="V15" s="2005"/>
      <c r="W15" s="2007"/>
    </row>
    <row r="16" spans="1:23" x14ac:dyDescent="0.2">
      <c r="A16" s="1952" t="s">
        <v>2131</v>
      </c>
      <c r="B16" s="1944"/>
      <c r="C16" s="2008"/>
      <c r="D16" s="1944"/>
      <c r="E16" s="2008"/>
      <c r="F16" s="1943"/>
      <c r="G16" s="2007"/>
      <c r="H16" s="2005"/>
      <c r="I16" s="2007"/>
      <c r="J16" s="2006"/>
      <c r="K16" s="2007"/>
      <c r="L16" s="2007"/>
      <c r="M16" s="2007"/>
      <c r="N16" s="2005"/>
      <c r="O16" s="2007"/>
      <c r="P16" s="2007"/>
      <c r="Q16" s="2007"/>
      <c r="R16" s="2005"/>
      <c r="S16" s="2007"/>
      <c r="T16" s="2006"/>
      <c r="U16" s="2007"/>
      <c r="V16" s="2005"/>
      <c r="W16" s="2007"/>
    </row>
    <row r="17" spans="1:23" x14ac:dyDescent="0.2">
      <c r="A17" s="1960" t="s">
        <v>2196</v>
      </c>
      <c r="B17" s="1937"/>
      <c r="C17" s="1944"/>
      <c r="D17" s="1944"/>
      <c r="E17" s="1944"/>
      <c r="F17" s="1943"/>
      <c r="G17" s="2005"/>
      <c r="H17" s="2005"/>
      <c r="I17" s="2005"/>
      <c r="J17" s="2006"/>
      <c r="K17" s="2005"/>
      <c r="L17" s="2005"/>
      <c r="M17" s="2005"/>
      <c r="N17" s="2005"/>
      <c r="O17" s="2005"/>
      <c r="P17" s="2005"/>
      <c r="Q17" s="2005"/>
      <c r="R17" s="2005"/>
      <c r="S17" s="2005"/>
      <c r="T17" s="2006"/>
      <c r="U17" s="2005" t="s">
        <v>1169</v>
      </c>
      <c r="V17" s="2005"/>
      <c r="W17" s="2005"/>
    </row>
    <row r="18" spans="1:23" x14ac:dyDescent="0.2">
      <c r="A18" s="1943"/>
      <c r="B18" s="1944"/>
      <c r="C18" s="1944"/>
      <c r="D18" s="1944"/>
      <c r="E18" s="1944"/>
      <c r="F18" s="1943"/>
      <c r="G18" s="1941"/>
      <c r="H18" s="1944"/>
      <c r="I18" s="1944"/>
      <c r="J18" s="1943"/>
      <c r="K18" s="1944"/>
      <c r="L18" s="1944"/>
      <c r="M18" s="1944"/>
      <c r="N18" s="1944"/>
      <c r="O18" s="1944"/>
      <c r="P18" s="1944"/>
      <c r="Q18" s="1944"/>
      <c r="R18" s="1944"/>
      <c r="S18" s="1944"/>
      <c r="T18" s="1943"/>
      <c r="U18" s="1944"/>
      <c r="V18" s="1944"/>
      <c r="W18" s="1944"/>
    </row>
    <row r="19" spans="1:23" x14ac:dyDescent="0.2">
      <c r="A19" s="1976" t="s">
        <v>2140</v>
      </c>
      <c r="B19" s="1939" t="s">
        <v>1058</v>
      </c>
      <c r="C19" s="1996">
        <v>10.555</v>
      </c>
      <c r="D19" s="1944"/>
      <c r="E19" s="1943" t="s">
        <v>2212</v>
      </c>
      <c r="F19" s="1943"/>
      <c r="G19" s="1941">
        <v>193825</v>
      </c>
      <c r="H19" s="1944"/>
      <c r="I19" s="1944">
        <v>42054</v>
      </c>
      <c r="J19" s="1943"/>
      <c r="K19" s="1941">
        <v>193825</v>
      </c>
      <c r="L19" s="1941"/>
      <c r="M19" s="1941"/>
      <c r="N19" s="1944"/>
      <c r="O19" s="1944">
        <v>42054</v>
      </c>
      <c r="P19" s="1944"/>
      <c r="Q19" s="1944"/>
      <c r="R19" s="1944"/>
      <c r="S19" s="1944"/>
      <c r="T19" s="1943"/>
      <c r="U19" s="1974">
        <f>K19+O19+S19</f>
        <v>235879</v>
      </c>
      <c r="V19" s="1944"/>
      <c r="W19" s="2002" t="s">
        <v>2121</v>
      </c>
    </row>
    <row r="20" spans="1:23" x14ac:dyDescent="0.2">
      <c r="A20" s="1976" t="s">
        <v>2140</v>
      </c>
      <c r="B20" s="1939" t="s">
        <v>1058</v>
      </c>
      <c r="C20" s="1996">
        <v>10.555</v>
      </c>
      <c r="D20" s="1944"/>
      <c r="E20" s="1943" t="s">
        <v>2211</v>
      </c>
      <c r="F20" s="1943"/>
      <c r="G20" s="1941"/>
      <c r="H20" s="1941"/>
      <c r="I20" s="1941">
        <v>178528</v>
      </c>
      <c r="J20" s="1942"/>
      <c r="K20" s="1941"/>
      <c r="L20" s="1941"/>
      <c r="M20" s="1941"/>
      <c r="N20" s="1941"/>
      <c r="O20" s="1941">
        <v>178528</v>
      </c>
      <c r="P20" s="1941"/>
      <c r="Q20" s="1941"/>
      <c r="R20" s="1941"/>
      <c r="S20" s="1941"/>
      <c r="T20" s="1942">
        <v>-1</v>
      </c>
      <c r="U20" s="1974">
        <f>K20+O20+S20</f>
        <v>178528</v>
      </c>
      <c r="V20" s="1941"/>
      <c r="W20" s="2002" t="s">
        <v>2121</v>
      </c>
    </row>
    <row r="21" spans="1:23" x14ac:dyDescent="0.2">
      <c r="A21" s="1976"/>
      <c r="B21" s="1939"/>
      <c r="C21" s="1996"/>
      <c r="D21" s="1944"/>
      <c r="E21" s="1943"/>
      <c r="F21" s="1943"/>
      <c r="G21" s="1941" t="s">
        <v>1169</v>
      </c>
      <c r="H21" s="1941"/>
      <c r="I21" s="1941"/>
      <c r="J21" s="1942"/>
      <c r="K21" s="1941"/>
      <c r="L21" s="1941"/>
      <c r="M21" s="1941"/>
      <c r="N21" s="1941"/>
      <c r="O21" s="1941"/>
      <c r="P21" s="1941"/>
      <c r="Q21" s="1941"/>
      <c r="R21" s="1941"/>
      <c r="S21" s="1941"/>
      <c r="T21" s="1942"/>
      <c r="U21" s="1974"/>
      <c r="V21" s="1941"/>
      <c r="W21" s="2002"/>
    </row>
    <row r="22" spans="1:23" x14ac:dyDescent="0.2">
      <c r="A22" s="1976"/>
      <c r="B22" s="1939" t="s">
        <v>2210</v>
      </c>
      <c r="C22" s="1996">
        <v>10.555</v>
      </c>
      <c r="D22" s="1944"/>
      <c r="E22" s="1943" t="s">
        <v>2206</v>
      </c>
      <c r="F22" s="1943"/>
      <c r="G22" s="1941"/>
      <c r="H22" s="1941"/>
      <c r="I22" s="1941"/>
      <c r="J22" s="1942"/>
      <c r="K22" s="1941">
        <v>38483</v>
      </c>
      <c r="L22" s="1941"/>
      <c r="M22" s="1941"/>
      <c r="N22" s="1941"/>
      <c r="O22" s="1941"/>
      <c r="P22" s="1941"/>
      <c r="Q22" s="1941"/>
      <c r="R22" s="1941"/>
      <c r="S22" s="1941"/>
      <c r="T22" s="1942"/>
      <c r="U22" s="1974">
        <f>K22+O22+S22</f>
        <v>38483</v>
      </c>
      <c r="V22" s="1941"/>
      <c r="W22" s="2002" t="s">
        <v>2121</v>
      </c>
    </row>
    <row r="23" spans="1:23" x14ac:dyDescent="0.2">
      <c r="A23" s="1976" t="s">
        <v>2140</v>
      </c>
      <c r="B23" s="1939" t="s">
        <v>2210</v>
      </c>
      <c r="C23" s="1996">
        <v>10.555</v>
      </c>
      <c r="D23" s="1944"/>
      <c r="E23" s="1943" t="s">
        <v>2204</v>
      </c>
      <c r="F23" s="1943"/>
      <c r="G23" s="1941"/>
      <c r="H23" s="1941"/>
      <c r="I23" s="1941"/>
      <c r="J23" s="1942"/>
      <c r="K23" s="1941">
        <v>0</v>
      </c>
      <c r="L23" s="1941"/>
      <c r="M23" s="1941"/>
      <c r="N23" s="1941"/>
      <c r="O23" s="1941">
        <v>35168</v>
      </c>
      <c r="P23" s="1941"/>
      <c r="Q23" s="1941"/>
      <c r="R23" s="1941"/>
      <c r="S23" s="1941"/>
      <c r="T23" s="1942"/>
      <c r="U23" s="1974">
        <f>K23+O23+S23</f>
        <v>35168</v>
      </c>
      <c r="V23" s="1941"/>
      <c r="W23" s="2002" t="s">
        <v>2121</v>
      </c>
    </row>
    <row r="24" spans="1:23" x14ac:dyDescent="0.2">
      <c r="A24" s="1976"/>
      <c r="B24" s="1939"/>
      <c r="C24" s="1996"/>
      <c r="D24" s="1944"/>
      <c r="E24" s="1943"/>
      <c r="F24" s="1943"/>
      <c r="G24" s="1941"/>
      <c r="H24" s="1941"/>
      <c r="I24" s="1941"/>
      <c r="J24" s="1942"/>
      <c r="K24" s="1941"/>
      <c r="L24" s="1941"/>
      <c r="M24" s="1941"/>
      <c r="N24" s="1941"/>
      <c r="O24" s="1941"/>
      <c r="P24" s="1941"/>
      <c r="Q24" s="1941"/>
      <c r="R24" s="1941"/>
      <c r="S24" s="1941"/>
      <c r="T24" s="1942"/>
      <c r="U24" s="1974"/>
      <c r="V24" s="1941"/>
      <c r="W24" s="2002"/>
    </row>
    <row r="25" spans="1:23" hidden="1" x14ac:dyDescent="0.2">
      <c r="A25" s="1976"/>
      <c r="B25" s="1939" t="s">
        <v>2209</v>
      </c>
      <c r="C25" s="1996">
        <v>10.55</v>
      </c>
      <c r="D25" s="1944"/>
      <c r="E25" s="1943" t="s">
        <v>2208</v>
      </c>
      <c r="F25" s="1943"/>
      <c r="G25" s="1941"/>
      <c r="H25" s="1941"/>
      <c r="I25" s="1941"/>
      <c r="J25" s="1942"/>
      <c r="K25" s="1941"/>
      <c r="L25" s="1941"/>
      <c r="M25" s="1941"/>
      <c r="N25" s="1941"/>
      <c r="O25" s="1941"/>
      <c r="P25" s="1941"/>
      <c r="Q25" s="1941"/>
      <c r="R25" s="1941"/>
      <c r="S25" s="1941"/>
      <c r="T25" s="1942"/>
      <c r="U25" s="1974">
        <f>K25+O25+S25</f>
        <v>0</v>
      </c>
      <c r="V25" s="1941"/>
      <c r="W25" s="2002" t="s">
        <v>2121</v>
      </c>
    </row>
    <row r="26" spans="1:23" hidden="1" x14ac:dyDescent="0.2">
      <c r="A26" s="1976"/>
      <c r="B26" s="1939"/>
      <c r="C26" s="1996"/>
      <c r="D26" s="1944"/>
      <c r="E26" s="1943"/>
      <c r="F26" s="1943"/>
      <c r="G26" s="1941"/>
      <c r="H26" s="1941"/>
      <c r="I26" s="1941"/>
      <c r="J26" s="1942"/>
      <c r="K26" s="1941"/>
      <c r="L26" s="1941"/>
      <c r="M26" s="1941"/>
      <c r="N26" s="1941"/>
      <c r="O26" s="1941"/>
      <c r="P26" s="1941"/>
      <c r="Q26" s="1941"/>
      <c r="R26" s="1941"/>
      <c r="S26" s="1941"/>
      <c r="T26" s="1942"/>
      <c r="U26" s="1974"/>
      <c r="V26" s="1941"/>
      <c r="W26" s="2002"/>
    </row>
    <row r="27" spans="1:23" x14ac:dyDescent="0.2">
      <c r="A27" s="1976"/>
      <c r="B27" s="1939" t="s">
        <v>2207</v>
      </c>
      <c r="C27" s="1996"/>
      <c r="D27" s="1944"/>
      <c r="E27" s="1943"/>
      <c r="F27" s="1943"/>
      <c r="G27" s="1941"/>
      <c r="H27" s="1941"/>
      <c r="I27" s="1941"/>
      <c r="J27" s="1942"/>
      <c r="K27" s="1941"/>
      <c r="L27" s="1941"/>
      <c r="M27" s="1941"/>
      <c r="N27" s="1941"/>
      <c r="O27" s="1941"/>
      <c r="P27" s="1941"/>
      <c r="Q27" s="1941"/>
      <c r="R27" s="1941"/>
      <c r="S27" s="1941"/>
      <c r="T27" s="1942"/>
      <c r="U27" s="1974"/>
      <c r="V27" s="1941"/>
      <c r="W27" s="2002"/>
    </row>
    <row r="28" spans="1:23" x14ac:dyDescent="0.2">
      <c r="A28" s="1976"/>
      <c r="B28" s="1939" t="s">
        <v>2205</v>
      </c>
      <c r="C28" s="1996">
        <v>10.555</v>
      </c>
      <c r="D28" s="1944"/>
      <c r="E28" s="1943" t="s">
        <v>2206</v>
      </c>
      <c r="F28" s="1943"/>
      <c r="G28" s="1941"/>
      <c r="H28" s="1941"/>
      <c r="I28" s="1941"/>
      <c r="J28" s="1942"/>
      <c r="K28" s="1941">
        <v>14993</v>
      </c>
      <c r="L28" s="1941"/>
      <c r="M28" s="1941"/>
      <c r="N28" s="1941"/>
      <c r="O28" s="1941"/>
      <c r="P28" s="1941"/>
      <c r="Q28" s="1941"/>
      <c r="R28" s="1941"/>
      <c r="S28" s="1941"/>
      <c r="T28" s="1942"/>
      <c r="U28" s="1974">
        <f>S28+O28+K28</f>
        <v>14993</v>
      </c>
      <c r="V28" s="1941"/>
      <c r="W28" s="2002" t="s">
        <v>2121</v>
      </c>
    </row>
    <row r="29" spans="1:23" ht="17.25" x14ac:dyDescent="0.2">
      <c r="A29" s="1976" t="s">
        <v>2140</v>
      </c>
      <c r="B29" s="1939" t="s">
        <v>2205</v>
      </c>
      <c r="C29" s="1996">
        <v>10.555</v>
      </c>
      <c r="D29" s="1944"/>
      <c r="E29" s="1943" t="s">
        <v>2204</v>
      </c>
      <c r="F29" s="1943"/>
      <c r="G29" s="1953">
        <v>0</v>
      </c>
      <c r="H29" s="1941"/>
      <c r="I29" s="1953">
        <v>0</v>
      </c>
      <c r="J29" s="1942"/>
      <c r="K29" s="1953">
        <v>0</v>
      </c>
      <c r="L29" s="1941"/>
      <c r="M29" s="1941"/>
      <c r="N29" s="1941"/>
      <c r="O29" s="1953">
        <v>10831</v>
      </c>
      <c r="P29" s="1941"/>
      <c r="Q29" s="1941"/>
      <c r="R29" s="1941"/>
      <c r="S29" s="1953">
        <v>0</v>
      </c>
      <c r="T29" s="1942"/>
      <c r="U29" s="1963">
        <f>S29+O29+K29</f>
        <v>10831</v>
      </c>
      <c r="V29" s="1941"/>
      <c r="W29" s="2002" t="s">
        <v>2121</v>
      </c>
    </row>
    <row r="30" spans="1:23" ht="17.25" x14ac:dyDescent="0.2">
      <c r="A30" s="1976"/>
      <c r="B30" s="1939"/>
      <c r="C30" s="1996" t="s">
        <v>2248</v>
      </c>
      <c r="D30" s="1944"/>
      <c r="E30" s="1943"/>
      <c r="F30" s="1943"/>
      <c r="G30" s="1953">
        <f>SUM(G19:G29)</f>
        <v>193825</v>
      </c>
      <c r="H30" s="1941"/>
      <c r="I30" s="1953">
        <f>SUM(I19:I29)</f>
        <v>220582</v>
      </c>
      <c r="J30" s="1942"/>
      <c r="K30" s="1953">
        <f>SUM(K19:K29)</f>
        <v>247301</v>
      </c>
      <c r="L30" s="1941"/>
      <c r="M30" s="1941"/>
      <c r="N30" s="1941"/>
      <c r="O30" s="1953">
        <f>SUM(O19:O29)</f>
        <v>266581</v>
      </c>
      <c r="P30" s="1941"/>
      <c r="Q30" s="1941"/>
      <c r="R30" s="1941"/>
      <c r="S30" s="2022">
        <f>SUM(S19:S29)</f>
        <v>0</v>
      </c>
      <c r="T30" s="1942"/>
      <c r="U30" s="1963">
        <f>SUM(U19:U29)</f>
        <v>513882</v>
      </c>
      <c r="V30" s="1941"/>
      <c r="W30" s="2002"/>
    </row>
    <row r="31" spans="1:23" x14ac:dyDescent="0.2">
      <c r="A31" s="1976"/>
      <c r="B31" s="1939"/>
      <c r="C31" s="1996"/>
      <c r="D31" s="1944"/>
      <c r="E31" s="1943"/>
      <c r="F31" s="1943"/>
      <c r="G31" s="1941"/>
      <c r="H31" s="1941"/>
      <c r="I31" s="1941"/>
      <c r="J31" s="1942"/>
      <c r="K31" s="1941"/>
      <c r="L31" s="1941"/>
      <c r="M31" s="1941"/>
      <c r="N31" s="1941"/>
      <c r="O31" s="1941"/>
      <c r="P31" s="1941"/>
      <c r="Q31" s="1941"/>
      <c r="R31" s="1941"/>
      <c r="S31" s="1941"/>
      <c r="T31" s="1942"/>
      <c r="U31" s="1974"/>
      <c r="V31" s="1941"/>
      <c r="W31" s="2002"/>
    </row>
    <row r="32" spans="1:23" x14ac:dyDescent="0.2">
      <c r="A32" s="1976" t="s">
        <v>2140</v>
      </c>
      <c r="B32" s="1939" t="s">
        <v>1059</v>
      </c>
      <c r="C32" s="1996">
        <v>10.553000000000001</v>
      </c>
      <c r="D32" s="1944"/>
      <c r="E32" s="1943" t="s">
        <v>2203</v>
      </c>
      <c r="F32" s="1943" t="s">
        <v>1169</v>
      </c>
      <c r="G32" s="1941">
        <v>58241</v>
      </c>
      <c r="H32" s="1941"/>
      <c r="I32" s="1941">
        <v>11125</v>
      </c>
      <c r="J32" s="1942"/>
      <c r="K32" s="1941">
        <v>58241</v>
      </c>
      <c r="L32" s="1941"/>
      <c r="M32" s="1941"/>
      <c r="N32" s="1941"/>
      <c r="O32" s="1941">
        <v>11125</v>
      </c>
      <c r="P32" s="1941"/>
      <c r="Q32" s="1941"/>
      <c r="R32" s="1941"/>
      <c r="S32" s="1941"/>
      <c r="T32" s="1995"/>
      <c r="U32" s="1974">
        <f>S32+O32+K32</f>
        <v>69366</v>
      </c>
      <c r="V32" s="1941"/>
      <c r="W32" s="2002" t="s">
        <v>2121</v>
      </c>
    </row>
    <row r="33" spans="1:23" ht="17.25" x14ac:dyDescent="0.2">
      <c r="A33" s="1976" t="s">
        <v>2140</v>
      </c>
      <c r="B33" s="1939" t="s">
        <v>1059</v>
      </c>
      <c r="C33" s="1996">
        <v>10.553000000000001</v>
      </c>
      <c r="D33" s="1944"/>
      <c r="E33" s="1943" t="s">
        <v>2202</v>
      </c>
      <c r="F33" s="1943"/>
      <c r="G33" s="1953">
        <v>0</v>
      </c>
      <c r="H33" s="1941"/>
      <c r="I33" s="1973">
        <v>49042</v>
      </c>
      <c r="J33" s="1942"/>
      <c r="K33" s="1953">
        <v>0</v>
      </c>
      <c r="L33" s="1941"/>
      <c r="M33" s="1953">
        <v>0</v>
      </c>
      <c r="N33" s="1941"/>
      <c r="O33" s="1973">
        <v>49042</v>
      </c>
      <c r="P33" s="1941"/>
      <c r="Q33" s="1953">
        <v>0</v>
      </c>
      <c r="R33" s="1941"/>
      <c r="S33" s="1953">
        <v>0</v>
      </c>
      <c r="T33" s="1995">
        <v>-1</v>
      </c>
      <c r="U33" s="1973">
        <f>S33+O33+K33</f>
        <v>49042</v>
      </c>
      <c r="V33" s="1941"/>
      <c r="W33" s="2002" t="s">
        <v>2121</v>
      </c>
    </row>
    <row r="34" spans="1:23" ht="17.25" x14ac:dyDescent="0.2">
      <c r="A34" s="1976"/>
      <c r="B34" s="1939"/>
      <c r="C34" s="1996" t="s">
        <v>2250</v>
      </c>
      <c r="D34" s="1944"/>
      <c r="E34" s="1943"/>
      <c r="F34" s="1943"/>
      <c r="G34" s="1953">
        <f>G32+G33</f>
        <v>58241</v>
      </c>
      <c r="H34" s="1941"/>
      <c r="I34" s="1973">
        <f>I32+I33</f>
        <v>60167</v>
      </c>
      <c r="J34" s="1942"/>
      <c r="K34" s="1953">
        <f>K32+K33</f>
        <v>58241</v>
      </c>
      <c r="L34" s="1941"/>
      <c r="M34" s="1953"/>
      <c r="N34" s="1941"/>
      <c r="O34" s="1973">
        <f>O32+O33</f>
        <v>60167</v>
      </c>
      <c r="P34" s="1941"/>
      <c r="Q34" s="1953"/>
      <c r="R34" s="1941"/>
      <c r="S34" s="2022">
        <f>S32+S33</f>
        <v>0</v>
      </c>
      <c r="T34" s="1995"/>
      <c r="U34" s="1973">
        <f>U32+U33</f>
        <v>118408</v>
      </c>
      <c r="V34" s="1941"/>
      <c r="W34" s="2002"/>
    </row>
    <row r="35" spans="1:23" x14ac:dyDescent="0.2">
      <c r="A35" s="1976"/>
      <c r="B35" s="1939"/>
      <c r="C35" s="1996"/>
      <c r="D35" s="1944"/>
      <c r="E35" s="1943"/>
      <c r="F35" s="1943"/>
      <c r="G35" s="1941"/>
      <c r="H35" s="1941"/>
      <c r="I35" s="1941"/>
      <c r="J35" s="1942"/>
      <c r="K35" s="1941"/>
      <c r="L35" s="1941"/>
      <c r="M35" s="1941"/>
      <c r="N35" s="1941"/>
      <c r="O35" s="1941"/>
      <c r="P35" s="1941"/>
      <c r="Q35" s="1941"/>
      <c r="R35" s="1941"/>
      <c r="S35" s="1941"/>
      <c r="T35" s="1995"/>
      <c r="U35" s="1974"/>
      <c r="V35" s="1941"/>
      <c r="W35" s="2002"/>
    </row>
    <row r="36" spans="1:23" hidden="1" x14ac:dyDescent="0.2">
      <c r="A36" s="1984" t="s">
        <v>2140</v>
      </c>
      <c r="B36" s="1993" t="s">
        <v>2200</v>
      </c>
      <c r="C36" s="1992">
        <v>10.558</v>
      </c>
      <c r="D36" s="1981"/>
      <c r="E36" s="1980" t="s">
        <v>2201</v>
      </c>
      <c r="F36" s="1980"/>
      <c r="G36" s="1977"/>
      <c r="H36" s="1977"/>
      <c r="I36" s="1977"/>
      <c r="J36" s="1979"/>
      <c r="K36" s="1977"/>
      <c r="L36" s="1977"/>
      <c r="M36" s="1977"/>
      <c r="N36" s="1977"/>
      <c r="O36" s="1977"/>
      <c r="P36" s="1977"/>
      <c r="Q36" s="1977"/>
      <c r="R36" s="1977"/>
      <c r="S36" s="1977"/>
      <c r="T36" s="1990"/>
      <c r="U36" s="1983">
        <f>S36+O36+K36</f>
        <v>0</v>
      </c>
      <c r="V36" s="1977"/>
      <c r="W36" s="2000" t="s">
        <v>2121</v>
      </c>
    </row>
    <row r="37" spans="1:23" ht="15.95" hidden="1" customHeight="1" x14ac:dyDescent="0.2">
      <c r="A37" s="1984" t="s">
        <v>2140</v>
      </c>
      <c r="B37" s="1993" t="s">
        <v>2200</v>
      </c>
      <c r="C37" s="1992">
        <v>10.558</v>
      </c>
      <c r="D37" s="1981"/>
      <c r="E37" s="1980" t="s">
        <v>2199</v>
      </c>
      <c r="F37" s="1980"/>
      <c r="G37" s="2003">
        <v>0</v>
      </c>
      <c r="H37" s="2003"/>
      <c r="I37" s="2003">
        <v>0</v>
      </c>
      <c r="J37" s="2004"/>
      <c r="K37" s="2003">
        <v>0</v>
      </c>
      <c r="L37" s="2003"/>
      <c r="M37" s="2003">
        <v>0</v>
      </c>
      <c r="N37" s="2003"/>
      <c r="O37" s="2003">
        <v>0</v>
      </c>
      <c r="P37" s="2003"/>
      <c r="Q37" s="2003">
        <v>0</v>
      </c>
      <c r="R37" s="2003"/>
      <c r="S37" s="2003">
        <v>0</v>
      </c>
      <c r="T37" s="1990">
        <v>-1</v>
      </c>
      <c r="U37" s="2003">
        <f>S37+O37+K37</f>
        <v>0</v>
      </c>
      <c r="V37" s="1977"/>
      <c r="W37" s="2000" t="s">
        <v>2121</v>
      </c>
    </row>
    <row r="38" spans="1:23" s="1937" customFormat="1" ht="17.25" hidden="1" x14ac:dyDescent="0.2">
      <c r="A38" s="1943"/>
      <c r="B38" s="1939"/>
      <c r="C38" s="1996"/>
      <c r="D38" s="1944"/>
      <c r="E38" s="1943"/>
      <c r="F38" s="1943"/>
      <c r="G38" s="1953"/>
      <c r="H38" s="1953"/>
      <c r="I38" s="1953"/>
      <c r="J38" s="1995"/>
      <c r="K38" s="2001"/>
      <c r="L38" s="2001"/>
      <c r="M38" s="2001"/>
      <c r="N38" s="2001"/>
      <c r="O38" s="2001"/>
      <c r="P38" s="2001"/>
      <c r="Q38" s="2001"/>
      <c r="R38" s="1969"/>
      <c r="S38" s="2001"/>
      <c r="T38" s="1995"/>
      <c r="U38" s="2001"/>
      <c r="V38" s="1969"/>
      <c r="W38" s="2002"/>
    </row>
    <row r="39" spans="1:23" ht="15.95" customHeight="1" x14ac:dyDescent="0.2">
      <c r="A39" s="1952" t="s">
        <v>2198</v>
      </c>
      <c r="B39" s="1944"/>
      <c r="C39" s="1944"/>
      <c r="D39" s="1944"/>
      <c r="E39" s="1943" t="s">
        <v>2249</v>
      </c>
      <c r="F39" s="1943"/>
      <c r="G39" s="1946">
        <f>SUM(G30, G34)</f>
        <v>252066</v>
      </c>
      <c r="H39" s="1954"/>
      <c r="I39" s="1946">
        <f>SUM(I30, I34)</f>
        <v>280749</v>
      </c>
      <c r="J39" s="1954"/>
      <c r="K39" s="1946">
        <f>SUM(K30,K34)</f>
        <v>305542</v>
      </c>
      <c r="L39" s="1946"/>
      <c r="M39" s="1953">
        <v>0</v>
      </c>
      <c r="N39" s="1954"/>
      <c r="O39" s="1946">
        <f>SUM(O30, O34)</f>
        <v>326748</v>
      </c>
      <c r="P39" s="1946"/>
      <c r="Q39" s="1953">
        <v>0</v>
      </c>
      <c r="R39" s="1954"/>
      <c r="S39" s="2023">
        <v>0</v>
      </c>
      <c r="T39" s="1954"/>
      <c r="U39" s="1946">
        <f>SUM(U30, U34)</f>
        <v>632290</v>
      </c>
      <c r="V39" s="1941"/>
      <c r="W39" s="1941"/>
    </row>
    <row r="40" spans="1:23" s="1937" customFormat="1" x14ac:dyDescent="0.2">
      <c r="A40" s="1976"/>
      <c r="B40" s="1944"/>
      <c r="C40" s="1944"/>
      <c r="D40" s="1944"/>
      <c r="E40" s="1944"/>
      <c r="F40" s="1943"/>
      <c r="G40" s="1941"/>
      <c r="H40" s="1941"/>
      <c r="I40" s="1941"/>
      <c r="J40" s="1942"/>
      <c r="K40" s="1941"/>
      <c r="L40" s="1941"/>
      <c r="M40" s="1941"/>
      <c r="N40" s="1941"/>
      <c r="O40" s="1941"/>
      <c r="P40" s="1941"/>
      <c r="Q40" s="1941"/>
      <c r="R40" s="1941"/>
      <c r="S40" s="1941"/>
      <c r="T40" s="1942"/>
      <c r="U40" s="1941"/>
      <c r="V40" s="1941"/>
      <c r="W40" s="1941"/>
    </row>
    <row r="41" spans="1:23" s="1937" customFormat="1" x14ac:dyDescent="0.2">
      <c r="A41" s="1952" t="s">
        <v>2197</v>
      </c>
      <c r="B41" s="1944"/>
      <c r="C41" s="1944"/>
      <c r="D41" s="1944"/>
      <c r="E41" s="1944"/>
      <c r="F41" s="1943"/>
      <c r="G41" s="1941"/>
      <c r="H41" s="1941"/>
      <c r="I41" s="1941"/>
      <c r="J41" s="1942"/>
      <c r="K41" s="1941"/>
      <c r="L41" s="1941"/>
      <c r="M41" s="1941"/>
      <c r="N41" s="1941"/>
      <c r="O41" s="1941"/>
      <c r="P41" s="1941"/>
      <c r="Q41" s="1941"/>
      <c r="R41" s="1941"/>
      <c r="S41" s="1941"/>
      <c r="T41" s="1942"/>
      <c r="U41" s="1941"/>
      <c r="V41" s="1941"/>
      <c r="W41" s="1941"/>
    </row>
    <row r="42" spans="1:23" s="1937" customFormat="1" x14ac:dyDescent="0.2">
      <c r="A42" s="1952" t="s">
        <v>2131</v>
      </c>
      <c r="B42" s="1944"/>
      <c r="C42" s="1944"/>
      <c r="D42" s="1944"/>
      <c r="E42" s="1944"/>
      <c r="F42" s="1943"/>
      <c r="G42" s="1941"/>
      <c r="H42" s="1941"/>
      <c r="I42" s="1941"/>
      <c r="J42" s="1942"/>
      <c r="K42" s="1941"/>
      <c r="L42" s="1941"/>
      <c r="M42" s="1941"/>
      <c r="N42" s="1941"/>
      <c r="O42" s="1941"/>
      <c r="P42" s="1941"/>
      <c r="Q42" s="1941"/>
      <c r="R42" s="1941"/>
      <c r="S42" s="1941"/>
      <c r="T42" s="1942"/>
      <c r="U42" s="1941"/>
      <c r="V42" s="1941"/>
      <c r="W42" s="1941"/>
    </row>
    <row r="43" spans="1:23" s="1937" customFormat="1" x14ac:dyDescent="0.2">
      <c r="A43" s="1952" t="s">
        <v>2196</v>
      </c>
      <c r="B43" s="1944"/>
      <c r="C43" s="1944"/>
      <c r="D43" s="1944"/>
      <c r="E43" s="1944"/>
      <c r="F43" s="1943"/>
      <c r="G43" s="1941"/>
      <c r="H43" s="1941"/>
      <c r="I43" s="1941"/>
      <c r="J43" s="1942"/>
      <c r="K43" s="1941"/>
      <c r="L43" s="1941"/>
      <c r="M43" s="1941"/>
      <c r="N43" s="1941"/>
      <c r="O43" s="1941"/>
      <c r="P43" s="1941"/>
      <c r="Q43" s="1941"/>
      <c r="R43" s="1941"/>
      <c r="S43" s="1941"/>
      <c r="T43" s="1942"/>
      <c r="U43" s="1941"/>
      <c r="V43" s="1941"/>
      <c r="W43" s="1941"/>
    </row>
    <row r="44" spans="1:23" s="1937" customFormat="1" x14ac:dyDescent="0.2">
      <c r="F44" s="1943"/>
      <c r="G44" s="1941"/>
      <c r="H44" s="1941"/>
      <c r="I44" s="1941"/>
      <c r="J44" s="1942"/>
      <c r="K44" s="1941"/>
      <c r="L44" s="1941"/>
      <c r="M44" s="1941"/>
      <c r="N44" s="1941"/>
      <c r="O44" s="1941"/>
      <c r="P44" s="1941"/>
      <c r="Q44" s="1941"/>
      <c r="R44" s="1941"/>
      <c r="S44" s="1941"/>
      <c r="T44" s="1942"/>
      <c r="U44" s="1941"/>
      <c r="V44" s="1941"/>
      <c r="W44" s="1941"/>
    </row>
    <row r="45" spans="1:23" hidden="1" x14ac:dyDescent="0.2">
      <c r="A45" s="1984"/>
      <c r="B45" s="1981" t="s">
        <v>2194</v>
      </c>
      <c r="C45" s="1980" t="s">
        <v>2193</v>
      </c>
      <c r="D45" s="1981"/>
      <c r="E45" s="1980" t="s">
        <v>2195</v>
      </c>
      <c r="F45" s="1986"/>
      <c r="G45" s="1977"/>
      <c r="H45" s="1977"/>
      <c r="I45" s="1977"/>
      <c r="J45" s="1977"/>
      <c r="K45" s="1977"/>
      <c r="L45" s="1977"/>
      <c r="M45" s="1977"/>
      <c r="N45" s="1977"/>
      <c r="O45" s="1977"/>
      <c r="P45" s="1977"/>
      <c r="Q45" s="1977"/>
      <c r="R45" s="1977"/>
      <c r="S45" s="1977"/>
      <c r="T45" s="1977"/>
      <c r="U45" s="1983">
        <f>K45+O45+S45</f>
        <v>0</v>
      </c>
      <c r="V45" s="1977"/>
      <c r="W45" s="2000" t="s">
        <v>2121</v>
      </c>
    </row>
    <row r="46" spans="1:23" hidden="1" x14ac:dyDescent="0.2">
      <c r="A46" s="1984" t="s">
        <v>2140</v>
      </c>
      <c r="B46" s="1981" t="s">
        <v>2194</v>
      </c>
      <c r="C46" s="1980" t="s">
        <v>2193</v>
      </c>
      <c r="D46" s="1981"/>
      <c r="E46" s="1980" t="s">
        <v>2192</v>
      </c>
      <c r="F46" s="1986"/>
      <c r="G46" s="1977"/>
      <c r="H46" s="1977"/>
      <c r="I46" s="1977"/>
      <c r="J46" s="1977"/>
      <c r="K46" s="1977"/>
      <c r="L46" s="1977"/>
      <c r="M46" s="1977"/>
      <c r="N46" s="1977"/>
      <c r="O46" s="1977"/>
      <c r="P46" s="1977"/>
      <c r="Q46" s="1977"/>
      <c r="R46" s="1977"/>
      <c r="S46" s="1977"/>
      <c r="T46" s="1977"/>
      <c r="U46" s="1983">
        <f>K46+O46+S46</f>
        <v>0</v>
      </c>
      <c r="V46" s="1977"/>
      <c r="W46" s="2000" t="s">
        <v>2121</v>
      </c>
    </row>
    <row r="47" spans="1:23" hidden="1" x14ac:dyDescent="0.2">
      <c r="A47" s="1994"/>
      <c r="B47" s="1981"/>
      <c r="C47" s="1981"/>
      <c r="D47" s="1981"/>
      <c r="E47" s="1981"/>
      <c r="F47" s="1980"/>
      <c r="G47" s="1977"/>
      <c r="H47" s="1977"/>
      <c r="I47" s="1977"/>
      <c r="J47" s="1979"/>
      <c r="K47" s="1977"/>
      <c r="L47" s="1977"/>
      <c r="M47" s="1977"/>
      <c r="N47" s="1977"/>
      <c r="O47" s="1977"/>
      <c r="P47" s="1977"/>
      <c r="Q47" s="1977"/>
      <c r="R47" s="1977"/>
      <c r="S47" s="1977"/>
      <c r="T47" s="1979"/>
      <c r="U47" s="1977"/>
      <c r="V47" s="1977"/>
      <c r="W47" s="1977"/>
    </row>
    <row r="48" spans="1:23" hidden="1" x14ac:dyDescent="0.2">
      <c r="A48" s="1984"/>
      <c r="B48" s="1981" t="s">
        <v>2172</v>
      </c>
      <c r="C48" s="1992" t="s">
        <v>2190</v>
      </c>
      <c r="D48" s="1997"/>
      <c r="E48" s="1980" t="s">
        <v>2191</v>
      </c>
      <c r="F48" s="1980"/>
      <c r="G48" s="1977">
        <v>0</v>
      </c>
      <c r="H48" s="1977"/>
      <c r="I48" s="1977">
        <v>0</v>
      </c>
      <c r="J48" s="1979"/>
      <c r="K48" s="1977">
        <v>0</v>
      </c>
      <c r="L48" s="1977"/>
      <c r="M48" s="1977"/>
      <c r="N48" s="1977"/>
      <c r="O48" s="1977"/>
      <c r="P48" s="1977"/>
      <c r="Q48" s="1977"/>
      <c r="R48" s="1977"/>
      <c r="S48" s="1977"/>
      <c r="T48" s="1979"/>
      <c r="U48" s="1983">
        <f>K48+O48+S48</f>
        <v>0</v>
      </c>
      <c r="V48" s="1977"/>
      <c r="W48" s="1977">
        <v>0</v>
      </c>
    </row>
    <row r="49" spans="1:23" hidden="1" x14ac:dyDescent="0.2">
      <c r="A49" s="1984"/>
      <c r="B49" s="1981" t="s">
        <v>2172</v>
      </c>
      <c r="C49" s="1992" t="s">
        <v>2190</v>
      </c>
      <c r="D49" s="1997"/>
      <c r="E49" s="1980" t="s">
        <v>2189</v>
      </c>
      <c r="F49" s="1980">
        <v>-2</v>
      </c>
      <c r="G49" s="1977"/>
      <c r="H49" s="1977"/>
      <c r="I49" s="1977"/>
      <c r="J49" s="1979"/>
      <c r="K49" s="1977"/>
      <c r="L49" s="1977"/>
      <c r="M49" s="1977"/>
      <c r="N49" s="1977"/>
      <c r="O49" s="1977"/>
      <c r="P49" s="1977"/>
      <c r="Q49" s="1977"/>
      <c r="R49" s="1977"/>
      <c r="S49" s="1977"/>
      <c r="T49" s="1979"/>
      <c r="U49" s="1983">
        <f>K49+O49+S49</f>
        <v>0</v>
      </c>
      <c r="V49" s="1977"/>
      <c r="W49" s="1977"/>
    </row>
    <row r="50" spans="1:23" hidden="1" x14ac:dyDescent="0.2">
      <c r="A50" s="1984"/>
      <c r="B50" s="1981"/>
      <c r="C50" s="1999"/>
      <c r="D50" s="1981"/>
      <c r="E50" s="1993"/>
      <c r="F50" s="1980"/>
      <c r="G50" s="1977"/>
      <c r="H50" s="1977"/>
      <c r="I50" s="1977"/>
      <c r="J50" s="1979"/>
      <c r="K50" s="1977"/>
      <c r="L50" s="1977"/>
      <c r="M50" s="1977"/>
      <c r="N50" s="1977"/>
      <c r="O50" s="1977"/>
      <c r="P50" s="1977"/>
      <c r="Q50" s="1977"/>
      <c r="R50" s="1977"/>
      <c r="S50" s="1977"/>
      <c r="T50" s="1979"/>
      <c r="U50" s="1983"/>
      <c r="V50" s="1977"/>
      <c r="W50" s="1977"/>
    </row>
    <row r="51" spans="1:23" x14ac:dyDescent="0.2">
      <c r="A51" s="1976"/>
      <c r="B51" s="1939" t="s">
        <v>918</v>
      </c>
      <c r="C51" s="1996" t="s">
        <v>2185</v>
      </c>
      <c r="D51" s="1944"/>
      <c r="E51" s="1943" t="s">
        <v>2188</v>
      </c>
      <c r="F51" s="1998"/>
      <c r="G51" s="1941">
        <f>20287+165149</f>
        <v>185436</v>
      </c>
      <c r="H51" s="1941"/>
      <c r="I51" s="1941">
        <v>1323</v>
      </c>
      <c r="J51" s="1942"/>
      <c r="K51" s="1941">
        <v>186759</v>
      </c>
      <c r="L51" s="1941"/>
      <c r="M51" s="1941"/>
      <c r="N51" s="1941"/>
      <c r="O51" s="1941"/>
      <c r="P51" s="1941"/>
      <c r="Q51" s="1941"/>
      <c r="R51" s="1941"/>
      <c r="S51" s="1941"/>
      <c r="T51" s="1942"/>
      <c r="U51" s="1974">
        <f>S51+O51+K51</f>
        <v>186759</v>
      </c>
      <c r="V51" s="1941"/>
      <c r="W51" s="1941">
        <v>216742</v>
      </c>
    </row>
    <row r="52" spans="1:23" x14ac:dyDescent="0.2">
      <c r="A52" s="1976"/>
      <c r="B52" s="1944" t="s">
        <v>918</v>
      </c>
      <c r="C52" s="1996" t="s">
        <v>2185</v>
      </c>
      <c r="D52" s="1944"/>
      <c r="E52" s="1943" t="s">
        <v>2187</v>
      </c>
      <c r="F52" s="1943"/>
      <c r="G52" s="1941">
        <v>0</v>
      </c>
      <c r="H52" s="1941"/>
      <c r="I52" s="1941">
        <f>197346-3516</f>
        <v>193830</v>
      </c>
      <c r="J52" s="1942"/>
      <c r="K52" s="1941">
        <v>0</v>
      </c>
      <c r="L52" s="1941"/>
      <c r="M52" s="1941"/>
      <c r="N52" s="1941"/>
      <c r="O52" s="1941">
        <v>197346</v>
      </c>
      <c r="P52" s="1941"/>
      <c r="Q52" s="1941"/>
      <c r="R52" s="1941"/>
      <c r="S52" s="1941">
        <v>0</v>
      </c>
      <c r="T52" s="1995"/>
      <c r="U52" s="1974">
        <f>S52+O52+K52</f>
        <v>197346</v>
      </c>
      <c r="V52" s="1941"/>
      <c r="W52" s="1941">
        <v>253055</v>
      </c>
    </row>
    <row r="53" spans="1:23" x14ac:dyDescent="0.2">
      <c r="A53" s="1976"/>
      <c r="B53" s="1944"/>
      <c r="C53" s="1996"/>
      <c r="D53" s="1944"/>
      <c r="E53" s="1943"/>
      <c r="F53" s="1943"/>
      <c r="G53" s="1941"/>
      <c r="H53" s="1941"/>
      <c r="I53" s="1941"/>
      <c r="J53" s="1942"/>
      <c r="K53" s="1941"/>
      <c r="L53" s="1941"/>
      <c r="M53" s="1941"/>
      <c r="N53" s="1941"/>
      <c r="O53" s="1941"/>
      <c r="P53" s="1941"/>
      <c r="Q53" s="1941"/>
      <c r="R53" s="1941"/>
      <c r="S53" s="1941"/>
      <c r="T53" s="1995"/>
      <c r="U53" s="1974"/>
      <c r="V53" s="1941"/>
      <c r="W53" s="1941"/>
    </row>
    <row r="54" spans="1:23" s="1937" customFormat="1" ht="17.25" x14ac:dyDescent="0.2">
      <c r="A54" s="1976"/>
      <c r="B54" s="1944" t="s">
        <v>2186</v>
      </c>
      <c r="C54" s="1996" t="s">
        <v>2185</v>
      </c>
      <c r="D54" s="1944"/>
      <c r="E54" s="1943" t="s">
        <v>2184</v>
      </c>
      <c r="F54" s="1943"/>
      <c r="G54" s="1953">
        <v>0</v>
      </c>
      <c r="H54" s="1941"/>
      <c r="I54" s="1953">
        <v>37675</v>
      </c>
      <c r="J54" s="1942"/>
      <c r="K54" s="1953">
        <v>0</v>
      </c>
      <c r="L54" s="1941"/>
      <c r="M54" s="1941"/>
      <c r="N54" s="1941"/>
      <c r="O54" s="1953">
        <v>37675</v>
      </c>
      <c r="P54" s="1941"/>
      <c r="Q54" s="1941"/>
      <c r="R54" s="1941"/>
      <c r="S54" s="1953">
        <v>0</v>
      </c>
      <c r="T54" s="1995"/>
      <c r="U54" s="1963">
        <f>S54+O54+K54</f>
        <v>37675</v>
      </c>
      <c r="V54" s="1941"/>
      <c r="W54" s="1941">
        <v>52064</v>
      </c>
    </row>
    <row r="55" spans="1:23" s="1937" customFormat="1" ht="17.25" x14ac:dyDescent="0.2">
      <c r="A55" s="1976"/>
      <c r="B55" s="1944"/>
      <c r="C55" s="1996" t="s">
        <v>2251</v>
      </c>
      <c r="D55" s="1944"/>
      <c r="E55" s="1943"/>
      <c r="F55" s="1943"/>
      <c r="G55" s="1953">
        <f>SUM(G51:G54)</f>
        <v>185436</v>
      </c>
      <c r="H55" s="1941"/>
      <c r="I55" s="1953">
        <f>SUM(I51:I54)</f>
        <v>232828</v>
      </c>
      <c r="J55" s="1942"/>
      <c r="K55" s="1953">
        <f>SUM(K51:K54)</f>
        <v>186759</v>
      </c>
      <c r="L55" s="1941"/>
      <c r="M55" s="1941"/>
      <c r="N55" s="1941"/>
      <c r="O55" s="1953">
        <f>SUM(O44:O54)</f>
        <v>235021</v>
      </c>
      <c r="P55" s="1941"/>
      <c r="Q55" s="1941"/>
      <c r="R55" s="1941"/>
      <c r="S55" s="2022">
        <f>SUM(S51:S54)</f>
        <v>0</v>
      </c>
      <c r="T55" s="1995"/>
      <c r="U55" s="1963">
        <f>SUM(U51:U54)</f>
        <v>421780</v>
      </c>
      <c r="V55" s="1941"/>
      <c r="W55" s="1941"/>
    </row>
    <row r="56" spans="1:23" x14ac:dyDescent="0.2">
      <c r="A56" s="1976"/>
      <c r="B56" s="1944"/>
      <c r="C56" s="1996"/>
      <c r="D56" s="1944"/>
      <c r="E56" s="1943"/>
      <c r="F56" s="1943"/>
      <c r="G56" s="1941"/>
      <c r="H56" s="1941"/>
      <c r="I56" s="1941"/>
      <c r="J56" s="1942"/>
      <c r="K56" s="1941"/>
      <c r="L56" s="1941"/>
      <c r="M56" s="1941"/>
      <c r="N56" s="1941"/>
      <c r="O56" s="1941"/>
      <c r="P56" s="1941"/>
      <c r="Q56" s="1941"/>
      <c r="R56" s="1941"/>
      <c r="S56" s="1941"/>
      <c r="T56" s="1995"/>
      <c r="U56" s="1974"/>
      <c r="V56" s="1941"/>
      <c r="W56" s="1941"/>
    </row>
    <row r="57" spans="1:23" x14ac:dyDescent="0.2">
      <c r="A57" s="1976"/>
      <c r="B57" s="1944" t="s">
        <v>2182</v>
      </c>
      <c r="C57" s="1996">
        <v>84.424000000000007</v>
      </c>
      <c r="D57" s="1944"/>
      <c r="E57" s="1943" t="s">
        <v>2183</v>
      </c>
      <c r="F57" s="1943"/>
      <c r="G57" s="1941">
        <v>10000</v>
      </c>
      <c r="H57" s="1941"/>
      <c r="I57" s="1941"/>
      <c r="J57" s="1942"/>
      <c r="K57" s="1941">
        <v>10000</v>
      </c>
      <c r="L57" s="1941"/>
      <c r="M57" s="1941"/>
      <c r="N57" s="1941"/>
      <c r="O57" s="1941"/>
      <c r="P57" s="1941"/>
      <c r="Q57" s="1941"/>
      <c r="R57" s="1941"/>
      <c r="S57" s="1941"/>
      <c r="T57" s="1995"/>
      <c r="U57" s="1974">
        <f>S57+O57+K57</f>
        <v>10000</v>
      </c>
      <c r="V57" s="1941"/>
      <c r="W57" s="1941">
        <v>10000</v>
      </c>
    </row>
    <row r="58" spans="1:23" ht="17.25" x14ac:dyDescent="0.2">
      <c r="A58" s="1976"/>
      <c r="B58" s="1944" t="s">
        <v>2182</v>
      </c>
      <c r="C58" s="1996">
        <v>84.424000000000007</v>
      </c>
      <c r="D58" s="1944"/>
      <c r="E58" s="1943" t="s">
        <v>2181</v>
      </c>
      <c r="F58" s="1943"/>
      <c r="G58" s="1953">
        <v>0</v>
      </c>
      <c r="H58" s="1941"/>
      <c r="I58" s="1953">
        <f>17384-8198</f>
        <v>9186</v>
      </c>
      <c r="J58" s="1942"/>
      <c r="K58" s="1953">
        <v>0</v>
      </c>
      <c r="L58" s="1941"/>
      <c r="M58" s="1941"/>
      <c r="N58" s="1941"/>
      <c r="O58" s="1953">
        <v>17384</v>
      </c>
      <c r="P58" s="1941"/>
      <c r="Q58" s="1941"/>
      <c r="R58" s="1941"/>
      <c r="S58" s="1953">
        <v>0</v>
      </c>
      <c r="T58" s="1995"/>
      <c r="U58" s="1963">
        <f>S58+O58+K58</f>
        <v>17384</v>
      </c>
      <c r="V58" s="1941"/>
      <c r="W58" s="1941">
        <v>23204</v>
      </c>
    </row>
    <row r="59" spans="1:23" ht="17.25" x14ac:dyDescent="0.2">
      <c r="A59" s="1976"/>
      <c r="B59" s="1944"/>
      <c r="C59" s="1996" t="s">
        <v>2252</v>
      </c>
      <c r="D59" s="1944"/>
      <c r="E59" s="1943"/>
      <c r="F59" s="1943"/>
      <c r="G59" s="1953">
        <f>G57+G58</f>
        <v>10000</v>
      </c>
      <c r="H59" s="1941"/>
      <c r="I59" s="1953">
        <f>I57+I58</f>
        <v>9186</v>
      </c>
      <c r="J59" s="1942"/>
      <c r="K59" s="1953">
        <f>K57+K58</f>
        <v>10000</v>
      </c>
      <c r="L59" s="1941"/>
      <c r="M59" s="1941"/>
      <c r="N59" s="1941"/>
      <c r="O59" s="1953">
        <f>O57+O58</f>
        <v>17384</v>
      </c>
      <c r="P59" s="1941"/>
      <c r="Q59" s="1941"/>
      <c r="R59" s="1941"/>
      <c r="S59" s="2022">
        <f>S57+S58</f>
        <v>0</v>
      </c>
      <c r="T59" s="1995"/>
      <c r="U59" s="1963">
        <f>U57+U58</f>
        <v>27384</v>
      </c>
      <c r="V59" s="1941"/>
      <c r="W59" s="1941"/>
    </row>
    <row r="60" spans="1:23" x14ac:dyDescent="0.2">
      <c r="A60" s="1976"/>
      <c r="E60" s="1937"/>
      <c r="F60" s="1943"/>
      <c r="G60" s="1941"/>
      <c r="H60" s="1941"/>
      <c r="I60" s="1941"/>
      <c r="J60" s="1942"/>
      <c r="K60" s="1941"/>
      <c r="L60" s="1941"/>
      <c r="M60" s="1941"/>
      <c r="N60" s="1941"/>
      <c r="O60" s="1941"/>
      <c r="P60" s="1941"/>
      <c r="Q60" s="1941"/>
      <c r="R60" s="1941"/>
      <c r="S60" s="1941"/>
      <c r="T60" s="1942"/>
      <c r="U60" s="1974"/>
      <c r="V60" s="1941"/>
      <c r="W60" s="1941"/>
    </row>
    <row r="61" spans="1:23" x14ac:dyDescent="0.2">
      <c r="A61" s="1943"/>
      <c r="B61" s="1939" t="s">
        <v>758</v>
      </c>
      <c r="C61" s="1996" t="s">
        <v>2179</v>
      </c>
      <c r="D61" s="1944"/>
      <c r="E61" s="1943" t="s">
        <v>2180</v>
      </c>
      <c r="F61" s="1943"/>
      <c r="G61" s="1941">
        <v>44906</v>
      </c>
      <c r="H61" s="1941"/>
      <c r="I61" s="1941">
        <v>2369</v>
      </c>
      <c r="J61" s="1942"/>
      <c r="K61" s="1941">
        <v>47275</v>
      </c>
      <c r="L61" s="1941"/>
      <c r="M61" s="1941"/>
      <c r="N61" s="1941"/>
      <c r="O61" s="1941"/>
      <c r="P61" s="1941"/>
      <c r="Q61" s="1941"/>
      <c r="R61" s="1941"/>
      <c r="S61" s="1941"/>
      <c r="T61" s="1942"/>
      <c r="U61" s="1974">
        <f>S61+O61+K61</f>
        <v>47275</v>
      </c>
      <c r="V61" s="1941"/>
      <c r="W61" s="1957">
        <v>50009</v>
      </c>
    </row>
    <row r="62" spans="1:23" ht="17.25" x14ac:dyDescent="0.2">
      <c r="A62" s="1943"/>
      <c r="B62" s="1939" t="s">
        <v>758</v>
      </c>
      <c r="C62" s="1996" t="s">
        <v>2179</v>
      </c>
      <c r="D62" s="1944"/>
      <c r="E62" s="1943" t="s">
        <v>2178</v>
      </c>
      <c r="F62" s="1943"/>
      <c r="G62" s="2001">
        <v>0</v>
      </c>
      <c r="H62" s="1969"/>
      <c r="I62" s="2001">
        <v>36485</v>
      </c>
      <c r="J62" s="1995"/>
      <c r="K62" s="2001">
        <v>0</v>
      </c>
      <c r="L62" s="1969"/>
      <c r="M62" s="1969"/>
      <c r="N62" s="1969"/>
      <c r="O62" s="2001">
        <v>36485</v>
      </c>
      <c r="P62" s="1969"/>
      <c r="Q62" s="1969"/>
      <c r="R62" s="1969"/>
      <c r="S62" s="2001">
        <v>0</v>
      </c>
      <c r="T62" s="1995"/>
      <c r="U62" s="1963">
        <f>S62+O62+K62</f>
        <v>36485</v>
      </c>
      <c r="V62" s="1969"/>
      <c r="W62" s="1969">
        <v>43147</v>
      </c>
    </row>
    <row r="63" spans="1:23" hidden="1" x14ac:dyDescent="0.2">
      <c r="A63" s="1976"/>
      <c r="B63" s="1944"/>
      <c r="C63" s="1996"/>
      <c r="D63" s="1944"/>
      <c r="E63" s="1943"/>
      <c r="F63" s="1943"/>
      <c r="G63" s="1969"/>
      <c r="H63" s="1969"/>
      <c r="I63" s="1969"/>
      <c r="J63" s="1995"/>
      <c r="K63" s="1969"/>
      <c r="L63" s="1969"/>
      <c r="M63" s="1969"/>
      <c r="N63" s="1969"/>
      <c r="O63" s="1969"/>
      <c r="P63" s="1969"/>
      <c r="Q63" s="1969"/>
      <c r="R63" s="1969"/>
      <c r="S63" s="1969"/>
      <c r="T63" s="1995"/>
      <c r="U63" s="1974"/>
      <c r="V63" s="1969"/>
      <c r="W63" s="1969"/>
    </row>
    <row r="64" spans="1:23" hidden="1" x14ac:dyDescent="0.2">
      <c r="A64" s="1976"/>
      <c r="B64" s="1944" t="s">
        <v>351</v>
      </c>
      <c r="C64" s="1996" t="s">
        <v>2177</v>
      </c>
      <c r="D64" s="1944"/>
      <c r="E64" s="1943" t="s">
        <v>2176</v>
      </c>
      <c r="F64" s="1943"/>
      <c r="G64" s="1969"/>
      <c r="H64" s="1969"/>
      <c r="I64" s="1969"/>
      <c r="J64" s="1995"/>
      <c r="K64" s="1969">
        <v>0</v>
      </c>
      <c r="L64" s="1969"/>
      <c r="M64" s="1969"/>
      <c r="N64" s="1969"/>
      <c r="O64" s="1969"/>
      <c r="P64" s="1969"/>
      <c r="Q64" s="1969"/>
      <c r="R64" s="1969"/>
      <c r="S64" s="1969"/>
      <c r="T64" s="1995"/>
      <c r="U64" s="1974">
        <f>S64+O64+K64</f>
        <v>0</v>
      </c>
      <c r="V64" s="1969"/>
      <c r="W64" s="1969">
        <v>0</v>
      </c>
    </row>
    <row r="65" spans="1:23" hidden="1" x14ac:dyDescent="0.2">
      <c r="A65" s="1976"/>
      <c r="B65" s="1944"/>
      <c r="C65" s="1996"/>
      <c r="D65" s="1944"/>
      <c r="E65" s="1943"/>
      <c r="F65" s="1943"/>
      <c r="G65" s="1969"/>
      <c r="H65" s="1969"/>
      <c r="I65" s="1969"/>
      <c r="J65" s="1995"/>
      <c r="K65" s="1969"/>
      <c r="L65" s="1969"/>
      <c r="M65" s="1969"/>
      <c r="N65" s="1969"/>
      <c r="O65" s="1969"/>
      <c r="P65" s="1969"/>
      <c r="Q65" s="1969"/>
      <c r="R65" s="1969"/>
      <c r="S65" s="1969"/>
      <c r="T65" s="1995"/>
      <c r="U65" s="1974"/>
      <c r="V65" s="1969"/>
      <c r="W65" s="1969"/>
    </row>
    <row r="66" spans="1:23" hidden="1" x14ac:dyDescent="0.2">
      <c r="A66" s="1976"/>
      <c r="B66" s="1944"/>
      <c r="C66" s="1996"/>
      <c r="D66" s="1944"/>
      <c r="E66" s="1943"/>
      <c r="F66" s="1943"/>
      <c r="G66" s="1941"/>
      <c r="H66" s="1941"/>
      <c r="I66" s="1941"/>
      <c r="J66" s="1942"/>
      <c r="K66" s="1941"/>
      <c r="L66" s="1941"/>
      <c r="M66" s="1941"/>
      <c r="N66" s="1941"/>
      <c r="O66" s="1941"/>
      <c r="P66" s="1941"/>
      <c r="Q66" s="1941"/>
      <c r="R66" s="1941"/>
      <c r="S66" s="1941"/>
      <c r="T66" s="1995"/>
      <c r="U66" s="1974"/>
      <c r="V66" s="1941"/>
      <c r="W66" s="1941"/>
    </row>
    <row r="67" spans="1:23" hidden="1" x14ac:dyDescent="0.2">
      <c r="A67" s="1976"/>
      <c r="B67" s="1944" t="s">
        <v>2169</v>
      </c>
      <c r="C67" s="1996" t="s">
        <v>2168</v>
      </c>
      <c r="D67" s="1944"/>
      <c r="E67" s="1943" t="s">
        <v>2175</v>
      </c>
      <c r="F67" s="1943"/>
      <c r="G67" s="1941">
        <v>0</v>
      </c>
      <c r="H67" s="1941"/>
      <c r="I67" s="1941">
        <v>0</v>
      </c>
      <c r="J67" s="1942"/>
      <c r="K67" s="1941">
        <v>0</v>
      </c>
      <c r="L67" s="1941"/>
      <c r="M67" s="1941"/>
      <c r="N67" s="1941"/>
      <c r="O67" s="1941">
        <v>0</v>
      </c>
      <c r="P67" s="1941"/>
      <c r="Q67" s="1941"/>
      <c r="R67" s="1941"/>
      <c r="S67" s="1941"/>
      <c r="T67" s="1995"/>
      <c r="U67" s="1974">
        <f>S67+O67+K67</f>
        <v>0</v>
      </c>
      <c r="V67" s="1941"/>
      <c r="W67" s="1941">
        <v>0</v>
      </c>
    </row>
    <row r="68" spans="1:23" ht="12.75" hidden="1" customHeight="1" x14ac:dyDescent="0.2">
      <c r="A68" s="1976"/>
      <c r="B68" s="1944" t="s">
        <v>2172</v>
      </c>
      <c r="C68" s="1996" t="s">
        <v>2174</v>
      </c>
      <c r="D68" s="1944"/>
      <c r="E68" s="1943" t="s">
        <v>2173</v>
      </c>
      <c r="F68" s="1943"/>
      <c r="G68" s="1941"/>
      <c r="H68" s="1941"/>
      <c r="I68" s="1941"/>
      <c r="J68" s="1942"/>
      <c r="K68" s="1941"/>
      <c r="L68" s="1941"/>
      <c r="M68" s="1941"/>
      <c r="N68" s="1941"/>
      <c r="O68" s="1941"/>
      <c r="P68" s="1941"/>
      <c r="Q68" s="1941"/>
      <c r="R68" s="1941"/>
      <c r="S68" s="1941"/>
      <c r="T68" s="1995"/>
      <c r="U68" s="1974">
        <f>S68+O68+K68</f>
        <v>0</v>
      </c>
      <c r="V68" s="1941"/>
      <c r="W68" s="1941"/>
    </row>
    <row r="69" spans="1:23" ht="12.75" customHeight="1" x14ac:dyDescent="0.2">
      <c r="A69" s="1976"/>
      <c r="B69" s="1944"/>
      <c r="C69" s="1996" t="s">
        <v>2253</v>
      </c>
      <c r="D69" s="1944"/>
      <c r="E69" s="1943"/>
      <c r="F69" s="1943"/>
      <c r="G69" s="1953">
        <f>G61+G62</f>
        <v>44906</v>
      </c>
      <c r="H69" s="1941"/>
      <c r="I69" s="1953">
        <f>I61+I62</f>
        <v>38854</v>
      </c>
      <c r="J69" s="1942"/>
      <c r="K69" s="1953">
        <f>K61+K62</f>
        <v>47275</v>
      </c>
      <c r="L69" s="1941"/>
      <c r="M69" s="1941"/>
      <c r="N69" s="1941"/>
      <c r="O69" s="1953">
        <f>O61+O62</f>
        <v>36485</v>
      </c>
      <c r="P69" s="1941"/>
      <c r="Q69" s="1941"/>
      <c r="R69" s="1941"/>
      <c r="S69" s="2022">
        <f>S61+S62</f>
        <v>0</v>
      </c>
      <c r="T69" s="1995"/>
      <c r="U69" s="1963">
        <f>U61+U62</f>
        <v>83760</v>
      </c>
      <c r="V69" s="1941"/>
      <c r="W69" s="1941"/>
    </row>
    <row r="70" spans="1:23" ht="12.75" customHeight="1" x14ac:dyDescent="0.2">
      <c r="A70" s="1976"/>
      <c r="B70" s="1944"/>
      <c r="C70" s="1996"/>
      <c r="D70" s="1944"/>
      <c r="E70" s="1943"/>
      <c r="F70" s="1943"/>
      <c r="G70" s="1941"/>
      <c r="H70" s="1941"/>
      <c r="I70" s="1941"/>
      <c r="J70" s="1941"/>
      <c r="K70" s="1941"/>
      <c r="L70" s="1941"/>
      <c r="M70" s="1941"/>
      <c r="N70" s="1941"/>
      <c r="O70" s="1941"/>
      <c r="P70" s="1941"/>
      <c r="Q70" s="1941"/>
      <c r="R70" s="1941"/>
      <c r="S70" s="1941"/>
      <c r="T70" s="1941"/>
      <c r="U70" s="1941"/>
      <c r="V70" s="1941"/>
      <c r="W70" s="1941"/>
    </row>
    <row r="71" spans="1:23" ht="12.75" hidden="1" customHeight="1" x14ac:dyDescent="0.2">
      <c r="A71" s="1976"/>
      <c r="B71" s="1981" t="s">
        <v>2172</v>
      </c>
      <c r="C71" s="1992">
        <v>84.358000000000004</v>
      </c>
      <c r="D71" s="1981"/>
      <c r="E71" s="1980" t="s">
        <v>2171</v>
      </c>
      <c r="F71" s="1980"/>
      <c r="G71" s="1977"/>
      <c r="H71" s="1977"/>
      <c r="I71" s="1977"/>
      <c r="J71" s="1977"/>
      <c r="K71" s="1977"/>
      <c r="L71" s="1977"/>
      <c r="M71" s="1977"/>
      <c r="N71" s="1977"/>
      <c r="O71" s="1977"/>
      <c r="P71" s="1977"/>
      <c r="Q71" s="1977"/>
      <c r="R71" s="1977"/>
      <c r="S71" s="1977"/>
      <c r="T71" s="1977"/>
      <c r="U71" s="1983">
        <f>S71+O71+K71</f>
        <v>0</v>
      </c>
      <c r="V71" s="1977"/>
      <c r="W71" s="1977"/>
    </row>
    <row r="72" spans="1:23" ht="13.5" hidden="1" customHeight="1" x14ac:dyDescent="0.2">
      <c r="A72" s="1976"/>
      <c r="B72" s="1981"/>
      <c r="C72" s="1992"/>
      <c r="D72" s="1981"/>
      <c r="E72" s="1980"/>
      <c r="F72" s="1980"/>
      <c r="G72" s="1977"/>
      <c r="H72" s="1977"/>
      <c r="I72" s="1977"/>
      <c r="J72" s="1979"/>
      <c r="K72" s="1977"/>
      <c r="L72" s="1977"/>
      <c r="M72" s="1977"/>
      <c r="N72" s="1977"/>
      <c r="O72" s="1997"/>
      <c r="P72" s="1997"/>
      <c r="Q72" s="1997"/>
      <c r="R72" s="1977"/>
      <c r="S72" s="1977"/>
      <c r="T72" s="1990"/>
      <c r="U72" s="1983"/>
      <c r="V72" s="1977"/>
      <c r="W72" s="1977"/>
    </row>
    <row r="73" spans="1:23" hidden="1" x14ac:dyDescent="0.2">
      <c r="A73" s="1976"/>
      <c r="B73" s="1981" t="s">
        <v>2169</v>
      </c>
      <c r="C73" s="1992" t="s">
        <v>2168</v>
      </c>
      <c r="D73" s="1981"/>
      <c r="E73" s="1980" t="s">
        <v>2170</v>
      </c>
      <c r="F73" s="1980"/>
      <c r="G73" s="1977"/>
      <c r="H73" s="1977"/>
      <c r="I73" s="1977"/>
      <c r="J73" s="1979"/>
      <c r="K73" s="1977"/>
      <c r="L73" s="1977"/>
      <c r="M73" s="1977"/>
      <c r="N73" s="1977"/>
      <c r="O73" s="1977"/>
      <c r="P73" s="1977"/>
      <c r="Q73" s="1977"/>
      <c r="R73" s="1977"/>
      <c r="S73" s="1977"/>
      <c r="T73" s="1990"/>
      <c r="U73" s="1983">
        <f>S73+O73+K73</f>
        <v>0</v>
      </c>
      <c r="V73" s="1977"/>
      <c r="W73" s="1977" t="s">
        <v>1169</v>
      </c>
    </row>
    <row r="74" spans="1:23" hidden="1" x14ac:dyDescent="0.2">
      <c r="A74" s="1976"/>
      <c r="B74" s="1981" t="s">
        <v>2169</v>
      </c>
      <c r="C74" s="1992" t="s">
        <v>2168</v>
      </c>
      <c r="D74" s="1981"/>
      <c r="E74" s="1980" t="s">
        <v>2167</v>
      </c>
      <c r="F74" s="1980"/>
      <c r="G74" s="1977"/>
      <c r="H74" s="1977"/>
      <c r="I74" s="1977"/>
      <c r="J74" s="1979"/>
      <c r="K74" s="1977"/>
      <c r="L74" s="1977"/>
      <c r="M74" s="1977"/>
      <c r="N74" s="1977"/>
      <c r="O74" s="1977"/>
      <c r="P74" s="1977"/>
      <c r="Q74" s="1977"/>
      <c r="R74" s="1977"/>
      <c r="S74" s="1977"/>
      <c r="T74" s="1990"/>
      <c r="U74" s="1983">
        <f>S74+O74+K74</f>
        <v>0</v>
      </c>
      <c r="V74" s="1977"/>
      <c r="W74" s="1977"/>
    </row>
    <row r="75" spans="1:23" hidden="1" x14ac:dyDescent="0.2">
      <c r="A75" s="1976"/>
      <c r="B75" s="1981" t="s">
        <v>1169</v>
      </c>
      <c r="C75" s="1992" t="s">
        <v>1169</v>
      </c>
      <c r="D75" s="1981"/>
      <c r="E75" s="1980" t="s">
        <v>1169</v>
      </c>
      <c r="F75" s="1980"/>
      <c r="G75" s="1977"/>
      <c r="H75" s="1977"/>
      <c r="I75" s="1977"/>
      <c r="J75" s="1979"/>
      <c r="K75" s="1977"/>
      <c r="L75" s="1977"/>
      <c r="M75" s="1977"/>
      <c r="N75" s="1977"/>
      <c r="O75" s="1977"/>
      <c r="P75" s="1977"/>
      <c r="Q75" s="1977"/>
      <c r="R75" s="1977"/>
      <c r="S75" s="1977"/>
      <c r="T75" s="1990"/>
      <c r="U75" s="1983"/>
      <c r="V75" s="1977"/>
      <c r="W75" s="1977">
        <v>0</v>
      </c>
    </row>
    <row r="76" spans="1:23" hidden="1" x14ac:dyDescent="0.2">
      <c r="A76" s="1976"/>
      <c r="B76" s="1981" t="s">
        <v>1428</v>
      </c>
      <c r="C76" s="1992">
        <v>84.412999999999997</v>
      </c>
      <c r="D76" s="1981"/>
      <c r="E76" s="1980" t="s">
        <v>2166</v>
      </c>
      <c r="F76" s="1980"/>
      <c r="G76" s="1977"/>
      <c r="H76" s="1977"/>
      <c r="I76" s="1977"/>
      <c r="J76" s="1979"/>
      <c r="K76" s="1977"/>
      <c r="L76" s="1977"/>
      <c r="M76" s="1977"/>
      <c r="N76" s="1977"/>
      <c r="O76" s="1977"/>
      <c r="P76" s="1977"/>
      <c r="Q76" s="1977"/>
      <c r="R76" s="1977"/>
      <c r="S76" s="1977"/>
      <c r="T76" s="1990"/>
      <c r="U76" s="1983">
        <f>S76+O76+K76</f>
        <v>0</v>
      </c>
      <c r="V76" s="1977"/>
      <c r="W76" s="1977"/>
    </row>
    <row r="77" spans="1:23" hidden="1" x14ac:dyDescent="0.2">
      <c r="A77" s="1976"/>
      <c r="B77" s="1981" t="s">
        <v>1428</v>
      </c>
      <c r="C77" s="1992">
        <v>84.412999999999997</v>
      </c>
      <c r="D77" s="1981"/>
      <c r="E77" s="1980" t="s">
        <v>2165</v>
      </c>
      <c r="F77" s="1980"/>
      <c r="G77" s="1977"/>
      <c r="H77" s="1977"/>
      <c r="I77" s="1977"/>
      <c r="J77" s="1979"/>
      <c r="K77" s="1977"/>
      <c r="L77" s="1977"/>
      <c r="M77" s="1977"/>
      <c r="N77" s="1977"/>
      <c r="O77" s="1977"/>
      <c r="P77" s="1977"/>
      <c r="Q77" s="1977"/>
      <c r="R77" s="1977"/>
      <c r="S77" s="1977"/>
      <c r="T77" s="1990"/>
      <c r="U77" s="1983">
        <f>S77+O77+K77</f>
        <v>0</v>
      </c>
      <c r="V77" s="1977"/>
      <c r="W77" s="1977"/>
    </row>
    <row r="78" spans="1:23" hidden="1" x14ac:dyDescent="0.2">
      <c r="A78" s="1976"/>
      <c r="B78" s="1981"/>
      <c r="C78" s="1992"/>
      <c r="D78" s="1981"/>
      <c r="E78" s="1980"/>
      <c r="F78" s="1980"/>
      <c r="G78" s="1977"/>
      <c r="H78" s="1977"/>
      <c r="I78" s="1977"/>
      <c r="J78" s="1979"/>
      <c r="K78" s="1977"/>
      <c r="L78" s="1977"/>
      <c r="M78" s="1977"/>
      <c r="N78" s="1977"/>
      <c r="O78" s="1977"/>
      <c r="P78" s="1977"/>
      <c r="Q78" s="1977"/>
      <c r="R78" s="1977"/>
      <c r="S78" s="1977"/>
      <c r="T78" s="1990"/>
      <c r="U78" s="1983"/>
      <c r="V78" s="1977"/>
      <c r="W78" s="1977"/>
    </row>
    <row r="79" spans="1:23" hidden="1" x14ac:dyDescent="0.2">
      <c r="A79" s="1976"/>
      <c r="B79" s="1981" t="s">
        <v>1428</v>
      </c>
      <c r="C79" s="1992">
        <v>84.412999999999997</v>
      </c>
      <c r="D79" s="1981"/>
      <c r="E79" s="1980" t="s">
        <v>2164</v>
      </c>
      <c r="F79" s="1980"/>
      <c r="G79" s="1977"/>
      <c r="H79" s="1977"/>
      <c r="I79" s="1977"/>
      <c r="J79" s="1979"/>
      <c r="K79" s="1977"/>
      <c r="L79" s="1977"/>
      <c r="M79" s="1977"/>
      <c r="N79" s="1977"/>
      <c r="O79" s="1977"/>
      <c r="P79" s="1977"/>
      <c r="Q79" s="1977"/>
      <c r="R79" s="1977"/>
      <c r="S79" s="1977"/>
      <c r="T79" s="1990"/>
      <c r="U79" s="1983">
        <f>S79+O79+K79</f>
        <v>0</v>
      </c>
      <c r="V79" s="1977"/>
      <c r="W79" s="1977"/>
    </row>
    <row r="80" spans="1:23" hidden="1" x14ac:dyDescent="0.2">
      <c r="A80" s="1976"/>
      <c r="B80" s="1981" t="s">
        <v>1428</v>
      </c>
      <c r="C80" s="1992">
        <v>84.412999999999997</v>
      </c>
      <c r="D80" s="1981"/>
      <c r="E80" s="1980" t="s">
        <v>2163</v>
      </c>
      <c r="F80" s="1980"/>
      <c r="G80" s="1977"/>
      <c r="H80" s="1977"/>
      <c r="I80" s="1977"/>
      <c r="J80" s="1979"/>
      <c r="K80" s="1977"/>
      <c r="L80" s="1977"/>
      <c r="M80" s="1977"/>
      <c r="N80" s="1977"/>
      <c r="O80" s="1977"/>
      <c r="P80" s="1977"/>
      <c r="Q80" s="1977"/>
      <c r="R80" s="1977"/>
      <c r="S80" s="1977"/>
      <c r="T80" s="1990"/>
      <c r="U80" s="1983">
        <f>S80+O80+K80</f>
        <v>0</v>
      </c>
      <c r="V80" s="1977"/>
      <c r="W80" s="1977"/>
    </row>
    <row r="81" spans="1:23" hidden="1" x14ac:dyDescent="0.2">
      <c r="A81" s="1976"/>
      <c r="B81" s="1981"/>
      <c r="C81" s="1992"/>
      <c r="D81" s="1981"/>
      <c r="E81" s="1980"/>
      <c r="F81" s="1980"/>
      <c r="G81" s="1977"/>
      <c r="H81" s="1977"/>
      <c r="I81" s="1977"/>
      <c r="J81" s="1979"/>
      <c r="K81" s="1977"/>
      <c r="L81" s="1977"/>
      <c r="M81" s="1977"/>
      <c r="N81" s="1977"/>
      <c r="O81" s="1977"/>
      <c r="P81" s="1977"/>
      <c r="Q81" s="1977"/>
      <c r="R81" s="1977"/>
      <c r="S81" s="1977"/>
      <c r="T81" s="1990"/>
      <c r="U81" s="1983"/>
      <c r="V81" s="1977"/>
      <c r="W81" s="1977"/>
    </row>
    <row r="82" spans="1:23" hidden="1" x14ac:dyDescent="0.2">
      <c r="A82" s="1976"/>
      <c r="B82" s="1981" t="s">
        <v>2161</v>
      </c>
      <c r="C82" s="1992">
        <v>84.027000000000001</v>
      </c>
      <c r="D82" s="1981"/>
      <c r="E82" s="1980" t="s">
        <v>2162</v>
      </c>
      <c r="F82" s="1980"/>
      <c r="G82" s="1977"/>
      <c r="H82" s="1977"/>
      <c r="I82" s="1977"/>
      <c r="J82" s="1979"/>
      <c r="K82" s="1977"/>
      <c r="L82" s="1977"/>
      <c r="M82" s="1977"/>
      <c r="N82" s="1977"/>
      <c r="O82" s="1977"/>
      <c r="P82" s="1977"/>
      <c r="Q82" s="1977"/>
      <c r="R82" s="1977"/>
      <c r="S82" s="1977"/>
      <c r="T82" s="1990"/>
      <c r="U82" s="1983">
        <f>S82+O82+K82</f>
        <v>0</v>
      </c>
      <c r="V82" s="1977"/>
      <c r="W82" s="1987" t="s">
        <v>2121</v>
      </c>
    </row>
    <row r="83" spans="1:23" hidden="1" x14ac:dyDescent="0.2">
      <c r="A83" s="1976"/>
      <c r="B83" s="1981" t="s">
        <v>2161</v>
      </c>
      <c r="C83" s="1992">
        <v>84.027000000000001</v>
      </c>
      <c r="D83" s="1981"/>
      <c r="E83" s="1980" t="s">
        <v>2160</v>
      </c>
      <c r="F83" s="1980"/>
      <c r="G83" s="1977"/>
      <c r="H83" s="1977"/>
      <c r="I83" s="1977"/>
      <c r="J83" s="1979"/>
      <c r="K83" s="1977"/>
      <c r="L83" s="1977"/>
      <c r="M83" s="1977"/>
      <c r="N83" s="1977"/>
      <c r="O83" s="1977"/>
      <c r="P83" s="1977"/>
      <c r="Q83" s="1977"/>
      <c r="R83" s="1977"/>
      <c r="S83" s="1977"/>
      <c r="T83" s="1990"/>
      <c r="U83" s="1983">
        <f>S83+O83+K83</f>
        <v>0</v>
      </c>
      <c r="V83" s="1977"/>
      <c r="W83" s="1987" t="s">
        <v>2121</v>
      </c>
    </row>
    <row r="84" spans="1:23" hidden="1" x14ac:dyDescent="0.2">
      <c r="A84" s="1976"/>
      <c r="B84" s="1944"/>
      <c r="C84" s="1996"/>
      <c r="D84" s="1944"/>
      <c r="E84" s="1943"/>
      <c r="F84" s="1943"/>
      <c r="G84" s="1941"/>
      <c r="H84" s="1941"/>
      <c r="I84" s="1941"/>
      <c r="J84" s="1942"/>
      <c r="K84" s="1941"/>
      <c r="L84" s="1941"/>
      <c r="M84" s="1941"/>
      <c r="N84" s="1941"/>
      <c r="O84" s="1941"/>
      <c r="P84" s="1941"/>
      <c r="Q84" s="1941"/>
      <c r="R84" s="1941"/>
      <c r="S84" s="1941"/>
      <c r="T84" s="1995"/>
      <c r="U84" s="1974"/>
      <c r="V84" s="1941"/>
      <c r="W84" s="1957"/>
    </row>
    <row r="85" spans="1:23" x14ac:dyDescent="0.2">
      <c r="A85" s="1976"/>
      <c r="B85" s="1944" t="s">
        <v>2158</v>
      </c>
      <c r="C85" s="1996" t="s">
        <v>2157</v>
      </c>
      <c r="D85" s="1944"/>
      <c r="E85" s="1943" t="s">
        <v>2159</v>
      </c>
      <c r="F85" s="1943"/>
      <c r="G85" s="1941"/>
      <c r="H85" s="1941"/>
      <c r="I85" s="1941">
        <v>12969</v>
      </c>
      <c r="J85" s="1942"/>
      <c r="K85" s="1941">
        <v>12969</v>
      </c>
      <c r="L85" s="1941"/>
      <c r="M85" s="1941"/>
      <c r="N85" s="1941"/>
      <c r="O85" s="1941"/>
      <c r="P85" s="1941"/>
      <c r="Q85" s="1941"/>
      <c r="R85" s="1941"/>
      <c r="S85" s="1941"/>
      <c r="T85" s="1995"/>
      <c r="U85" s="1974">
        <f>S85+O85+K85</f>
        <v>12969</v>
      </c>
      <c r="V85" s="1941"/>
      <c r="W85" s="1957" t="s">
        <v>2121</v>
      </c>
    </row>
    <row r="86" spans="1:23" x14ac:dyDescent="0.2">
      <c r="A86" s="1976" t="s">
        <v>2140</v>
      </c>
      <c r="B86" s="1944" t="s">
        <v>2158</v>
      </c>
      <c r="C86" s="1996" t="s">
        <v>2157</v>
      </c>
      <c r="D86" s="1944"/>
      <c r="E86" s="1943" t="s">
        <v>2156</v>
      </c>
      <c r="F86" s="1943"/>
      <c r="G86" s="1941"/>
      <c r="H86" s="1941"/>
      <c r="I86" s="1941"/>
      <c r="J86" s="1942"/>
      <c r="K86" s="1941"/>
      <c r="L86" s="1941"/>
      <c r="M86" s="1941"/>
      <c r="N86" s="1941"/>
      <c r="O86" s="1941">
        <v>16953.34</v>
      </c>
      <c r="P86" s="1941"/>
      <c r="Q86" s="1941"/>
      <c r="R86" s="1941"/>
      <c r="S86" s="1941"/>
      <c r="T86" s="1995"/>
      <c r="U86" s="1974">
        <f>S86+O86+K86</f>
        <v>16953.34</v>
      </c>
      <c r="V86" s="1941"/>
      <c r="W86" s="1957" t="s">
        <v>2121</v>
      </c>
    </row>
    <row r="87" spans="1:23" x14ac:dyDescent="0.2">
      <c r="A87" s="1976"/>
      <c r="B87" s="1944"/>
      <c r="C87" s="1996"/>
      <c r="D87" s="1944"/>
      <c r="E87" s="1943"/>
      <c r="F87" s="1943"/>
      <c r="G87" s="1941"/>
      <c r="H87" s="1941"/>
      <c r="I87" s="1941"/>
      <c r="J87" s="1942"/>
      <c r="K87" s="1941"/>
      <c r="L87" s="1941"/>
      <c r="M87" s="1941"/>
      <c r="N87" s="1941"/>
      <c r="O87" s="1941"/>
      <c r="P87" s="1941"/>
      <c r="Q87" s="1941"/>
      <c r="R87" s="1941"/>
      <c r="S87" s="1941"/>
      <c r="T87" s="1995"/>
      <c r="U87" s="1974"/>
      <c r="V87" s="1941"/>
      <c r="W87" s="1941"/>
    </row>
    <row r="88" spans="1:23" hidden="1" x14ac:dyDescent="0.2">
      <c r="A88" s="1994" t="s">
        <v>2131</v>
      </c>
      <c r="B88" s="1981"/>
      <c r="C88" s="1992"/>
      <c r="D88" s="1981"/>
      <c r="E88" s="1980"/>
      <c r="F88" s="1980"/>
      <c r="G88" s="1977"/>
      <c r="H88" s="1977"/>
      <c r="I88" s="1977"/>
      <c r="J88" s="1979"/>
      <c r="K88" s="1977"/>
      <c r="L88" s="1977"/>
      <c r="M88" s="1977"/>
      <c r="N88" s="1977"/>
      <c r="O88" s="1977"/>
      <c r="P88" s="1977"/>
      <c r="Q88" s="1977"/>
      <c r="R88" s="1977"/>
      <c r="S88" s="1977"/>
      <c r="T88" s="1990"/>
      <c r="U88" s="1983"/>
      <c r="V88" s="1977"/>
      <c r="W88" s="1977"/>
    </row>
    <row r="89" spans="1:23" hidden="1" x14ac:dyDescent="0.2">
      <c r="A89" s="1994" t="s">
        <v>2155</v>
      </c>
      <c r="B89" s="1981"/>
      <c r="C89" s="1992"/>
      <c r="D89" s="1981"/>
      <c r="E89" s="1980"/>
      <c r="F89" s="1980"/>
      <c r="G89" s="1977"/>
      <c r="H89" s="1977"/>
      <c r="I89" s="1977"/>
      <c r="J89" s="1979"/>
      <c r="K89" s="1977"/>
      <c r="L89" s="1977"/>
      <c r="M89" s="1977"/>
      <c r="N89" s="1977"/>
      <c r="O89" s="1977"/>
      <c r="P89" s="1977"/>
      <c r="Q89" s="1977"/>
      <c r="R89" s="1977"/>
      <c r="S89" s="1977"/>
      <c r="T89" s="1990"/>
      <c r="U89" s="1983"/>
      <c r="V89" s="1977"/>
      <c r="W89" s="1977"/>
    </row>
    <row r="90" spans="1:23" hidden="1" x14ac:dyDescent="0.2">
      <c r="A90" s="1984"/>
      <c r="B90" s="1981"/>
      <c r="C90" s="1992"/>
      <c r="D90" s="1981"/>
      <c r="E90" s="1980"/>
      <c r="F90" s="1980"/>
      <c r="G90" s="1977"/>
      <c r="H90" s="1977"/>
      <c r="I90" s="1977"/>
      <c r="J90" s="1979"/>
      <c r="K90" s="1977"/>
      <c r="L90" s="1977"/>
      <c r="M90" s="1977"/>
      <c r="N90" s="1977"/>
      <c r="O90" s="1977"/>
      <c r="P90" s="1977"/>
      <c r="Q90" s="1977"/>
      <c r="R90" s="1977"/>
      <c r="S90" s="1977"/>
      <c r="T90" s="1990"/>
      <c r="U90" s="1983"/>
      <c r="V90" s="1977"/>
      <c r="W90" s="1977"/>
    </row>
    <row r="91" spans="1:23" hidden="1" x14ac:dyDescent="0.2">
      <c r="A91" s="1984"/>
      <c r="B91" s="1981" t="s">
        <v>2154</v>
      </c>
      <c r="C91" s="1982" t="s">
        <v>2153</v>
      </c>
      <c r="D91" s="1981"/>
      <c r="E91" s="1985" t="s">
        <v>2152</v>
      </c>
      <c r="F91" s="1980"/>
      <c r="G91" s="1977"/>
      <c r="H91" s="1979"/>
      <c r="I91" s="1977"/>
      <c r="J91" s="1977"/>
      <c r="K91" s="1977"/>
      <c r="L91" s="1977"/>
      <c r="M91" s="1977"/>
      <c r="N91" s="1977"/>
      <c r="O91" s="1977"/>
      <c r="P91" s="1977"/>
      <c r="Q91" s="1977"/>
      <c r="R91" s="1979"/>
      <c r="S91" s="1977"/>
      <c r="T91" s="1979"/>
      <c r="U91" s="1983">
        <f>K91+O91+S91</f>
        <v>0</v>
      </c>
      <c r="V91" s="1977"/>
      <c r="W91" s="1977">
        <v>2331</v>
      </c>
    </row>
    <row r="92" spans="1:23" ht="16.5" hidden="1" customHeight="1" x14ac:dyDescent="0.2">
      <c r="A92" s="1984"/>
      <c r="B92" s="1993"/>
      <c r="C92" s="1992"/>
      <c r="D92" s="1981"/>
      <c r="E92" s="1980"/>
      <c r="F92" s="1980"/>
      <c r="G92" s="1977"/>
      <c r="H92" s="1977"/>
      <c r="I92" s="1977"/>
      <c r="J92" s="1979"/>
      <c r="K92" s="1991"/>
      <c r="L92" s="1991"/>
      <c r="M92" s="1991"/>
      <c r="N92" s="1977"/>
      <c r="O92" s="1991"/>
      <c r="P92" s="1991"/>
      <c r="Q92" s="1991"/>
      <c r="R92" s="1977"/>
      <c r="S92" s="1977"/>
      <c r="T92" s="1990"/>
      <c r="U92" s="1983"/>
      <c r="V92" s="1977"/>
      <c r="W92" s="1977"/>
    </row>
    <row r="93" spans="1:23" hidden="1" x14ac:dyDescent="0.2">
      <c r="A93" s="1994" t="s">
        <v>2131</v>
      </c>
      <c r="B93" s="1993"/>
      <c r="C93" s="1992"/>
      <c r="D93" s="1981"/>
      <c r="E93" s="1980"/>
      <c r="F93" s="1980"/>
      <c r="G93" s="1977"/>
      <c r="H93" s="1977"/>
      <c r="I93" s="1977"/>
      <c r="J93" s="1979"/>
      <c r="K93" s="1991"/>
      <c r="L93" s="1991"/>
      <c r="M93" s="1991"/>
      <c r="N93" s="1977"/>
      <c r="O93" s="1991"/>
      <c r="P93" s="1991"/>
      <c r="Q93" s="1991"/>
      <c r="R93" s="1977"/>
      <c r="S93" s="1977"/>
      <c r="T93" s="1990"/>
      <c r="U93" s="1983"/>
      <c r="V93" s="1977"/>
      <c r="W93" s="1977"/>
    </row>
    <row r="94" spans="1:23" hidden="1" x14ac:dyDescent="0.2">
      <c r="A94" s="1994" t="s">
        <v>2151</v>
      </c>
      <c r="B94" s="1993"/>
      <c r="C94" s="1992"/>
      <c r="D94" s="1981"/>
      <c r="E94" s="1980"/>
      <c r="F94" s="1980"/>
      <c r="G94" s="1977"/>
      <c r="H94" s="1977"/>
      <c r="I94" s="1977"/>
      <c r="J94" s="1979"/>
      <c r="K94" s="1991"/>
      <c r="L94" s="1991"/>
      <c r="M94" s="1991"/>
      <c r="N94" s="1977"/>
      <c r="O94" s="1991"/>
      <c r="P94" s="1991"/>
      <c r="Q94" s="1991"/>
      <c r="R94" s="1977"/>
      <c r="S94" s="1977"/>
      <c r="T94" s="1990"/>
      <c r="U94" s="1983"/>
      <c r="V94" s="1977"/>
      <c r="W94" s="1977"/>
    </row>
    <row r="95" spans="1:23" ht="9" hidden="1" customHeight="1" x14ac:dyDescent="0.2">
      <c r="A95" s="1984"/>
      <c r="B95" s="1993"/>
      <c r="C95" s="1992"/>
      <c r="D95" s="1981"/>
      <c r="E95" s="1980"/>
      <c r="F95" s="1980"/>
      <c r="G95" s="1977"/>
      <c r="H95" s="1977"/>
      <c r="I95" s="1977"/>
      <c r="J95" s="1979"/>
      <c r="K95" s="1991"/>
      <c r="L95" s="1991"/>
      <c r="M95" s="1991"/>
      <c r="N95" s="1977"/>
      <c r="O95" s="1991"/>
      <c r="P95" s="1991"/>
      <c r="Q95" s="1991"/>
      <c r="R95" s="1977"/>
      <c r="S95" s="1977"/>
      <c r="T95" s="1990"/>
      <c r="U95" s="1983"/>
      <c r="V95" s="1977"/>
      <c r="W95" s="1977"/>
    </row>
    <row r="96" spans="1:23" hidden="1" x14ac:dyDescent="0.2">
      <c r="A96" s="1980"/>
      <c r="B96" s="1989" t="s">
        <v>2149</v>
      </c>
      <c r="C96" s="1982">
        <v>84.123000000000005</v>
      </c>
      <c r="D96" s="1981"/>
      <c r="E96" s="1981" t="s">
        <v>2150</v>
      </c>
      <c r="F96" s="1980"/>
      <c r="G96" s="1977"/>
      <c r="H96" s="1977"/>
      <c r="I96" s="1977"/>
      <c r="J96" s="1979"/>
      <c r="K96" s="1977"/>
      <c r="L96" s="1977"/>
      <c r="M96" s="1977"/>
      <c r="N96" s="1977"/>
      <c r="O96" s="1977"/>
      <c r="P96" s="1977"/>
      <c r="Q96" s="1977"/>
      <c r="R96" s="1977"/>
      <c r="S96" s="1977"/>
      <c r="T96" s="1979"/>
      <c r="U96" s="1983">
        <f>SUM(S96+O96+K96)</f>
        <v>0</v>
      </c>
      <c r="V96" s="1977"/>
      <c r="W96" s="1987"/>
    </row>
    <row r="97" spans="1:23" hidden="1" x14ac:dyDescent="0.2">
      <c r="A97" s="1980"/>
      <c r="B97" s="1989" t="s">
        <v>2149</v>
      </c>
      <c r="C97" s="1982">
        <v>84.123000000000005</v>
      </c>
      <c r="D97" s="1981"/>
      <c r="E97" s="1981" t="s">
        <v>2148</v>
      </c>
      <c r="F97" s="1980"/>
      <c r="G97" s="1977"/>
      <c r="H97" s="1977"/>
      <c r="I97" s="1977">
        <v>0</v>
      </c>
      <c r="J97" s="1979"/>
      <c r="K97" s="1977" t="s">
        <v>1169</v>
      </c>
      <c r="L97" s="1977"/>
      <c r="M97" s="1977"/>
      <c r="N97" s="1977"/>
      <c r="O97" s="1977"/>
      <c r="P97" s="1977"/>
      <c r="Q97" s="1977"/>
      <c r="R97" s="1977"/>
      <c r="S97" s="1977"/>
      <c r="T97" s="1988"/>
      <c r="U97" s="1983">
        <f>SUM(S97+O97+K97)</f>
        <v>0</v>
      </c>
      <c r="V97" s="1977"/>
      <c r="W97" s="1987"/>
    </row>
    <row r="98" spans="1:23" ht="15" hidden="1" customHeight="1" x14ac:dyDescent="0.2">
      <c r="A98" s="1943"/>
      <c r="B98" s="1944"/>
      <c r="C98" s="1959"/>
      <c r="D98" s="1944"/>
      <c r="E98" s="1944"/>
      <c r="F98" s="1943"/>
      <c r="G98" s="1941"/>
      <c r="H98" s="1941"/>
      <c r="I98" s="1941"/>
      <c r="J98" s="1942"/>
      <c r="K98" s="1941"/>
      <c r="L98" s="1941"/>
      <c r="M98" s="1941"/>
      <c r="N98" s="1941"/>
      <c r="O98" s="1941"/>
      <c r="P98" s="1941"/>
      <c r="Q98" s="1941"/>
      <c r="R98" s="1941"/>
      <c r="S98" s="1941"/>
      <c r="T98" s="1942"/>
      <c r="U98" s="1974"/>
      <c r="V98" s="1941"/>
      <c r="W98" s="1941"/>
    </row>
    <row r="99" spans="1:23" ht="15" customHeight="1" x14ac:dyDescent="0.2">
      <c r="A99" s="1952" t="s">
        <v>2131</v>
      </c>
      <c r="B99" s="1944"/>
      <c r="C99" s="1959"/>
      <c r="D99" s="1944"/>
      <c r="E99" s="1944"/>
      <c r="F99" s="1943"/>
      <c r="G99" s="1941"/>
      <c r="H99" s="1941"/>
      <c r="I99" s="1941"/>
      <c r="J99" s="1942"/>
      <c r="K99" s="1941"/>
      <c r="L99" s="1941"/>
      <c r="M99" s="1941"/>
      <c r="N99" s="1941"/>
      <c r="O99" s="1941"/>
      <c r="P99" s="1941"/>
      <c r="Q99" s="1941"/>
      <c r="R99" s="1941"/>
      <c r="S99" s="1941"/>
      <c r="T99" s="1942"/>
      <c r="U99" s="1974"/>
      <c r="V99" s="1941"/>
      <c r="W99" s="1941"/>
    </row>
    <row r="100" spans="1:23" ht="16.149999999999999" customHeight="1" x14ac:dyDescent="0.2">
      <c r="A100" s="1960" t="s">
        <v>2147</v>
      </c>
      <c r="B100" s="1937"/>
      <c r="C100" s="1959"/>
      <c r="D100" s="1944"/>
      <c r="E100" s="1944"/>
      <c r="F100" s="1943"/>
      <c r="G100" s="1941"/>
      <c r="H100" s="1941"/>
      <c r="J100" s="1941"/>
      <c r="K100" s="1941"/>
      <c r="L100" s="1941"/>
      <c r="M100" s="1941"/>
      <c r="N100" s="1941"/>
      <c r="O100" s="1941"/>
      <c r="P100" s="1941"/>
      <c r="Q100" s="1941"/>
      <c r="R100" s="1941"/>
      <c r="S100" s="1941"/>
      <c r="T100" s="1942"/>
      <c r="U100" s="1974"/>
      <c r="V100" s="1941"/>
      <c r="W100" s="1941"/>
    </row>
    <row r="101" spans="1:23" ht="14.45" customHeight="1" x14ac:dyDescent="0.2">
      <c r="A101" s="1943"/>
      <c r="B101" s="1944"/>
      <c r="C101" s="1959"/>
      <c r="D101" s="1944"/>
      <c r="E101" s="1944"/>
      <c r="F101" s="1943"/>
      <c r="G101" s="1941"/>
      <c r="H101" s="1941"/>
      <c r="I101" s="1941"/>
      <c r="J101" s="1942"/>
      <c r="K101" s="1941"/>
      <c r="L101" s="1941"/>
      <c r="M101" s="1941"/>
      <c r="N101" s="1941"/>
      <c r="O101" s="1941"/>
      <c r="P101" s="1941"/>
      <c r="Q101" s="1941"/>
      <c r="R101" s="1941"/>
      <c r="S101" s="1941"/>
      <c r="T101" s="1942"/>
      <c r="U101" s="1974"/>
      <c r="V101" s="1941"/>
      <c r="W101" s="1941"/>
    </row>
    <row r="102" spans="1:23" hidden="1" x14ac:dyDescent="0.2">
      <c r="A102" s="1984"/>
      <c r="B102" s="1981"/>
      <c r="C102" s="1982"/>
      <c r="D102" s="1981"/>
      <c r="E102" s="1981"/>
      <c r="F102" s="1980"/>
      <c r="G102" s="1977"/>
      <c r="H102" s="1977"/>
      <c r="I102" s="1977"/>
      <c r="J102" s="1979"/>
      <c r="K102" s="1977"/>
      <c r="L102" s="1977"/>
      <c r="M102" s="1977"/>
      <c r="N102" s="1977"/>
      <c r="O102" s="1977"/>
      <c r="P102" s="1977"/>
      <c r="Q102" s="1977"/>
      <c r="R102" s="1977"/>
      <c r="S102" s="1977"/>
      <c r="T102" s="1979"/>
      <c r="U102" s="1983">
        <f>SUM(S102+O102+K102)</f>
        <v>0</v>
      </c>
      <c r="V102" s="1977"/>
      <c r="W102" s="1977"/>
    </row>
    <row r="103" spans="1:23" hidden="1" x14ac:dyDescent="0.2">
      <c r="A103" s="1984"/>
      <c r="B103" s="1981" t="s">
        <v>2146</v>
      </c>
      <c r="C103" s="1982">
        <v>84.173000000000002</v>
      </c>
      <c r="D103" s="1981"/>
      <c r="E103" s="1981" t="s">
        <v>2145</v>
      </c>
      <c r="F103" s="1986"/>
      <c r="G103" s="1977"/>
      <c r="H103" s="1985"/>
      <c r="I103" s="1977"/>
      <c r="J103" s="1979"/>
      <c r="K103" s="1977">
        <v>0</v>
      </c>
      <c r="L103" s="1977"/>
      <c r="M103" s="1977"/>
      <c r="N103" s="1977"/>
      <c r="O103" s="1977"/>
      <c r="P103" s="1977"/>
      <c r="Q103" s="1977"/>
      <c r="R103" s="1977"/>
      <c r="S103" s="1977">
        <v>0</v>
      </c>
      <c r="T103" s="1979"/>
      <c r="U103" s="1983">
        <f>SUM(S103+O103+K103)</f>
        <v>0</v>
      </c>
      <c r="V103" s="1977"/>
      <c r="W103" s="1977">
        <v>8703</v>
      </c>
    </row>
    <row r="104" spans="1:23" hidden="1" x14ac:dyDescent="0.2">
      <c r="A104" s="1984"/>
      <c r="B104" s="1981"/>
      <c r="C104" s="1982"/>
      <c r="D104" s="1981"/>
      <c r="E104" s="1981"/>
      <c r="F104" s="1986"/>
      <c r="G104" s="1977"/>
      <c r="H104" s="1985"/>
      <c r="I104" s="1977"/>
      <c r="J104" s="1979"/>
      <c r="K104" s="1977"/>
      <c r="L104" s="1977"/>
      <c r="M104" s="1977"/>
      <c r="N104" s="1977"/>
      <c r="O104" s="1977"/>
      <c r="P104" s="1977"/>
      <c r="Q104" s="1977"/>
      <c r="R104" s="1977"/>
      <c r="S104" s="1977"/>
      <c r="T104" s="1979"/>
      <c r="U104" s="1983"/>
      <c r="V104" s="1977"/>
      <c r="W104" s="1977"/>
    </row>
    <row r="105" spans="1:23" hidden="1" x14ac:dyDescent="0.2">
      <c r="A105" s="1984"/>
      <c r="B105" s="1981" t="s">
        <v>2144</v>
      </c>
      <c r="C105" s="1982" t="s">
        <v>2143</v>
      </c>
      <c r="D105" s="1981"/>
      <c r="E105" s="1981" t="s">
        <v>2142</v>
      </c>
      <c r="F105" s="1980"/>
      <c r="G105" s="1977"/>
      <c r="H105" s="1977"/>
      <c r="I105" s="1977"/>
      <c r="J105" s="1977"/>
      <c r="K105" s="1977">
        <v>0</v>
      </c>
      <c r="L105" s="1977"/>
      <c r="M105" s="1977"/>
      <c r="N105" s="1977"/>
      <c r="O105" s="1977"/>
      <c r="P105" s="1977"/>
      <c r="Q105" s="1977"/>
      <c r="R105" s="1977"/>
      <c r="S105" s="1977"/>
      <c r="T105" s="1977"/>
      <c r="U105" s="1983">
        <f>SUM(S105+O105+K105)</f>
        <v>0</v>
      </c>
      <c r="V105" s="1977"/>
      <c r="W105" s="1977">
        <v>0</v>
      </c>
    </row>
    <row r="106" spans="1:23" hidden="1" x14ac:dyDescent="0.2">
      <c r="A106" s="1980"/>
      <c r="B106" s="1981"/>
      <c r="C106" s="1982"/>
      <c r="D106" s="1981"/>
      <c r="E106" s="1981"/>
      <c r="F106" s="1980"/>
      <c r="G106" s="1977"/>
      <c r="H106" s="1977"/>
      <c r="I106" s="1977"/>
      <c r="J106" s="1979"/>
      <c r="K106" s="1977"/>
      <c r="L106" s="1977"/>
      <c r="M106" s="1977"/>
      <c r="N106" s="1977"/>
      <c r="O106" s="1977"/>
      <c r="P106" s="1977"/>
      <c r="Q106" s="1977"/>
      <c r="R106" s="1977"/>
      <c r="S106" s="1977"/>
      <c r="T106" s="1979"/>
      <c r="U106" s="1978">
        <f>SUM(S106+O106+K106)</f>
        <v>0</v>
      </c>
      <c r="V106" s="1977"/>
      <c r="W106" s="1977"/>
    </row>
    <row r="107" spans="1:23" x14ac:dyDescent="0.2">
      <c r="A107" s="1976"/>
      <c r="B107" s="1944" t="s">
        <v>2139</v>
      </c>
      <c r="C107" s="1964">
        <v>84.027000000000001</v>
      </c>
      <c r="D107" s="1944"/>
      <c r="E107" s="1943" t="s">
        <v>2141</v>
      </c>
      <c r="F107" s="1943"/>
      <c r="G107" s="1941">
        <v>162563</v>
      </c>
      <c r="H107" s="1941"/>
      <c r="I107" s="1941">
        <v>77169</v>
      </c>
      <c r="J107" s="1941"/>
      <c r="K107" s="1941">
        <v>239732</v>
      </c>
      <c r="L107" s="1941"/>
      <c r="M107" s="1941"/>
      <c r="N107" s="1941"/>
      <c r="O107" s="1941"/>
      <c r="P107" s="1941"/>
      <c r="Q107" s="1941"/>
      <c r="R107" s="1941"/>
      <c r="S107" s="1941" t="s">
        <v>1169</v>
      </c>
      <c r="T107" s="1941"/>
      <c r="U107" s="1974">
        <f>SUM(S107+O107+K107)</f>
        <v>239732</v>
      </c>
      <c r="V107" s="1941"/>
      <c r="W107" s="1941">
        <v>239732</v>
      </c>
    </row>
    <row r="108" spans="1:23" ht="15.95" customHeight="1" x14ac:dyDescent="0.2">
      <c r="A108" s="1975" t="s">
        <v>2140</v>
      </c>
      <c r="B108" s="1944" t="s">
        <v>2139</v>
      </c>
      <c r="C108" s="1964">
        <v>84.027000000000001</v>
      </c>
      <c r="D108" s="1944"/>
      <c r="E108" s="1943" t="s">
        <v>2138</v>
      </c>
      <c r="F108" s="1943"/>
      <c r="G108" s="1973">
        <v>0</v>
      </c>
      <c r="H108" s="1941"/>
      <c r="I108" s="1973">
        <f>50682+51059+636+63106+82393</f>
        <v>247876</v>
      </c>
      <c r="J108" s="1953"/>
      <c r="K108" s="1973">
        <v>0</v>
      </c>
      <c r="L108" s="1973"/>
      <c r="M108" s="1953">
        <v>0</v>
      </c>
      <c r="N108" s="1953"/>
      <c r="O108" s="1973">
        <v>247876</v>
      </c>
      <c r="P108" s="1973"/>
      <c r="Q108" s="1953">
        <v>0</v>
      </c>
      <c r="R108" s="1953"/>
      <c r="S108" s="1973">
        <v>0</v>
      </c>
      <c r="T108" s="1953"/>
      <c r="U108" s="1963">
        <f>SUM(S108+O108+K108)</f>
        <v>247876</v>
      </c>
      <c r="V108" s="1941"/>
      <c r="W108" s="1941">
        <f>246705+1171</f>
        <v>247876</v>
      </c>
    </row>
    <row r="109" spans="1:23" ht="15.95" customHeight="1" x14ac:dyDescent="0.2">
      <c r="A109" s="1975"/>
      <c r="B109" s="1944"/>
      <c r="C109" s="1964" t="s">
        <v>2254</v>
      </c>
      <c r="D109" s="1944"/>
      <c r="E109" s="1943" t="s">
        <v>2255</v>
      </c>
      <c r="F109" s="1943"/>
      <c r="G109" s="1973">
        <f>SUM(G85:G108)</f>
        <v>162563</v>
      </c>
      <c r="H109" s="1941"/>
      <c r="I109" s="1973">
        <f>SUM(I85:I108)</f>
        <v>338014</v>
      </c>
      <c r="J109" s="1953"/>
      <c r="K109" s="1973">
        <f>SUM(K85:K108)</f>
        <v>252701</v>
      </c>
      <c r="L109" s="1973"/>
      <c r="M109" s="1953"/>
      <c r="N109" s="1953"/>
      <c r="O109" s="1973">
        <f>SUM(O85:O108)</f>
        <v>264829.34000000003</v>
      </c>
      <c r="P109" s="1973"/>
      <c r="Q109" s="1953"/>
      <c r="R109" s="1953"/>
      <c r="S109" s="2022">
        <f>SUM(S85:S108)</f>
        <v>0</v>
      </c>
      <c r="T109" s="1953"/>
      <c r="U109" s="1963">
        <f>SUM(U85:U108)</f>
        <v>517530.34</v>
      </c>
      <c r="V109" s="1941"/>
      <c r="W109" s="1941"/>
    </row>
    <row r="110" spans="1:23" ht="15.95" customHeight="1" x14ac:dyDescent="0.2">
      <c r="A110" s="1975"/>
      <c r="B110" s="1944"/>
      <c r="C110" s="1964"/>
      <c r="D110" s="1944"/>
      <c r="E110" s="1943"/>
      <c r="F110" s="1943"/>
      <c r="G110" s="1973"/>
      <c r="H110" s="1941"/>
      <c r="I110" s="1973"/>
      <c r="J110" s="1953"/>
      <c r="K110" s="1973"/>
      <c r="L110" s="1973"/>
      <c r="M110" s="1953"/>
      <c r="N110" s="1953"/>
      <c r="O110" s="1973"/>
      <c r="P110" s="1973"/>
      <c r="Q110" s="1953"/>
      <c r="R110" s="1953"/>
      <c r="S110" s="1973"/>
      <c r="T110" s="1953"/>
      <c r="U110" s="1963"/>
      <c r="V110" s="1941"/>
      <c r="W110" s="1941"/>
    </row>
    <row r="111" spans="1:23" ht="15.95" customHeight="1" x14ac:dyDescent="0.2">
      <c r="A111" s="1952" t="s">
        <v>2137</v>
      </c>
      <c r="B111" s="1944"/>
      <c r="C111" s="1949"/>
      <c r="D111" s="1944"/>
      <c r="E111" s="1944"/>
      <c r="F111" s="1943"/>
      <c r="G111" s="1954">
        <f>G55+G59+G69+G109</f>
        <v>402905</v>
      </c>
      <c r="H111" s="1954"/>
      <c r="I111" s="1954">
        <f>I55+I59+I69+I109</f>
        <v>618882</v>
      </c>
      <c r="J111" s="1954"/>
      <c r="K111" s="1954">
        <f>K109+K69+K59+K55</f>
        <v>496735</v>
      </c>
      <c r="L111" s="1954"/>
      <c r="M111" s="1953">
        <v>0</v>
      </c>
      <c r="N111" s="1954"/>
      <c r="O111" s="1954">
        <f>O55+O59+O69+O109</f>
        <v>553719.34000000008</v>
      </c>
      <c r="P111" s="1954"/>
      <c r="Q111" s="1953">
        <v>0</v>
      </c>
      <c r="R111" s="1954"/>
      <c r="S111" s="1954">
        <f>S109+S69+S59+S55</f>
        <v>0</v>
      </c>
      <c r="T111" s="1954"/>
      <c r="U111" s="1954">
        <f>U109+U69+U59+U55</f>
        <v>1050454.3400000001</v>
      </c>
      <c r="V111" s="1969"/>
      <c r="W111" s="1969"/>
    </row>
    <row r="112" spans="1:23" s="1965" customFormat="1" ht="6" customHeight="1" x14ac:dyDescent="0.2">
      <c r="A112" s="1960"/>
      <c r="B112" s="1944"/>
      <c r="C112" s="1944"/>
      <c r="D112" s="1944"/>
      <c r="E112" s="1944"/>
      <c r="F112" s="1943"/>
      <c r="G112" s="1941"/>
      <c r="H112" s="1941"/>
      <c r="I112" s="1941"/>
      <c r="J112" s="1942"/>
      <c r="K112" s="1941"/>
      <c r="L112" s="1941"/>
      <c r="M112" s="1941"/>
      <c r="N112" s="1941"/>
      <c r="O112" s="1941"/>
      <c r="P112" s="1941"/>
      <c r="Q112" s="1941"/>
      <c r="R112" s="1941"/>
      <c r="S112" s="1941"/>
      <c r="T112" s="1942"/>
      <c r="U112" s="1969"/>
      <c r="V112" s="1941"/>
      <c r="W112" s="1941"/>
    </row>
    <row r="113" spans="1:23" s="1965" customFormat="1" ht="13.5" customHeight="1" x14ac:dyDescent="0.2">
      <c r="A113" s="1960" t="s">
        <v>2136</v>
      </c>
      <c r="B113" s="1944"/>
      <c r="C113" s="1944"/>
      <c r="D113" s="1944"/>
      <c r="E113" s="1944"/>
      <c r="F113" s="1943"/>
      <c r="G113" s="1941"/>
      <c r="H113" s="1941"/>
      <c r="I113" s="1941"/>
      <c r="J113" s="1942"/>
      <c r="K113" s="1941"/>
      <c r="L113" s="1941"/>
      <c r="M113" s="1941"/>
      <c r="N113" s="1941"/>
      <c r="O113" s="1941"/>
      <c r="P113" s="1941"/>
      <c r="Q113" s="1941"/>
      <c r="R113" s="1941"/>
      <c r="S113" s="1941"/>
      <c r="T113" s="1942"/>
      <c r="U113" s="1969"/>
      <c r="V113" s="1941"/>
      <c r="W113" s="1941"/>
    </row>
    <row r="114" spans="1:23" s="1965" customFormat="1" ht="13.5" customHeight="1" x14ac:dyDescent="0.2">
      <c r="A114" s="1960" t="s">
        <v>2131</v>
      </c>
      <c r="B114" s="1944"/>
      <c r="C114" s="1944"/>
      <c r="D114" s="1944"/>
      <c r="E114" s="1944"/>
      <c r="F114" s="1943"/>
      <c r="G114" s="1941"/>
      <c r="H114" s="1941"/>
      <c r="I114" s="1941"/>
      <c r="J114" s="1942"/>
      <c r="K114" s="1970"/>
      <c r="L114" s="1970"/>
      <c r="M114" s="1970"/>
      <c r="N114" s="1941"/>
      <c r="O114" s="1941"/>
      <c r="P114" s="1941"/>
      <c r="Q114" s="1941"/>
      <c r="R114" s="1941"/>
      <c r="S114" s="1941"/>
      <c r="T114" s="1942"/>
      <c r="U114" s="1969" t="s">
        <v>1169</v>
      </c>
      <c r="V114" s="1941"/>
      <c r="W114" s="1941"/>
    </row>
    <row r="115" spans="1:23" s="1965" customFormat="1" ht="13.5" customHeight="1" x14ac:dyDescent="0.2">
      <c r="A115" s="1972" t="s">
        <v>2135</v>
      </c>
      <c r="B115" s="1971"/>
      <c r="C115" s="1944"/>
      <c r="D115" s="1944"/>
      <c r="E115" s="1944"/>
      <c r="F115" s="1943"/>
      <c r="G115" s="1941"/>
      <c r="H115" s="1941"/>
      <c r="I115" s="1941"/>
      <c r="J115" s="1942"/>
      <c r="K115" s="1970"/>
      <c r="L115" s="1970"/>
      <c r="M115" s="1970"/>
      <c r="N115" s="1941"/>
      <c r="O115" s="1941"/>
      <c r="P115" s="1941"/>
      <c r="Q115" s="1941"/>
      <c r="R115" s="1941"/>
      <c r="S115" s="1941"/>
      <c r="T115" s="1942"/>
      <c r="U115" s="1969"/>
      <c r="V115" s="1941"/>
      <c r="W115" s="1941"/>
    </row>
    <row r="116" spans="1:23" s="1965" customFormat="1" ht="13.5" customHeight="1" x14ac:dyDescent="0.2">
      <c r="A116" s="1972" t="s">
        <v>2134</v>
      </c>
      <c r="B116" s="1971"/>
      <c r="C116" s="1944"/>
      <c r="D116" s="1944"/>
      <c r="E116" s="1944"/>
      <c r="F116" s="1943"/>
      <c r="G116" s="1941"/>
      <c r="H116" s="1941"/>
      <c r="I116" s="1941"/>
      <c r="J116" s="1942"/>
      <c r="K116" s="1970"/>
      <c r="L116" s="1970"/>
      <c r="M116" s="1970"/>
      <c r="N116" s="1941"/>
      <c r="O116" s="1941"/>
      <c r="P116" s="1941"/>
      <c r="Q116" s="1941"/>
      <c r="R116" s="1941"/>
      <c r="S116" s="1941"/>
      <c r="T116" s="1942"/>
      <c r="U116" s="1969"/>
      <c r="V116" s="1941"/>
      <c r="W116" s="1941"/>
    </row>
    <row r="117" spans="1:23" s="1965" customFormat="1" ht="13.5" customHeight="1" x14ac:dyDescent="0.2">
      <c r="A117" s="1972"/>
      <c r="B117" s="1971"/>
      <c r="C117" s="1944"/>
      <c r="D117" s="1944"/>
      <c r="E117" s="1944"/>
      <c r="F117" s="1943"/>
      <c r="G117" s="1941"/>
      <c r="H117" s="1941"/>
      <c r="I117" s="1941"/>
      <c r="J117" s="1942"/>
      <c r="K117" s="1970"/>
      <c r="L117" s="1970"/>
      <c r="M117" s="1970"/>
      <c r="N117" s="1941"/>
      <c r="O117" s="1941"/>
      <c r="P117" s="1941"/>
      <c r="Q117" s="1941"/>
      <c r="R117" s="1941"/>
      <c r="S117" s="1941"/>
      <c r="T117" s="1942"/>
      <c r="U117" s="1969"/>
      <c r="V117" s="1941"/>
      <c r="W117" s="1941"/>
    </row>
    <row r="118" spans="1:23" s="1965" customFormat="1" ht="13.5" customHeight="1" x14ac:dyDescent="0.2">
      <c r="A118" s="1972"/>
      <c r="B118" s="1944" t="s">
        <v>2128</v>
      </c>
      <c r="C118" s="1964">
        <v>93.778000000000006</v>
      </c>
      <c r="D118" s="1944"/>
      <c r="E118" s="1943" t="s">
        <v>2133</v>
      </c>
      <c r="F118" s="1943"/>
      <c r="G118" s="1941">
        <v>14777</v>
      </c>
      <c r="H118" s="1941"/>
      <c r="I118" s="1941">
        <v>5238</v>
      </c>
      <c r="J118" s="1942"/>
      <c r="K118" s="1941">
        <v>20850</v>
      </c>
      <c r="L118" s="1941"/>
      <c r="M118" s="1941"/>
      <c r="N118" s="1941"/>
      <c r="O118" s="1941"/>
      <c r="P118" s="1941"/>
      <c r="Q118" s="1941"/>
      <c r="R118" s="1941"/>
      <c r="S118" s="1941"/>
      <c r="T118" s="1942"/>
      <c r="U118" s="1974">
        <f>S118+O118+K118</f>
        <v>20850</v>
      </c>
      <c r="V118" s="1953"/>
      <c r="W118" s="1962" t="s">
        <v>2121</v>
      </c>
    </row>
    <row r="119" spans="1:23" s="1965" customFormat="1" ht="13.5" customHeight="1" x14ac:dyDescent="0.2">
      <c r="A119" s="1972"/>
      <c r="B119" s="1944" t="s">
        <v>2128</v>
      </c>
      <c r="C119" s="1964">
        <v>93.778000000000006</v>
      </c>
      <c r="D119" s="1944"/>
      <c r="E119" s="1943" t="s">
        <v>2132</v>
      </c>
      <c r="F119" s="1943"/>
      <c r="G119" s="1973">
        <v>0</v>
      </c>
      <c r="H119" s="1941"/>
      <c r="I119" s="1973">
        <v>14631</v>
      </c>
      <c r="J119" s="1942"/>
      <c r="K119" s="1973">
        <v>0</v>
      </c>
      <c r="L119" s="1973"/>
      <c r="M119" s="1953">
        <v>0</v>
      </c>
      <c r="N119" s="1953"/>
      <c r="O119" s="1973">
        <v>21265</v>
      </c>
      <c r="P119" s="1973"/>
      <c r="Q119" s="1953">
        <v>0</v>
      </c>
      <c r="R119" s="1941"/>
      <c r="S119" s="1953">
        <v>0</v>
      </c>
      <c r="T119" s="1942"/>
      <c r="U119" s="1953">
        <f>S119+O119+K119</f>
        <v>21265</v>
      </c>
      <c r="V119" s="1953"/>
      <c r="W119" s="1962" t="s">
        <v>2121</v>
      </c>
    </row>
    <row r="120" spans="1:23" s="1965" customFormat="1" ht="16.5" customHeight="1" x14ac:dyDescent="0.2">
      <c r="A120" s="1972"/>
      <c r="B120" s="1971"/>
      <c r="C120" s="1944" t="s">
        <v>2256</v>
      </c>
      <c r="D120" s="1944"/>
      <c r="E120" s="1944"/>
      <c r="F120" s="1943"/>
      <c r="G120" s="1953">
        <f>G118+G119</f>
        <v>14777</v>
      </c>
      <c r="H120" s="1941"/>
      <c r="I120" s="1953">
        <f>I118+I119</f>
        <v>19869</v>
      </c>
      <c r="J120" s="1942"/>
      <c r="K120" s="1953">
        <f>K118+K119</f>
        <v>20850</v>
      </c>
      <c r="L120" s="1970"/>
      <c r="M120" s="1970"/>
      <c r="N120" s="1941"/>
      <c r="O120" s="1953">
        <f>O118+O119</f>
        <v>21265</v>
      </c>
      <c r="P120" s="1941"/>
      <c r="Q120" s="1941"/>
      <c r="R120" s="1941"/>
      <c r="S120" s="2022">
        <f>S118+S119</f>
        <v>0</v>
      </c>
      <c r="T120" s="1942"/>
      <c r="U120" s="2001">
        <f>U118+U119</f>
        <v>42115</v>
      </c>
      <c r="V120" s="1941"/>
      <c r="W120" s="1941"/>
    </row>
    <row r="121" spans="1:23" s="1965" customFormat="1" ht="13.5" hidden="1" customHeight="1" x14ac:dyDescent="0.2">
      <c r="A121" s="1960" t="s">
        <v>2131</v>
      </c>
      <c r="B121" s="1944"/>
      <c r="C121" s="1944"/>
      <c r="D121" s="1944"/>
      <c r="E121" s="1944"/>
      <c r="F121" s="1943"/>
      <c r="G121" s="1941"/>
      <c r="H121" s="1941"/>
      <c r="I121" s="1941"/>
      <c r="J121" s="1942"/>
      <c r="K121" s="1941"/>
      <c r="L121" s="1941"/>
      <c r="M121" s="1941"/>
      <c r="N121" s="1941"/>
      <c r="O121" s="1941"/>
      <c r="P121" s="1941"/>
      <c r="Q121" s="1941"/>
      <c r="R121" s="1941"/>
      <c r="S121" s="1941"/>
      <c r="T121" s="1942"/>
      <c r="U121" s="1969"/>
      <c r="V121" s="1941"/>
      <c r="W121" s="1941"/>
    </row>
    <row r="122" spans="1:23" s="1965" customFormat="1" ht="15.95" hidden="1" customHeight="1" x14ac:dyDescent="0.2">
      <c r="A122" s="1960" t="s">
        <v>2130</v>
      </c>
      <c r="B122" s="1960"/>
      <c r="C122" s="1959"/>
      <c r="D122" s="1944"/>
      <c r="E122" s="1944"/>
      <c r="F122" s="1943"/>
      <c r="G122" s="1953"/>
      <c r="H122" s="1953"/>
      <c r="I122" s="1953"/>
      <c r="J122" s="1953"/>
      <c r="K122" s="1953"/>
      <c r="L122" s="1953"/>
      <c r="M122" s="1953"/>
      <c r="N122" s="1953"/>
      <c r="O122" s="1953"/>
      <c r="P122" s="1953"/>
      <c r="Q122" s="1953"/>
      <c r="R122" s="1953"/>
      <c r="S122" s="1953"/>
      <c r="T122" s="1953"/>
      <c r="U122" s="1953"/>
      <c r="V122" s="1953"/>
      <c r="W122" s="1941"/>
    </row>
    <row r="123" spans="1:23" s="1965" customFormat="1" ht="9" hidden="1" customHeight="1" x14ac:dyDescent="0.2">
      <c r="A123" s="1960"/>
      <c r="B123" s="1960"/>
      <c r="C123" s="1959"/>
      <c r="D123" s="1944"/>
      <c r="E123" s="1944"/>
      <c r="F123" s="1943"/>
      <c r="G123" s="1953"/>
      <c r="H123" s="1953"/>
      <c r="I123" s="1953"/>
      <c r="J123" s="1953"/>
      <c r="K123" s="1953"/>
      <c r="L123" s="1953"/>
      <c r="M123" s="1953"/>
      <c r="N123" s="1953"/>
      <c r="O123" s="1953"/>
      <c r="P123" s="1953"/>
      <c r="Q123" s="1953"/>
      <c r="R123" s="1953"/>
      <c r="S123" s="1953"/>
      <c r="T123" s="1953"/>
      <c r="U123" s="1953"/>
      <c r="V123" s="1953"/>
      <c r="W123" s="1941"/>
    </row>
    <row r="124" spans="1:23" s="1965" customFormat="1" ht="15.95" hidden="1" customHeight="1" x14ac:dyDescent="0.2">
      <c r="A124" s="1960"/>
      <c r="B124" s="1944" t="s">
        <v>2128</v>
      </c>
      <c r="C124" s="1964">
        <v>93.778000000000006</v>
      </c>
      <c r="D124" s="1944"/>
      <c r="E124" s="1944" t="s">
        <v>2129</v>
      </c>
      <c r="F124" s="1943"/>
      <c r="G124" s="1953"/>
      <c r="H124" s="1953"/>
      <c r="I124" s="1953"/>
      <c r="J124" s="1953"/>
      <c r="K124" s="1953"/>
      <c r="L124" s="1953"/>
      <c r="M124" s="1953"/>
      <c r="N124" s="1953"/>
      <c r="O124" s="1953" t="s">
        <v>1169</v>
      </c>
      <c r="P124" s="1953"/>
      <c r="Q124" s="1953"/>
      <c r="R124" s="1953"/>
      <c r="S124" s="1953" t="s">
        <v>1169</v>
      </c>
      <c r="T124" s="1953"/>
      <c r="U124" s="1953">
        <f>S124+O124+K124</f>
        <v>0</v>
      </c>
      <c r="V124" s="1953"/>
      <c r="W124" s="1962" t="s">
        <v>2121</v>
      </c>
    </row>
    <row r="125" spans="1:23" s="1965" customFormat="1" ht="16.5" hidden="1" customHeight="1" x14ac:dyDescent="0.2">
      <c r="A125" s="1960"/>
      <c r="B125" s="1944" t="s">
        <v>2128</v>
      </c>
      <c r="C125" s="1964">
        <v>93.778000000000006</v>
      </c>
      <c r="D125" s="1944"/>
      <c r="E125" s="1944" t="s">
        <v>2127</v>
      </c>
      <c r="F125" s="1943"/>
      <c r="G125" s="1953">
        <v>0</v>
      </c>
      <c r="H125" s="1967"/>
      <c r="I125" s="1953"/>
      <c r="J125" s="1967"/>
      <c r="K125" s="1953">
        <v>0</v>
      </c>
      <c r="L125" s="1953"/>
      <c r="M125" s="1953"/>
      <c r="N125" s="1967"/>
      <c r="O125" s="1953"/>
      <c r="P125" s="1953"/>
      <c r="Q125" s="1953"/>
      <c r="R125" s="1941"/>
      <c r="S125" s="1953" t="s">
        <v>1169</v>
      </c>
      <c r="T125" s="1967"/>
      <c r="U125" s="1963">
        <f>S125+O125+K125</f>
        <v>0</v>
      </c>
      <c r="V125" s="1967"/>
      <c r="W125" s="1962" t="s">
        <v>2121</v>
      </c>
    </row>
    <row r="126" spans="1:23" s="1965" customFormat="1" ht="13.5" customHeight="1" x14ac:dyDescent="0.2">
      <c r="A126" s="1960"/>
      <c r="B126" s="1944"/>
      <c r="C126" s="1959"/>
      <c r="D126" s="1944"/>
      <c r="E126" s="1944"/>
      <c r="F126" s="1943"/>
      <c r="G126" s="1953"/>
      <c r="H126" s="1967"/>
      <c r="I126" s="1941"/>
      <c r="J126" s="1967"/>
      <c r="K126" s="1953"/>
      <c r="L126" s="1953"/>
      <c r="M126" s="1953"/>
      <c r="N126" s="1967"/>
      <c r="O126" s="1953"/>
      <c r="P126" s="1953"/>
      <c r="Q126" s="1953"/>
      <c r="R126" s="1953"/>
      <c r="S126" s="1967"/>
      <c r="T126" s="1967"/>
      <c r="U126" s="1968"/>
      <c r="V126" s="1967"/>
      <c r="W126" s="1966"/>
    </row>
    <row r="127" spans="1:23" s="1961" customFormat="1" ht="15.95" customHeight="1" x14ac:dyDescent="0.2">
      <c r="A127" s="1960" t="s">
        <v>2126</v>
      </c>
      <c r="B127" s="1937"/>
      <c r="C127" s="1959"/>
      <c r="D127" s="1944"/>
      <c r="E127" s="1944"/>
      <c r="F127" s="1943"/>
      <c r="G127" s="1946">
        <f>G120</f>
        <v>14777</v>
      </c>
      <c r="H127" s="1954"/>
      <c r="I127" s="1946">
        <f>I120</f>
        <v>19869</v>
      </c>
      <c r="J127" s="1954"/>
      <c r="K127" s="1946">
        <f>K120</f>
        <v>20850</v>
      </c>
      <c r="L127" s="1946"/>
      <c r="M127" s="1953">
        <v>0</v>
      </c>
      <c r="N127" s="1954"/>
      <c r="O127" s="1946">
        <f>O120</f>
        <v>21265</v>
      </c>
      <c r="P127" s="1946"/>
      <c r="Q127" s="1953">
        <v>0</v>
      </c>
      <c r="R127" s="1954"/>
      <c r="S127" s="2022">
        <f>S120</f>
        <v>0</v>
      </c>
      <c r="T127" s="1954"/>
      <c r="U127" s="1946">
        <f>U120</f>
        <v>42115</v>
      </c>
      <c r="V127" s="1953"/>
      <c r="W127" s="1953"/>
    </row>
    <row r="128" spans="1:23" s="1961" customFormat="1" ht="17.25" hidden="1" x14ac:dyDescent="0.2">
      <c r="A128" s="1960"/>
      <c r="B128" s="1937"/>
      <c r="C128" s="1959"/>
      <c r="D128" s="1944"/>
      <c r="E128" s="1944"/>
      <c r="F128" s="1943"/>
      <c r="G128" s="1946"/>
      <c r="H128" s="1954"/>
      <c r="I128" s="1954"/>
      <c r="J128" s="1954"/>
      <c r="K128" s="1946"/>
      <c r="L128" s="1946"/>
      <c r="M128" s="1946"/>
      <c r="N128" s="1954"/>
      <c r="O128" s="1954"/>
      <c r="P128" s="1954"/>
      <c r="Q128" s="1954"/>
      <c r="R128" s="1954"/>
      <c r="S128" s="1954"/>
      <c r="T128" s="1954"/>
      <c r="U128" s="1954"/>
      <c r="V128" s="1953"/>
      <c r="W128" s="1953"/>
    </row>
    <row r="129" spans="1:23" s="1961" customFormat="1" ht="17.25" hidden="1" x14ac:dyDescent="0.2">
      <c r="A129" s="1960" t="s">
        <v>2125</v>
      </c>
      <c r="B129" s="1937"/>
      <c r="C129" s="1959"/>
      <c r="D129" s="1944"/>
      <c r="E129" s="1944"/>
      <c r="F129" s="1943"/>
      <c r="G129" s="1946"/>
      <c r="H129" s="1954"/>
      <c r="I129" s="1954"/>
      <c r="J129" s="1954"/>
      <c r="K129" s="1946"/>
      <c r="L129" s="1946"/>
      <c r="M129" s="1946"/>
      <c r="N129" s="1954"/>
      <c r="O129" s="1954"/>
      <c r="P129" s="1954"/>
      <c r="Q129" s="1954"/>
      <c r="R129" s="1954"/>
      <c r="S129" s="1954"/>
      <c r="T129" s="1954"/>
      <c r="U129" s="1954"/>
      <c r="V129" s="1953"/>
      <c r="W129" s="1953"/>
    </row>
    <row r="130" spans="1:23" s="1961" customFormat="1" ht="17.25" hidden="1" x14ac:dyDescent="0.2">
      <c r="A130" s="1960" t="s">
        <v>2124</v>
      </c>
      <c r="B130" s="1937"/>
      <c r="C130" s="1959"/>
      <c r="D130" s="1944"/>
      <c r="E130" s="1944"/>
      <c r="F130" s="1943"/>
      <c r="G130" s="1946"/>
      <c r="H130" s="1954"/>
      <c r="I130" s="1954"/>
      <c r="J130" s="1954"/>
      <c r="K130" s="1946"/>
      <c r="L130" s="1946"/>
      <c r="M130" s="1946"/>
      <c r="N130" s="1954"/>
      <c r="O130" s="1954"/>
      <c r="P130" s="1954"/>
      <c r="Q130" s="1954"/>
      <c r="R130" s="1954"/>
      <c r="S130" s="1954"/>
      <c r="T130" s="1954"/>
      <c r="U130" s="1954"/>
      <c r="V130" s="1953"/>
      <c r="W130" s="1953"/>
    </row>
    <row r="131" spans="1:23" s="1961" customFormat="1" ht="17.25" hidden="1" x14ac:dyDescent="0.2">
      <c r="A131" s="1960"/>
      <c r="B131" s="1944" t="s">
        <v>2123</v>
      </c>
      <c r="C131" s="1964">
        <v>83.522999999999996</v>
      </c>
      <c r="D131" s="1944"/>
      <c r="E131" s="1944" t="s">
        <v>2122</v>
      </c>
      <c r="F131" s="1943"/>
      <c r="G131" s="1953" t="s">
        <v>1169</v>
      </c>
      <c r="H131" s="1954"/>
      <c r="I131" s="1954">
        <v>0</v>
      </c>
      <c r="J131" s="1954"/>
      <c r="K131" s="1946">
        <v>0</v>
      </c>
      <c r="L131" s="1946"/>
      <c r="M131" s="1946"/>
      <c r="N131" s="1954"/>
      <c r="O131" s="1953" t="s">
        <v>1169</v>
      </c>
      <c r="P131" s="1953"/>
      <c r="Q131" s="1953"/>
      <c r="R131" s="1954"/>
      <c r="S131" s="1953" t="s">
        <v>1169</v>
      </c>
      <c r="T131" s="1954"/>
      <c r="U131" s="1963">
        <f>SUM(S131+O131+K131)</f>
        <v>0</v>
      </c>
      <c r="V131" s="1953"/>
      <c r="W131" s="1962" t="s">
        <v>2121</v>
      </c>
    </row>
    <row r="132" spans="1:23" s="1961" customFormat="1" ht="17.25" hidden="1" x14ac:dyDescent="0.2">
      <c r="A132" s="1960" t="s">
        <v>2120</v>
      </c>
      <c r="B132" s="1937"/>
      <c r="C132" s="1959"/>
      <c r="D132" s="1944"/>
      <c r="E132" s="1944"/>
      <c r="F132" s="1943"/>
      <c r="G132" s="1953">
        <f>SUM(G130:G131)</f>
        <v>0</v>
      </c>
      <c r="H132" s="1954"/>
      <c r="I132" s="1946">
        <f>SUM(I130:I131)</f>
        <v>0</v>
      </c>
      <c r="J132" s="1954"/>
      <c r="K132" s="1946">
        <f>SUM(K130:K131)</f>
        <v>0</v>
      </c>
      <c r="L132" s="1946"/>
      <c r="M132" s="1946"/>
      <c r="N132" s="1954"/>
      <c r="O132" s="1953">
        <f>SUM(O130:O131)</f>
        <v>0</v>
      </c>
      <c r="P132" s="1953"/>
      <c r="Q132" s="1953"/>
      <c r="R132" s="1954"/>
      <c r="S132" s="1953">
        <f>SUM(S130:S131)</f>
        <v>0</v>
      </c>
      <c r="T132" s="1954"/>
      <c r="U132" s="1946">
        <f>SUM(U130:U131)</f>
        <v>0</v>
      </c>
      <c r="V132" s="1953"/>
      <c r="W132" s="1953"/>
    </row>
    <row r="133" spans="1:23" ht="17.25" x14ac:dyDescent="0.2">
      <c r="A133" s="1960"/>
      <c r="B133" s="1937"/>
      <c r="C133" s="1959"/>
      <c r="D133" s="1944"/>
      <c r="E133" s="1944"/>
      <c r="F133" s="1943"/>
      <c r="G133" s="1954"/>
      <c r="H133" s="1954"/>
      <c r="I133" s="1954"/>
      <c r="J133" s="1954"/>
      <c r="K133" s="1954"/>
      <c r="L133" s="1954"/>
      <c r="M133" s="1954"/>
      <c r="N133" s="1954"/>
      <c r="O133" s="1954"/>
      <c r="P133" s="1954"/>
      <c r="Q133" s="1954"/>
      <c r="R133" s="1954"/>
      <c r="S133" s="1954"/>
      <c r="T133" s="1954"/>
      <c r="U133" s="1954"/>
      <c r="V133" s="1953"/>
      <c r="W133" s="1953"/>
    </row>
    <row r="134" spans="1:23" ht="15" customHeight="1" x14ac:dyDescent="0.2">
      <c r="A134" s="1943"/>
      <c r="B134" s="1944"/>
      <c r="C134" s="1959"/>
      <c r="D134" s="1944"/>
      <c r="E134" s="1944"/>
      <c r="F134" s="1943"/>
      <c r="G134" s="1953"/>
      <c r="H134" s="1953"/>
      <c r="I134" s="1953"/>
      <c r="J134" s="1958"/>
      <c r="K134" s="1953"/>
      <c r="L134" s="1953"/>
      <c r="M134" s="1953"/>
      <c r="N134" s="1953"/>
      <c r="O134" s="1953"/>
      <c r="P134" s="1953"/>
      <c r="Q134" s="1953"/>
      <c r="R134" s="1953"/>
      <c r="S134" s="1953"/>
      <c r="T134" s="1958"/>
      <c r="U134" s="1953"/>
      <c r="V134" s="1953"/>
      <c r="W134" s="1957"/>
    </row>
    <row r="135" spans="1:23" ht="17.100000000000001" customHeight="1" x14ac:dyDescent="0.2">
      <c r="A135" s="1956" t="s">
        <v>2117</v>
      </c>
      <c r="B135" s="1937"/>
      <c r="C135" s="1949"/>
      <c r="D135" s="1944"/>
      <c r="E135" s="1944"/>
      <c r="F135" s="1943"/>
      <c r="G135" s="1951">
        <f>G39+G111+G127+G132</f>
        <v>669748</v>
      </c>
      <c r="H135" s="1951"/>
      <c r="I135" s="1951">
        <f>I39+I111+I127+I132</f>
        <v>919500</v>
      </c>
      <c r="J135" s="1951"/>
      <c r="K135" s="1951">
        <f>K39+K111+K127+K132</f>
        <v>823127</v>
      </c>
      <c r="L135" s="1951"/>
      <c r="M135" s="1948">
        <v>0</v>
      </c>
      <c r="N135" s="1951"/>
      <c r="O135" s="1951">
        <f>O39+O111+O127+O132</f>
        <v>901732.34000000008</v>
      </c>
      <c r="P135" s="1951"/>
      <c r="Q135" s="1948">
        <v>0</v>
      </c>
      <c r="R135" s="1951"/>
      <c r="S135" s="1951">
        <f>S39+S111+S127+S132</f>
        <v>0</v>
      </c>
      <c r="T135" s="1951"/>
      <c r="U135" s="1951">
        <f>U39+U111+U127+U132</f>
        <v>1724859.34</v>
      </c>
      <c r="V135" s="1948"/>
      <c r="W135" s="1948"/>
    </row>
    <row r="136" spans="1:23" x14ac:dyDescent="0.2">
      <c r="A136" s="1943"/>
      <c r="B136" s="1944"/>
      <c r="C136" s="1949"/>
      <c r="D136" s="1944"/>
      <c r="E136" s="1944"/>
      <c r="F136" s="1943"/>
      <c r="G136" s="1950"/>
      <c r="H136" s="1941"/>
      <c r="I136" s="1950"/>
      <c r="J136" s="1942"/>
      <c r="K136" s="1950"/>
      <c r="L136" s="1950"/>
      <c r="M136" s="1950"/>
      <c r="N136" s="1947"/>
      <c r="O136" s="1950"/>
      <c r="P136" s="1950"/>
      <c r="Q136" s="1950"/>
      <c r="R136" s="1947"/>
      <c r="S136" s="1950"/>
      <c r="T136" s="1942"/>
      <c r="U136" s="1950"/>
      <c r="V136" s="1947" t="s">
        <v>1169</v>
      </c>
      <c r="W136" s="1941"/>
    </row>
    <row r="137" spans="1:23" ht="15" customHeight="1" x14ac:dyDescent="0.2">
      <c r="A137" s="1943"/>
      <c r="B137" s="1944"/>
      <c r="C137" s="1949"/>
      <c r="D137" s="1944"/>
      <c r="E137" s="1944"/>
      <c r="F137" s="1943"/>
      <c r="G137" s="1950"/>
      <c r="H137" s="1941"/>
      <c r="I137" s="1950"/>
      <c r="J137" s="1942"/>
      <c r="K137" s="1950"/>
      <c r="L137" s="1950"/>
      <c r="M137" s="1950"/>
      <c r="N137" s="1947"/>
      <c r="O137" s="1950"/>
      <c r="P137" s="1950"/>
      <c r="Q137" s="1950"/>
      <c r="R137" s="1947"/>
      <c r="S137" s="1950"/>
      <c r="T137" s="1942"/>
      <c r="U137" s="1950"/>
      <c r="V137" s="1947"/>
      <c r="W137" s="1941"/>
    </row>
    <row r="138" spans="1:23" x14ac:dyDescent="0.2">
      <c r="A138" s="1952" t="s">
        <v>2119</v>
      </c>
      <c r="B138" s="1944"/>
      <c r="C138" s="1949"/>
      <c r="D138" s="1944"/>
      <c r="E138" s="1944"/>
      <c r="F138" s="1943"/>
      <c r="G138" s="1955">
        <f>G39+G55+G59+G69+G85+G86</f>
        <v>492408</v>
      </c>
      <c r="H138" s="1955"/>
      <c r="I138" s="1955">
        <f>I39+I55+I59+I69+I85+I86</f>
        <v>574586</v>
      </c>
      <c r="J138" s="1955"/>
      <c r="K138" s="1955">
        <f>K39+K55+K59+K69+K85+K86</f>
        <v>562545</v>
      </c>
      <c r="L138" s="1955"/>
      <c r="M138" s="1955"/>
      <c r="N138" s="1955"/>
      <c r="O138" s="1955">
        <f>O39+O55+O59+O69+O85+O86</f>
        <v>632591.34</v>
      </c>
      <c r="P138" s="1955"/>
      <c r="Q138" s="1955"/>
      <c r="R138" s="1955"/>
      <c r="S138" s="1955">
        <f>S40+S55+S59+S69+S85+S86</f>
        <v>0</v>
      </c>
      <c r="T138" s="1955"/>
      <c r="U138" s="1955">
        <f>U39+U55+U59+U69+U85+U86</f>
        <v>1195136.3400000001</v>
      </c>
      <c r="V138" s="1950"/>
      <c r="W138" s="1941"/>
    </row>
    <row r="139" spans="1:23" x14ac:dyDescent="0.2">
      <c r="A139" s="1952"/>
      <c r="B139" s="1944"/>
      <c r="C139" s="1949"/>
      <c r="D139" s="1944"/>
      <c r="E139" s="1944"/>
      <c r="F139" s="1943"/>
      <c r="G139" s="1950"/>
      <c r="H139" s="1941"/>
      <c r="I139" s="1950"/>
      <c r="J139" s="1942"/>
      <c r="K139" s="1950"/>
      <c r="L139" s="1950"/>
      <c r="M139" s="1950"/>
      <c r="N139" s="1947"/>
      <c r="O139" s="1950"/>
      <c r="P139" s="1950"/>
      <c r="Q139" s="1950"/>
      <c r="R139" s="1947"/>
      <c r="S139" s="1950"/>
      <c r="T139" s="1942"/>
      <c r="U139" s="1950"/>
      <c r="V139" s="1947"/>
      <c r="W139" s="1941"/>
    </row>
    <row r="140" spans="1:23" ht="15.95" customHeight="1" x14ac:dyDescent="0.2">
      <c r="A140" s="1952" t="s">
        <v>2118</v>
      </c>
      <c r="B140" s="1944"/>
      <c r="C140" s="1949"/>
      <c r="D140" s="1944"/>
      <c r="E140" s="1944"/>
      <c r="F140" s="1943"/>
      <c r="G140" s="1954">
        <f>G107+G108+G120</f>
        <v>177340</v>
      </c>
      <c r="H140" s="1954"/>
      <c r="I140" s="1954">
        <f>I127+I108+I107</f>
        <v>344914</v>
      </c>
      <c r="J140" s="1954"/>
      <c r="K140" s="1954">
        <f>K127+K108+K107</f>
        <v>260582</v>
      </c>
      <c r="L140" s="1954"/>
      <c r="M140" s="1953">
        <v>0</v>
      </c>
      <c r="N140" s="1954"/>
      <c r="O140" s="1954">
        <f>O127+O108+O107</f>
        <v>269141</v>
      </c>
      <c r="P140" s="1954"/>
      <c r="Q140" s="1953">
        <v>0</v>
      </c>
      <c r="R140" s="1954"/>
      <c r="S140" s="2022">
        <f>S127+S108+S107</f>
        <v>0</v>
      </c>
      <c r="T140" s="1954"/>
      <c r="U140" s="1954">
        <f>U127+U108+U107</f>
        <v>529723</v>
      </c>
      <c r="V140" s="1953"/>
      <c r="W140" s="1941"/>
    </row>
    <row r="141" spans="1:23" x14ac:dyDescent="0.2">
      <c r="A141" s="1952"/>
      <c r="B141" s="1944"/>
      <c r="C141" s="1949"/>
      <c r="D141" s="1944"/>
      <c r="E141" s="1944"/>
      <c r="F141" s="1943"/>
      <c r="G141" s="1950"/>
      <c r="H141" s="1941"/>
      <c r="I141" s="1950"/>
      <c r="J141" s="1942"/>
      <c r="K141" s="1950"/>
      <c r="L141" s="1950"/>
      <c r="M141" s="1950"/>
      <c r="N141" s="1947"/>
      <c r="O141" s="1950"/>
      <c r="P141" s="1950"/>
      <c r="Q141" s="1950"/>
      <c r="R141" s="1947"/>
      <c r="S141" s="1950"/>
      <c r="T141" s="1942"/>
      <c r="U141" s="1950"/>
      <c r="V141" s="1947"/>
      <c r="W141" s="1941"/>
    </row>
    <row r="142" spans="1:23" ht="15.95" customHeight="1" x14ac:dyDescent="0.2">
      <c r="A142" s="1952" t="s">
        <v>2117</v>
      </c>
      <c r="B142" s="1944"/>
      <c r="C142" s="1949"/>
      <c r="D142" s="1944"/>
      <c r="E142" s="1944"/>
      <c r="F142" s="1943"/>
      <c r="G142" s="1951">
        <f>G138+G140</f>
        <v>669748</v>
      </c>
      <c r="H142" s="1951"/>
      <c r="I142" s="1951">
        <f>I138+I140</f>
        <v>919500</v>
      </c>
      <c r="J142" s="1951"/>
      <c r="K142" s="1951">
        <f>K138+K140</f>
        <v>823127</v>
      </c>
      <c r="L142" s="1951"/>
      <c r="M142" s="1948">
        <v>0</v>
      </c>
      <c r="N142" s="1951"/>
      <c r="O142" s="1951">
        <f>O138+O140</f>
        <v>901732.34</v>
      </c>
      <c r="P142" s="1951"/>
      <c r="Q142" s="1948">
        <v>0</v>
      </c>
      <c r="R142" s="1951"/>
      <c r="S142" s="1951">
        <f>S138+S140</f>
        <v>0</v>
      </c>
      <c r="T142" s="1951"/>
      <c r="U142" s="1951">
        <f>U138+U140</f>
        <v>1724859.34</v>
      </c>
      <c r="V142" s="1950"/>
      <c r="W142" s="1941"/>
    </row>
    <row r="143" spans="1:23" ht="6" customHeight="1" x14ac:dyDescent="0.2">
      <c r="A143" s="1943"/>
      <c r="B143" s="1944"/>
      <c r="C143" s="1949"/>
      <c r="D143" s="1944"/>
      <c r="E143" s="1944"/>
      <c r="F143" s="1943"/>
      <c r="G143" s="1948"/>
      <c r="H143" s="1941"/>
      <c r="I143" s="1948"/>
      <c r="J143" s="1942"/>
      <c r="K143" s="1948"/>
      <c r="L143" s="1948"/>
      <c r="M143" s="1948"/>
      <c r="N143" s="1947"/>
      <c r="O143" s="1948"/>
      <c r="P143" s="1948"/>
      <c r="Q143" s="1948"/>
      <c r="R143" s="1947"/>
      <c r="S143" s="1948"/>
      <c r="T143" s="1948"/>
      <c r="U143" s="1948"/>
      <c r="V143" s="1947"/>
      <c r="W143" s="1941"/>
    </row>
    <row r="144" spans="1:23" ht="17.100000000000001" customHeight="1" x14ac:dyDescent="0.2">
      <c r="A144" s="1944" t="s">
        <v>2116</v>
      </c>
      <c r="B144" s="1944"/>
      <c r="C144" s="1944"/>
      <c r="D144" s="1944"/>
      <c r="E144" s="1944"/>
      <c r="F144" s="1943"/>
      <c r="G144" s="1941"/>
      <c r="H144" s="1941"/>
      <c r="I144" s="1941"/>
      <c r="J144" s="1942"/>
      <c r="K144" s="1941"/>
      <c r="L144" s="1941"/>
      <c r="M144" s="1941"/>
      <c r="N144" s="1941"/>
      <c r="O144" s="1941"/>
      <c r="P144" s="1941"/>
      <c r="Q144" s="1941"/>
      <c r="R144" s="1941"/>
      <c r="S144" s="1946"/>
      <c r="T144" s="1942"/>
      <c r="U144" s="1941"/>
      <c r="V144" s="1941"/>
      <c r="W144" s="1941"/>
    </row>
    <row r="145" spans="1:23" x14ac:dyDescent="0.2">
      <c r="A145" s="1945" t="s">
        <v>2115</v>
      </c>
      <c r="B145" s="1937"/>
      <c r="C145" s="1944"/>
      <c r="D145" s="1944"/>
      <c r="E145" s="1944"/>
      <c r="F145" s="1943"/>
      <c r="G145" s="1941"/>
      <c r="H145" s="1941"/>
      <c r="I145" s="1941"/>
      <c r="J145" s="1942"/>
      <c r="K145" s="1941"/>
      <c r="L145" s="1941"/>
      <c r="M145" s="1941"/>
      <c r="N145" s="1941"/>
      <c r="O145" s="1941"/>
      <c r="P145" s="1941"/>
      <c r="Q145" s="1941"/>
      <c r="R145" s="1941"/>
      <c r="S145" s="1941"/>
      <c r="T145" s="1942"/>
      <c r="U145" s="1941"/>
      <c r="V145" s="1941"/>
      <c r="W145" s="1941"/>
    </row>
    <row r="146" spans="1:23" x14ac:dyDescent="0.2">
      <c r="A146" s="1945" t="s">
        <v>2114</v>
      </c>
      <c r="B146" s="1937"/>
      <c r="C146" s="1944"/>
      <c r="D146" s="1944"/>
      <c r="E146" s="1944"/>
      <c r="F146" s="1943"/>
      <c r="G146" s="1941"/>
      <c r="H146" s="1941"/>
      <c r="I146" s="1941"/>
      <c r="J146" s="1942" t="s">
        <v>1169</v>
      </c>
      <c r="K146" s="1941" t="s">
        <v>1169</v>
      </c>
      <c r="L146" s="1941"/>
      <c r="M146" s="1941"/>
      <c r="N146" s="1941"/>
      <c r="O146" s="1941" t="s">
        <v>1169</v>
      </c>
      <c r="P146" s="1941"/>
      <c r="Q146" s="1941"/>
      <c r="R146" s="1941"/>
      <c r="S146" s="1941"/>
      <c r="T146" s="1942"/>
      <c r="U146" s="1941"/>
      <c r="V146" s="1941"/>
      <c r="W146" s="1941"/>
    </row>
    <row r="147" spans="1:23" x14ac:dyDescent="0.2">
      <c r="A147" s="1939" t="s">
        <v>2113</v>
      </c>
      <c r="B147" s="1937"/>
      <c r="C147" s="1937"/>
      <c r="D147" s="1937"/>
      <c r="E147" s="1937"/>
      <c r="F147" s="1940"/>
      <c r="G147" s="1937"/>
      <c r="H147" s="1937"/>
      <c r="J147" s="1940"/>
      <c r="K147" s="1937"/>
      <c r="L147" s="1937"/>
      <c r="M147" s="1937"/>
      <c r="N147" s="1937"/>
      <c r="O147" s="1937"/>
      <c r="P147" s="1937"/>
      <c r="Q147" s="1937"/>
      <c r="R147" s="1937"/>
      <c r="S147" s="1937"/>
      <c r="T147" s="1940"/>
      <c r="U147" s="1937"/>
      <c r="V147" s="1937"/>
      <c r="W147" s="1937"/>
    </row>
    <row r="148" spans="1:23" x14ac:dyDescent="0.2">
      <c r="A148" s="1939"/>
    </row>
  </sheetData>
  <mergeCells count="5">
    <mergeCell ref="A3:W3"/>
    <mergeCell ref="A4:W4"/>
    <mergeCell ref="A5:W5"/>
    <mergeCell ref="A6:W6"/>
    <mergeCell ref="K9:Q9"/>
  </mergeCells>
  <printOptions horizontalCentered="1" gridLinesSet="0"/>
  <pageMargins left="0.25" right="0.25" top="0.5" bottom="0.5" header="0" footer="0.25"/>
  <pageSetup scale="60" fitToHeight="0" orientation="landscape" r:id="rId1"/>
  <headerFooter alignWithMargins="0">
    <oddFooter>&amp;L&amp;"Times New Roman,Regular"See the accompanying notes to the schedule of expenditures of federal awards.</oddFooter>
  </headerFooter>
  <rowBreaks count="1" manualBreakCount="1">
    <brk id="87" max="2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80" t="s">
        <v>1168</v>
      </c>
      <c r="B2" s="2180"/>
      <c r="C2" s="2180"/>
      <c r="D2" s="2180"/>
      <c r="E2" s="2180"/>
      <c r="F2" s="2180"/>
      <c r="G2" s="2180"/>
      <c r="H2" s="2180"/>
      <c r="I2" s="2180"/>
      <c r="J2" s="218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94" t="s">
        <v>1633</v>
      </c>
      <c r="B35" s="2195"/>
      <c r="C35" s="2195"/>
      <c r="D35" s="2195"/>
      <c r="E35" s="2196"/>
      <c r="F35" s="2196"/>
      <c r="G35" s="2196"/>
      <c r="H35" s="2196"/>
      <c r="I35" s="219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94" t="s">
        <v>313</v>
      </c>
      <c r="B47" s="2197"/>
      <c r="C47" s="2197"/>
      <c r="D47" s="2197"/>
      <c r="E47" s="2198"/>
      <c r="F47" s="2198"/>
      <c r="G47" s="2198"/>
      <c r="H47" s="2198"/>
      <c r="I47" s="219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01"/>
      <c r="C57" s="2202"/>
      <c r="D57" s="2202"/>
      <c r="E57" s="2202"/>
      <c r="F57" s="2202"/>
      <c r="G57" s="2202"/>
      <c r="H57" s="2202"/>
      <c r="I57" s="2202"/>
      <c r="J57" s="2203"/>
    </row>
    <row r="58" spans="1:10" s="181" customFormat="1" x14ac:dyDescent="0.2">
      <c r="A58" s="253"/>
      <c r="B58" s="2204"/>
      <c r="C58" s="2205"/>
      <c r="D58" s="2205"/>
      <c r="E58" s="2205"/>
      <c r="F58" s="2205"/>
      <c r="G58" s="2205"/>
      <c r="H58" s="2205"/>
      <c r="I58" s="2205"/>
      <c r="J58" s="2206"/>
    </row>
    <row r="59" spans="1:10" s="181" customFormat="1" x14ac:dyDescent="0.2">
      <c r="A59" s="253"/>
      <c r="B59" s="2204"/>
      <c r="C59" s="2205"/>
      <c r="D59" s="2205"/>
      <c r="E59" s="2205"/>
      <c r="F59" s="2205"/>
      <c r="G59" s="2205"/>
      <c r="H59" s="2205"/>
      <c r="I59" s="2205"/>
      <c r="J59" s="2206"/>
    </row>
    <row r="60" spans="1:10" s="181" customFormat="1" x14ac:dyDescent="0.2">
      <c r="A60" s="253"/>
      <c r="B60" s="2204"/>
      <c r="C60" s="2205"/>
      <c r="D60" s="2205"/>
      <c r="E60" s="2205"/>
      <c r="F60" s="2205"/>
      <c r="G60" s="2205"/>
      <c r="H60" s="2205"/>
      <c r="I60" s="2205"/>
      <c r="J60" s="2206"/>
    </row>
    <row r="61" spans="1:10" s="181" customFormat="1" x14ac:dyDescent="0.2">
      <c r="A61" s="253"/>
      <c r="B61" s="2204"/>
      <c r="C61" s="2205"/>
      <c r="D61" s="2205"/>
      <c r="E61" s="2205"/>
      <c r="F61" s="2205"/>
      <c r="G61" s="2205"/>
      <c r="H61" s="2205"/>
      <c r="I61" s="2205"/>
      <c r="J61" s="2206"/>
    </row>
    <row r="62" spans="1:10" s="181" customFormat="1" x14ac:dyDescent="0.2">
      <c r="A62" s="253"/>
      <c r="B62" s="2204"/>
      <c r="C62" s="2205"/>
      <c r="D62" s="2205"/>
      <c r="E62" s="2205"/>
      <c r="F62" s="2205"/>
      <c r="G62" s="2205"/>
      <c r="H62" s="2205"/>
      <c r="I62" s="2205"/>
      <c r="J62" s="2206"/>
    </row>
    <row r="63" spans="1:10" s="181" customFormat="1" x14ac:dyDescent="0.2">
      <c r="A63" s="253"/>
      <c r="B63" s="2204"/>
      <c r="C63" s="2205"/>
      <c r="D63" s="2205"/>
      <c r="E63" s="2205"/>
      <c r="F63" s="2205"/>
      <c r="G63" s="2205"/>
      <c r="H63" s="2205"/>
      <c r="I63" s="2205"/>
      <c r="J63" s="2206"/>
    </row>
    <row r="64" spans="1:10" s="181" customFormat="1" x14ac:dyDescent="0.2">
      <c r="A64" s="253"/>
      <c r="B64" s="2204"/>
      <c r="C64" s="2205"/>
      <c r="D64" s="2205"/>
      <c r="E64" s="2205"/>
      <c r="F64" s="2205"/>
      <c r="G64" s="2205"/>
      <c r="H64" s="2205"/>
      <c r="I64" s="2205"/>
      <c r="J64" s="2206"/>
    </row>
    <row r="65" spans="1:10" s="181" customFormat="1" x14ac:dyDescent="0.2">
      <c r="A65" s="253"/>
      <c r="B65" s="2204"/>
      <c r="C65" s="2205"/>
      <c r="D65" s="2205"/>
      <c r="E65" s="2205"/>
      <c r="F65" s="2205"/>
      <c r="G65" s="2205"/>
      <c r="H65" s="2205"/>
      <c r="I65" s="2205"/>
      <c r="J65" s="2206"/>
    </row>
    <row r="66" spans="1:10" s="181" customFormat="1" x14ac:dyDescent="0.2">
      <c r="A66" s="253"/>
      <c r="B66" s="2204"/>
      <c r="C66" s="2205"/>
      <c r="D66" s="2205"/>
      <c r="E66" s="2205"/>
      <c r="F66" s="2205"/>
      <c r="G66" s="2205"/>
      <c r="H66" s="2205"/>
      <c r="I66" s="2205"/>
      <c r="J66" s="2206"/>
    </row>
    <row r="67" spans="1:10" s="181" customFormat="1" ht="9" customHeight="1" x14ac:dyDescent="0.2">
      <c r="A67" s="254"/>
      <c r="B67" s="2207"/>
      <c r="C67" s="2208"/>
      <c r="D67" s="2208"/>
      <c r="E67" s="2208"/>
      <c r="F67" s="2208"/>
      <c r="G67" s="2208"/>
      <c r="H67" s="2208"/>
      <c r="I67" s="2208"/>
      <c r="J67" s="22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4" t="s">
        <v>1323</v>
      </c>
      <c r="B70" s="2197"/>
      <c r="C70" s="2197"/>
      <c r="D70" s="2197"/>
      <c r="E70" s="2198"/>
      <c r="F70" s="2198"/>
      <c r="G70" s="2198"/>
      <c r="H70" s="2198"/>
      <c r="I70" s="219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9" t="s">
        <v>1320</v>
      </c>
      <c r="B83" s="2199"/>
      <c r="C83" s="2199"/>
      <c r="D83" s="220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81" t="s">
        <v>2280</v>
      </c>
      <c r="C102" s="2182"/>
      <c r="D102" s="2182"/>
      <c r="E102" s="2182"/>
      <c r="F102" s="2182"/>
      <c r="G102" s="2182"/>
      <c r="H102" s="2182"/>
      <c r="I102" s="2183"/>
    </row>
    <row r="103" spans="1:9" s="181" customFormat="1" ht="11.25" customHeight="1" x14ac:dyDescent="0.2">
      <c r="A103" s="316"/>
      <c r="B103" s="2184"/>
      <c r="C103" s="2185"/>
      <c r="D103" s="2185"/>
      <c r="E103" s="2185"/>
      <c r="F103" s="2185"/>
      <c r="G103" s="2185"/>
      <c r="H103" s="2185"/>
      <c r="I103" s="2186"/>
    </row>
    <row r="104" spans="1:9" s="181" customFormat="1" ht="11.25" customHeight="1" x14ac:dyDescent="0.2">
      <c r="A104" s="316"/>
      <c r="B104" s="2184"/>
      <c r="C104" s="2185"/>
      <c r="D104" s="2185"/>
      <c r="E104" s="2185"/>
      <c r="F104" s="2185"/>
      <c r="G104" s="2185"/>
      <c r="H104" s="2185"/>
      <c r="I104" s="2186"/>
    </row>
    <row r="105" spans="1:9" s="181" customFormat="1" x14ac:dyDescent="0.2">
      <c r="A105" s="316"/>
      <c r="B105" s="2184"/>
      <c r="C105" s="2185"/>
      <c r="D105" s="2185"/>
      <c r="E105" s="2185"/>
      <c r="F105" s="2185"/>
      <c r="G105" s="2185"/>
      <c r="H105" s="2185"/>
      <c r="I105" s="2186"/>
    </row>
    <row r="106" spans="1:9" s="181" customFormat="1" ht="11.25" customHeight="1" x14ac:dyDescent="0.2">
      <c r="A106" s="316"/>
      <c r="B106" s="2184"/>
      <c r="C106" s="2185"/>
      <c r="D106" s="2185"/>
      <c r="E106" s="2185"/>
      <c r="F106" s="2185"/>
      <c r="G106" s="2185"/>
      <c r="H106" s="2185"/>
      <c r="I106" s="2186"/>
    </row>
    <row r="107" spans="1:9" s="181" customFormat="1" ht="11.25" customHeight="1" x14ac:dyDescent="0.2">
      <c r="A107" s="316"/>
      <c r="B107" s="2184"/>
      <c r="C107" s="2185"/>
      <c r="D107" s="2185"/>
      <c r="E107" s="2185"/>
      <c r="F107" s="2185"/>
      <c r="G107" s="2185"/>
      <c r="H107" s="2185"/>
      <c r="I107" s="2186"/>
    </row>
    <row r="108" spans="1:9" s="181" customFormat="1" ht="11.25" customHeight="1" x14ac:dyDescent="0.2">
      <c r="A108" s="316"/>
      <c r="B108" s="2184"/>
      <c r="C108" s="2185"/>
      <c r="D108" s="2185"/>
      <c r="E108" s="2185"/>
      <c r="F108" s="2185"/>
      <c r="G108" s="2185"/>
      <c r="H108" s="2185"/>
      <c r="I108" s="2186"/>
    </row>
    <row r="109" spans="1:9" s="181" customFormat="1" ht="11.25" customHeight="1" x14ac:dyDescent="0.2">
      <c r="A109" s="316"/>
      <c r="B109" s="2184"/>
      <c r="C109" s="2185"/>
      <c r="D109" s="2185"/>
      <c r="E109" s="2185"/>
      <c r="F109" s="2185"/>
      <c r="G109" s="2185"/>
      <c r="H109" s="2185"/>
      <c r="I109" s="2186"/>
    </row>
    <row r="110" spans="1:9" s="181" customFormat="1" ht="11.25" customHeight="1" x14ac:dyDescent="0.2">
      <c r="A110" s="316"/>
      <c r="B110" s="2184"/>
      <c r="C110" s="2185"/>
      <c r="D110" s="2185"/>
      <c r="E110" s="2185"/>
      <c r="F110" s="2185"/>
      <c r="G110" s="2185"/>
      <c r="H110" s="2185"/>
      <c r="I110" s="2186"/>
    </row>
    <row r="111" spans="1:9" s="181" customFormat="1" ht="11.25" customHeight="1" x14ac:dyDescent="0.2">
      <c r="A111" s="316"/>
      <c r="B111" s="2184"/>
      <c r="C111" s="2185"/>
      <c r="D111" s="2185"/>
      <c r="E111" s="2185"/>
      <c r="F111" s="2185"/>
      <c r="G111" s="2185"/>
      <c r="H111" s="2185"/>
      <c r="I111" s="2186"/>
    </row>
    <row r="112" spans="1:9" s="181" customFormat="1" ht="11.25" customHeight="1" x14ac:dyDescent="0.2">
      <c r="A112" s="316"/>
      <c r="B112" s="2187"/>
      <c r="C112" s="2188"/>
      <c r="D112" s="2188"/>
      <c r="E112" s="2188"/>
      <c r="F112" s="2188"/>
      <c r="G112" s="2188"/>
      <c r="H112" s="2188"/>
      <c r="I112" s="21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90" t="s">
        <v>2322</v>
      </c>
      <c r="D114" s="219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91" t="s">
        <v>1330</v>
      </c>
      <c r="D117" s="2192"/>
      <c r="E117" s="2193"/>
      <c r="F117" s="2193"/>
      <c r="G117" s="2193"/>
      <c r="H117" s="2193"/>
      <c r="I117" s="304"/>
    </row>
    <row r="118" spans="1:9" s="181" customFormat="1" ht="24" customHeight="1" x14ac:dyDescent="0.2">
      <c r="A118" s="316"/>
      <c r="B118" s="316"/>
      <c r="C118" s="316"/>
      <c r="D118" s="323" t="s">
        <v>2323</v>
      </c>
      <c r="E118" s="322"/>
      <c r="F118" s="324"/>
      <c r="G118" s="1837"/>
      <c r="H118" s="322"/>
      <c r="I118" s="304"/>
    </row>
    <row r="119" spans="1:9" s="181" customFormat="1" ht="11.25" customHeight="1" x14ac:dyDescent="0.2">
      <c r="A119" s="325"/>
      <c r="B119" s="325"/>
      <c r="C119" s="326"/>
      <c r="D119" s="327" t="s">
        <v>361</v>
      </c>
      <c r="E119" s="310"/>
      <c r="F119" s="1836" t="s">
        <v>1904</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67" t="str">
        <f>'Single Audit Cover'!A7</f>
        <v>Mercer County School District 404</v>
      </c>
      <c r="B1" s="2567"/>
      <c r="C1" s="2567"/>
      <c r="D1" s="2567"/>
      <c r="E1" s="2567"/>
      <c r="F1" s="2567"/>
    </row>
    <row r="2" spans="1:7" ht="13.5" customHeight="1" x14ac:dyDescent="0.2">
      <c r="A2" s="2560">
        <f>'Single Audit Cover'!E7</f>
        <v>33066404026</v>
      </c>
      <c r="B2" s="2560"/>
      <c r="C2" s="2560"/>
      <c r="D2" s="2560"/>
      <c r="E2" s="2560"/>
      <c r="F2" s="2560"/>
      <c r="G2" s="1269"/>
    </row>
    <row r="3" spans="1:7" ht="15.75" customHeight="1" x14ac:dyDescent="0.2">
      <c r="A3" s="2568" t="s">
        <v>1271</v>
      </c>
      <c r="B3" s="2568"/>
      <c r="C3" s="2568"/>
      <c r="D3" s="2568"/>
      <c r="E3" s="2568"/>
      <c r="F3" s="2568"/>
    </row>
    <row r="4" spans="1:7" ht="13.5" customHeight="1" x14ac:dyDescent="0.2">
      <c r="A4" s="2569" t="str">
        <f>'Single Audit Cover'!A4</f>
        <v>Year Ending June 30, 2019</v>
      </c>
      <c r="B4" s="2569"/>
      <c r="C4" s="2569"/>
      <c r="D4" s="2569"/>
      <c r="E4" s="2569"/>
      <c r="F4" s="2569"/>
    </row>
    <row r="5" spans="1:7" ht="8.25" customHeight="1" x14ac:dyDescent="0.2">
      <c r="C5" s="317"/>
      <c r="D5" s="317"/>
    </row>
    <row r="6" spans="1:7" ht="13.5" customHeight="1" x14ac:dyDescent="0.2">
      <c r="A6" s="1270" t="s">
        <v>1728</v>
      </c>
      <c r="C6" s="317"/>
      <c r="D6" s="317"/>
    </row>
    <row r="7" spans="1:7" ht="60.95" customHeight="1" x14ac:dyDescent="0.2">
      <c r="A7" s="2566" t="s">
        <v>2239</v>
      </c>
      <c r="B7" s="2566"/>
      <c r="C7" s="2566"/>
      <c r="D7" s="2566"/>
      <c r="E7" s="2566"/>
      <c r="F7" s="2566"/>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2068</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66" t="s">
        <v>1730</v>
      </c>
      <c r="B13" s="2566"/>
      <c r="C13" s="2566"/>
      <c r="D13" s="2566"/>
      <c r="E13" s="2566"/>
      <c r="F13" s="2566"/>
    </row>
    <row r="14" spans="1:7" ht="9.75" customHeight="1" x14ac:dyDescent="0.2">
      <c r="C14" s="1254"/>
      <c r="D14" s="1254"/>
    </row>
    <row r="15" spans="1:7" ht="13.5" customHeight="1" x14ac:dyDescent="0.2">
      <c r="C15" s="1843" t="s">
        <v>1270</v>
      </c>
      <c r="D15" s="2571" t="s">
        <v>1269</v>
      </c>
      <c r="E15" s="2571"/>
      <c r="F15" s="2571"/>
    </row>
    <row r="16" spans="1:7" ht="13.5" customHeight="1" x14ac:dyDescent="0.2">
      <c r="A16" s="1276"/>
      <c r="B16" s="1270" t="s">
        <v>1268</v>
      </c>
      <c r="C16" s="1843" t="s">
        <v>1267</v>
      </c>
      <c r="D16" s="2572" t="s">
        <v>1588</v>
      </c>
      <c r="E16" s="2572"/>
      <c r="F16" s="2572"/>
    </row>
    <row r="17" spans="1:6" ht="20.45" customHeight="1" x14ac:dyDescent="0.2">
      <c r="A17" s="1277"/>
      <c r="B17" s="1278" t="s">
        <v>2241</v>
      </c>
      <c r="C17" s="1279"/>
      <c r="D17" s="2570"/>
      <c r="E17" s="2570"/>
      <c r="F17" s="2570"/>
    </row>
    <row r="18" spans="1:6" ht="20.65" customHeight="1" x14ac:dyDescent="0.2">
      <c r="A18" s="1277"/>
      <c r="B18" s="1278"/>
      <c r="C18" s="1279"/>
      <c r="D18" s="2570"/>
      <c r="E18" s="2570"/>
      <c r="F18" s="2570"/>
    </row>
    <row r="19" spans="1:6" ht="20.65" customHeight="1" x14ac:dyDescent="0.2">
      <c r="A19" s="1277"/>
      <c r="B19" s="1278"/>
      <c r="C19" s="1279"/>
      <c r="D19" s="2570"/>
      <c r="E19" s="2570"/>
      <c r="F19" s="2570"/>
    </row>
    <row r="20" spans="1:6" ht="20.65" customHeight="1" x14ac:dyDescent="0.2">
      <c r="A20" s="1277"/>
      <c r="B20" s="1278"/>
      <c r="C20" s="1279"/>
      <c r="D20" s="2570"/>
      <c r="E20" s="2570"/>
      <c r="F20" s="2570"/>
    </row>
    <row r="21" spans="1:6" ht="20.65" customHeight="1" x14ac:dyDescent="0.2">
      <c r="A21" s="1277"/>
      <c r="B21" s="1278"/>
      <c r="C21" s="1279"/>
      <c r="D21" s="2570"/>
      <c r="E21" s="2570"/>
      <c r="F21" s="2570"/>
    </row>
    <row r="22" spans="1:6" ht="20.65" customHeight="1" x14ac:dyDescent="0.2">
      <c r="A22" s="1277"/>
      <c r="B22" s="1278"/>
      <c r="C22" s="1279"/>
      <c r="D22" s="2570"/>
      <c r="E22" s="2570"/>
      <c r="F22" s="2570"/>
    </row>
    <row r="23" spans="1:6" ht="20.65" customHeight="1" x14ac:dyDescent="0.2">
      <c r="A23" s="1277"/>
      <c r="B23" s="1278"/>
      <c r="C23" s="1279"/>
      <c r="D23" s="2570"/>
      <c r="E23" s="2570"/>
      <c r="F23" s="2570"/>
    </row>
    <row r="24" spans="1:6" ht="20.65" customHeight="1" x14ac:dyDescent="0.2">
      <c r="A24" s="1277"/>
      <c r="B24" s="1278"/>
      <c r="C24" s="1279"/>
      <c r="D24" s="2570"/>
      <c r="E24" s="2570"/>
      <c r="F24" s="2570"/>
    </row>
    <row r="25" spans="1:6" ht="20.65" customHeight="1" x14ac:dyDescent="0.2">
      <c r="A25" s="1277"/>
      <c r="B25" s="1278"/>
      <c r="C25" s="1279"/>
      <c r="D25" s="2570"/>
      <c r="E25" s="2570"/>
      <c r="F25" s="2570"/>
    </row>
    <row r="26" spans="1:6" ht="20.65" customHeight="1" x14ac:dyDescent="0.2">
      <c r="A26" s="1277"/>
      <c r="B26" s="1278"/>
      <c r="C26" s="1279"/>
      <c r="D26" s="2570"/>
      <c r="E26" s="2570"/>
      <c r="F26" s="2570"/>
    </row>
    <row r="27" spans="1:6" ht="20.65" customHeight="1" x14ac:dyDescent="0.2">
      <c r="A27" s="1277"/>
      <c r="B27" s="1278"/>
      <c r="C27" s="1279"/>
      <c r="D27" s="2570"/>
      <c r="E27" s="2570"/>
      <c r="F27" s="2570"/>
    </row>
    <row r="28" spans="1:6" ht="20.65" customHeight="1" x14ac:dyDescent="0.2">
      <c r="A28" s="1277"/>
      <c r="B28" s="1278"/>
      <c r="C28" s="1279"/>
      <c r="D28" s="2570"/>
      <c r="E28" s="2570"/>
      <c r="F28" s="2570"/>
    </row>
    <row r="29" spans="1:6" ht="20.65" customHeight="1" x14ac:dyDescent="0.2">
      <c r="A29" s="1277"/>
      <c r="B29" s="1278"/>
      <c r="C29" s="1279"/>
      <c r="D29" s="2570"/>
      <c r="E29" s="2570"/>
      <c r="F29" s="2570"/>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74" t="s">
        <v>2240</v>
      </c>
      <c r="B32" s="2574"/>
      <c r="C32" s="2574"/>
      <c r="D32" s="2574"/>
      <c r="E32" s="2574"/>
      <c r="F32" s="2574"/>
    </row>
    <row r="33" spans="1:6" ht="13.5" customHeight="1" x14ac:dyDescent="0.2">
      <c r="A33" s="328" t="s">
        <v>1434</v>
      </c>
      <c r="B33" s="328"/>
      <c r="C33" s="1282">
        <v>35168</v>
      </c>
      <c r="D33" s="1900"/>
      <c r="E33" s="1280"/>
    </row>
    <row r="34" spans="1:6" ht="13.5" customHeight="1" x14ac:dyDescent="0.2">
      <c r="A34" s="328" t="s">
        <v>1836</v>
      </c>
      <c r="B34" s="328"/>
      <c r="C34" s="1283">
        <v>10831</v>
      </c>
      <c r="D34" s="1900" t="s">
        <v>1589</v>
      </c>
      <c r="E34" s="2575">
        <f>+C33+C34</f>
        <v>45999</v>
      </c>
      <c r="F34" s="2576"/>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t="s">
        <v>383</v>
      </c>
      <c r="D38" s="1900"/>
      <c r="E38" s="1280"/>
    </row>
    <row r="39" spans="1:6" ht="14.25" customHeight="1" x14ac:dyDescent="0.2">
      <c r="A39" s="328"/>
      <c r="B39" s="328" t="s">
        <v>1436</v>
      </c>
      <c r="C39" s="1286" t="s">
        <v>383</v>
      </c>
      <c r="D39" s="1900"/>
      <c r="E39" s="1280"/>
    </row>
    <row r="40" spans="1:6" ht="14.25" customHeight="1" x14ac:dyDescent="0.2">
      <c r="A40" s="328"/>
      <c r="B40" s="328" t="s">
        <v>1437</v>
      </c>
      <c r="C40" s="1286" t="s">
        <v>383</v>
      </c>
      <c r="D40" s="1900"/>
      <c r="E40" s="1280"/>
    </row>
    <row r="41" spans="1:6" ht="14.25" customHeight="1" x14ac:dyDescent="0.2">
      <c r="A41" s="328"/>
      <c r="B41" s="328" t="s">
        <v>1438</v>
      </c>
      <c r="C41" s="1286" t="s">
        <v>383</v>
      </c>
      <c r="D41" s="1900"/>
      <c r="E41" s="1280"/>
    </row>
    <row r="42" spans="1:6" ht="14.25" customHeight="1" x14ac:dyDescent="0.2">
      <c r="A42" s="328" t="s">
        <v>1439</v>
      </c>
      <c r="B42" s="328"/>
      <c r="C42" s="1898" t="s">
        <v>383</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1731</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77" t="s">
        <v>1590</v>
      </c>
      <c r="C49" s="2577"/>
      <c r="D49" s="2577"/>
      <c r="E49" s="1393"/>
    </row>
    <row r="50" spans="1:5" s="1294" customFormat="1" ht="3.75" customHeight="1" x14ac:dyDescent="0.2">
      <c r="A50" s="1293"/>
      <c r="B50" s="1842"/>
      <c r="C50" s="1842"/>
      <c r="D50" s="1842"/>
      <c r="E50" s="1393"/>
    </row>
    <row r="51" spans="1:5" s="1294" customFormat="1" ht="20.25" customHeight="1" x14ac:dyDescent="0.2">
      <c r="A51" s="1295">
        <v>6</v>
      </c>
      <c r="B51" s="2573" t="s">
        <v>1551</v>
      </c>
      <c r="C51" s="2573"/>
      <c r="D51" s="2573"/>
    </row>
    <row r="52" spans="1:5" ht="14.25" customHeight="1" x14ac:dyDescent="0.2">
      <c r="A52" s="1295"/>
      <c r="B52" s="2573"/>
      <c r="C52" s="2573"/>
      <c r="D52" s="257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2" t="str">
        <f>'Single Audit Cover'!A7</f>
        <v>Mercer County School District 404</v>
      </c>
      <c r="C1" s="2583"/>
      <c r="D1" s="2583"/>
      <c r="E1" s="2583"/>
      <c r="F1" s="2583"/>
      <c r="G1" s="2583"/>
      <c r="H1" s="2583"/>
      <c r="I1" s="2583"/>
      <c r="J1" s="1403"/>
    </row>
    <row r="2" spans="2:10" s="317" customFormat="1" ht="12.75" customHeight="1" x14ac:dyDescent="0.2">
      <c r="B2" s="2584">
        <f>'Single Audit Cover'!E7</f>
        <v>33066404026</v>
      </c>
      <c r="C2" s="2585"/>
      <c r="D2" s="2585"/>
      <c r="E2" s="2585"/>
      <c r="F2" s="2585"/>
      <c r="G2" s="2585"/>
      <c r="H2" s="2585"/>
      <c r="I2" s="2585"/>
      <c r="J2" s="1403"/>
    </row>
    <row r="3" spans="2:10" s="317" customFormat="1" ht="12.75" customHeight="1" x14ac:dyDescent="0.2">
      <c r="B3" s="2586" t="s">
        <v>1285</v>
      </c>
      <c r="C3" s="2587"/>
      <c r="D3" s="2587"/>
      <c r="E3" s="2587"/>
      <c r="F3" s="2587"/>
      <c r="G3" s="2587"/>
      <c r="H3" s="2587"/>
      <c r="I3" s="2587"/>
      <c r="J3" s="1404"/>
    </row>
    <row r="4" spans="2:10" s="317" customFormat="1" ht="12.75" customHeight="1" x14ac:dyDescent="0.2">
      <c r="B4" s="2586" t="str">
        <f>'Single Audit Cover'!A4</f>
        <v>Year Ending June 30, 2019</v>
      </c>
      <c r="C4" s="2587"/>
      <c r="D4" s="2587"/>
      <c r="E4" s="2587"/>
      <c r="F4" s="2587"/>
      <c r="G4" s="2587"/>
      <c r="H4" s="2587"/>
      <c r="I4" s="258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86" t="s">
        <v>1284</v>
      </c>
      <c r="C7" s="2587"/>
      <c r="D7" s="2587"/>
      <c r="E7" s="2587"/>
      <c r="F7" s="2587"/>
      <c r="G7" s="2587"/>
      <c r="H7" s="2587"/>
      <c r="I7" s="258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88" t="s">
        <v>1164</v>
      </c>
      <c r="D11" s="258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t="s">
        <v>2068</v>
      </c>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2068</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2068</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t="s">
        <v>2068</v>
      </c>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2068</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89" t="s">
        <v>2242</v>
      </c>
      <c r="E29" s="2589"/>
      <c r="F29" s="2589"/>
      <c r="G29" s="2589"/>
      <c r="H29" s="2589"/>
      <c r="I29" s="2589"/>
    </row>
    <row r="30" spans="2:9" s="317" customFormat="1" x14ac:dyDescent="0.2">
      <c r="B30" s="1362"/>
      <c r="C30" s="322"/>
      <c r="D30" s="1414" t="s">
        <v>1746</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t="s">
        <v>2068</v>
      </c>
      <c r="F33" s="1294" t="s">
        <v>885</v>
      </c>
      <c r="G33" s="1419"/>
      <c r="H33" s="1294" t="s">
        <v>99</v>
      </c>
    </row>
    <row r="35" spans="2:9" x14ac:dyDescent="0.2">
      <c r="B35" s="1422" t="s">
        <v>1747</v>
      </c>
      <c r="C35" s="1423"/>
      <c r="D35" s="1261"/>
    </row>
    <row r="36" spans="2:9" ht="6" customHeight="1" x14ac:dyDescent="0.2">
      <c r="B36" s="1422"/>
      <c r="C36" s="1423"/>
      <c r="D36" s="1261"/>
    </row>
    <row r="37" spans="2:9" ht="17.25" customHeight="1" x14ac:dyDescent="0.2">
      <c r="B37" s="1424" t="s">
        <v>1748</v>
      </c>
      <c r="C37" s="2590" t="s">
        <v>1749</v>
      </c>
      <c r="D37" s="2591"/>
      <c r="E37" s="2591"/>
      <c r="F37" s="2592"/>
      <c r="G37" s="2590" t="s">
        <v>1592</v>
      </c>
      <c r="H37" s="2591"/>
      <c r="I37" s="2592"/>
    </row>
    <row r="38" spans="2:9" ht="16.5" customHeight="1" x14ac:dyDescent="0.2">
      <c r="B38" s="1425" t="s">
        <v>2243</v>
      </c>
      <c r="C38" s="2578" t="s">
        <v>2244</v>
      </c>
      <c r="D38" s="2579"/>
      <c r="E38" s="2579"/>
      <c r="F38" s="2580"/>
      <c r="G38" s="2593">
        <v>326748</v>
      </c>
      <c r="H38" s="2594"/>
      <c r="I38" s="2595"/>
    </row>
    <row r="39" spans="2:9" ht="16.5" customHeight="1" x14ac:dyDescent="0.2">
      <c r="B39" s="1425">
        <v>84.027000000000001</v>
      </c>
      <c r="C39" s="2578" t="s">
        <v>2257</v>
      </c>
      <c r="D39" s="2579"/>
      <c r="E39" s="2579"/>
      <c r="F39" s="2580"/>
      <c r="G39" s="2581">
        <v>264829</v>
      </c>
      <c r="H39" s="2581"/>
      <c r="I39" s="2581"/>
    </row>
    <row r="40" spans="2:9" ht="16.5" customHeight="1" x14ac:dyDescent="0.2">
      <c r="B40" s="1425"/>
      <c r="C40" s="2578"/>
      <c r="D40" s="2579"/>
      <c r="E40" s="2579"/>
      <c r="F40" s="2580"/>
      <c r="G40" s="2581"/>
      <c r="H40" s="2581"/>
      <c r="I40" s="2581"/>
    </row>
    <row r="41" spans="2:9" ht="16.5" customHeight="1" x14ac:dyDescent="0.2">
      <c r="B41" s="1425"/>
      <c r="C41" s="2578"/>
      <c r="D41" s="2579"/>
      <c r="E41" s="2579"/>
      <c r="F41" s="2580"/>
      <c r="G41" s="2581"/>
      <c r="H41" s="2581"/>
      <c r="I41" s="2581"/>
    </row>
    <row r="42" spans="2:9" ht="16.5" customHeight="1" x14ac:dyDescent="0.2">
      <c r="B42" s="1425"/>
      <c r="C42" s="2578"/>
      <c r="D42" s="2579"/>
      <c r="E42" s="2579"/>
      <c r="F42" s="2580"/>
      <c r="G42" s="2581"/>
      <c r="H42" s="2581"/>
      <c r="I42" s="2581"/>
    </row>
    <row r="43" spans="2:9" ht="16.5" customHeight="1" x14ac:dyDescent="0.2">
      <c r="B43" s="1425"/>
      <c r="C43" s="2596" t="s">
        <v>1593</v>
      </c>
      <c r="D43" s="2597"/>
      <c r="E43" s="2597"/>
      <c r="F43" s="2598"/>
      <c r="G43" s="2599">
        <f>SUM(G38:I42)</f>
        <v>591577</v>
      </c>
      <c r="H43" s="2599"/>
      <c r="I43" s="2599"/>
    </row>
    <row r="44" spans="2:9" ht="12.75" customHeight="1" x14ac:dyDescent="0.2"/>
    <row r="45" spans="2:9" ht="12.75" customHeight="1" x14ac:dyDescent="0.2">
      <c r="B45" s="1416" t="s">
        <v>1839</v>
      </c>
      <c r="D45" s="2600">
        <v>901732</v>
      </c>
      <c r="E45" s="2601"/>
    </row>
    <row r="46" spans="2:9" ht="5.25" customHeight="1" x14ac:dyDescent="0.2">
      <c r="B46" s="1426"/>
      <c r="D46" s="1427"/>
      <c r="E46" s="1428"/>
    </row>
    <row r="47" spans="2:9" ht="12.75" customHeight="1" x14ac:dyDescent="0.2">
      <c r="B47" s="1294" t="s">
        <v>1594</v>
      </c>
      <c r="C47" s="1294"/>
      <c r="D47" s="1429">
        <f>+G43/D45</f>
        <v>0.65604525513123635</v>
      </c>
      <c r="E47" s="1430"/>
      <c r="F47" s="1431"/>
      <c r="I47" s="1432"/>
    </row>
    <row r="48" spans="2:9" ht="9.9499999999999993" customHeight="1" x14ac:dyDescent="0.2"/>
    <row r="49" spans="1:9" x14ac:dyDescent="0.2">
      <c r="B49" s="1362" t="s">
        <v>1273</v>
      </c>
      <c r="C49" s="1276"/>
      <c r="D49" s="1276"/>
      <c r="E49" s="2602">
        <v>750000</v>
      </c>
      <c r="F49" s="2602"/>
      <c r="G49" s="2602"/>
      <c r="H49" s="322"/>
    </row>
    <row r="51" spans="1:9" ht="13.5" customHeight="1" x14ac:dyDescent="0.2">
      <c r="B51" s="1362" t="s">
        <v>1272</v>
      </c>
      <c r="C51" s="1276"/>
      <c r="E51" s="1419"/>
      <c r="F51" s="1294" t="s">
        <v>885</v>
      </c>
      <c r="G51" s="1419" t="s">
        <v>2068</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1750</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1751</v>
      </c>
      <c r="C58" s="1445"/>
      <c r="D58" s="1445"/>
    </row>
    <row r="59" spans="1:9" s="1442" customFormat="1" ht="3.95" customHeight="1" x14ac:dyDescent="0.2">
      <c r="A59" s="1439"/>
      <c r="B59" s="1444"/>
      <c r="C59" s="1445"/>
      <c r="D59" s="1445"/>
    </row>
    <row r="60" spans="1:9" s="1442" customFormat="1" ht="13.5" customHeight="1" x14ac:dyDescent="0.2">
      <c r="A60" s="1439"/>
      <c r="B60" s="1444" t="s">
        <v>1752</v>
      </c>
      <c r="C60" s="1445"/>
      <c r="D60" s="1445"/>
    </row>
    <row r="61" spans="1:9" s="1442" customFormat="1" ht="3.95" customHeight="1" x14ac:dyDescent="0.2">
      <c r="A61" s="1439"/>
      <c r="B61" s="1444"/>
      <c r="C61" s="1445"/>
      <c r="D61" s="1445"/>
    </row>
    <row r="62" spans="1:9" s="1442" customFormat="1" ht="12.75" customHeight="1" x14ac:dyDescent="0.2">
      <c r="A62" s="1439"/>
      <c r="B62" s="1444" t="s">
        <v>1753</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2" t="s">
        <v>2073</v>
      </c>
      <c r="C1" s="2582"/>
      <c r="D1" s="2582"/>
      <c r="E1" s="2582"/>
      <c r="F1" s="2582"/>
      <c r="G1" s="2582"/>
      <c r="H1" s="2582"/>
      <c r="I1" s="2582"/>
      <c r="J1" s="2582"/>
      <c r="K1" s="2582"/>
      <c r="L1" s="1368"/>
      <c r="M1" s="1368"/>
    </row>
    <row r="2" spans="1:13" ht="12" customHeight="1" x14ac:dyDescent="0.2">
      <c r="B2" s="2584" t="s">
        <v>2071</v>
      </c>
      <c r="C2" s="2584"/>
      <c r="D2" s="2584"/>
      <c r="E2" s="2584"/>
      <c r="F2" s="2584"/>
      <c r="G2" s="2584"/>
      <c r="H2" s="2584"/>
      <c r="I2" s="2584"/>
      <c r="J2" s="2584"/>
      <c r="K2" s="2584"/>
      <c r="L2" s="1369"/>
      <c r="M2" s="1370"/>
    </row>
    <row r="3" spans="1:13" ht="10.35" customHeight="1" x14ac:dyDescent="0.2">
      <c r="B3" s="2605" t="s">
        <v>1285</v>
      </c>
      <c r="C3" s="2605"/>
      <c r="D3" s="2605"/>
      <c r="E3" s="2605"/>
      <c r="F3" s="2605"/>
      <c r="G3" s="2605"/>
      <c r="H3" s="2605"/>
      <c r="I3" s="2605"/>
      <c r="J3" s="2605"/>
      <c r="K3" s="2605"/>
      <c r="L3" s="1934"/>
      <c r="M3" s="1934"/>
    </row>
    <row r="4" spans="1:13" ht="14.25" customHeight="1" x14ac:dyDescent="0.2">
      <c r="B4" s="2606" t="s">
        <v>2247</v>
      </c>
      <c r="C4" s="2606"/>
      <c r="D4" s="2606"/>
      <c r="E4" s="2606"/>
      <c r="F4" s="2606"/>
      <c r="G4" s="2606"/>
      <c r="H4" s="2606"/>
      <c r="I4" s="2606"/>
      <c r="J4" s="2606"/>
      <c r="K4" s="260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06" t="s">
        <v>1296</v>
      </c>
      <c r="C7" s="2606"/>
      <c r="D7" s="2607"/>
      <c r="E7" s="2607"/>
      <c r="F7" s="2607"/>
      <c r="G7" s="2607"/>
      <c r="H7" s="2607"/>
      <c r="I7" s="2607"/>
      <c r="J7" s="2607"/>
      <c r="K7" s="260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1740</v>
      </c>
      <c r="C10" s="1379" t="s">
        <v>1989</v>
      </c>
      <c r="D10" s="1380">
        <v>1</v>
      </c>
      <c r="E10" s="322"/>
      <c r="F10" s="1381" t="s">
        <v>1295</v>
      </c>
      <c r="G10" s="1382"/>
      <c r="H10" s="1383" t="s">
        <v>1294</v>
      </c>
      <c r="I10" s="1382" t="s">
        <v>2068</v>
      </c>
      <c r="J10" s="1384" t="s">
        <v>1293</v>
      </c>
      <c r="K10" s="322"/>
      <c r="L10" s="1375"/>
    </row>
    <row r="11" spans="1:13" ht="13.5" customHeight="1" x14ac:dyDescent="0.2">
      <c r="B11" s="322"/>
      <c r="C11" s="322"/>
      <c r="D11" s="322"/>
      <c r="E11" s="322"/>
      <c r="F11" s="322"/>
      <c r="G11" s="1377"/>
      <c r="H11" s="322"/>
      <c r="I11" s="1385" t="s">
        <v>1292</v>
      </c>
      <c r="J11" s="322"/>
      <c r="K11" s="1386">
        <v>2011</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54.75" customHeight="1" x14ac:dyDescent="0.2">
      <c r="B14" s="2603" t="s">
        <v>2246</v>
      </c>
      <c r="C14" s="2603"/>
      <c r="D14" s="2603"/>
      <c r="E14" s="2603"/>
      <c r="F14" s="2603"/>
      <c r="G14" s="2603"/>
      <c r="H14" s="2603"/>
      <c r="I14" s="2603"/>
      <c r="J14" s="2603"/>
      <c r="K14" s="260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57" customHeight="1" x14ac:dyDescent="0.2">
      <c r="B17" s="2603" t="s">
        <v>2268</v>
      </c>
      <c r="C17" s="2603"/>
      <c r="D17" s="2603"/>
      <c r="E17" s="2603"/>
      <c r="F17" s="2603"/>
      <c r="G17" s="2603"/>
      <c r="H17" s="2603"/>
      <c r="I17" s="2603"/>
      <c r="J17" s="2603"/>
      <c r="K17" s="2603"/>
      <c r="L17" s="1375"/>
    </row>
    <row r="18" spans="2:12" ht="4.5" customHeight="1" x14ac:dyDescent="0.2">
      <c r="B18" s="1392"/>
      <c r="C18" s="1392"/>
      <c r="L18" s="1375"/>
    </row>
    <row r="19" spans="2:12" s="1276" customFormat="1" ht="13.5" customHeight="1" x14ac:dyDescent="0.2">
      <c r="B19" s="1387" t="s">
        <v>1741</v>
      </c>
      <c r="C19" s="1387"/>
      <c r="D19" s="1388"/>
      <c r="E19" s="1388"/>
      <c r="F19" s="1388"/>
      <c r="G19" s="1389"/>
      <c r="H19" s="1388"/>
      <c r="I19" s="1389"/>
      <c r="J19" s="1388"/>
      <c r="K19" s="1388"/>
      <c r="L19" s="1390"/>
    </row>
    <row r="20" spans="2:12" ht="26.25" customHeight="1" x14ac:dyDescent="0.2">
      <c r="B20" s="2608" t="s">
        <v>2269</v>
      </c>
      <c r="C20" s="2608"/>
      <c r="D20" s="2603"/>
      <c r="E20" s="2603"/>
      <c r="F20" s="2603"/>
      <c r="G20" s="2603"/>
      <c r="H20" s="2603"/>
      <c r="I20" s="2603"/>
      <c r="J20" s="2603"/>
      <c r="K20" s="260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36.75" customHeight="1" x14ac:dyDescent="0.2">
      <c r="B23" s="2603" t="s">
        <v>2245</v>
      </c>
      <c r="C23" s="2603"/>
      <c r="D23" s="2603"/>
      <c r="E23" s="2603"/>
      <c r="F23" s="2603"/>
      <c r="G23" s="2603"/>
      <c r="H23" s="2603"/>
      <c r="I23" s="2603"/>
      <c r="J23" s="2603"/>
      <c r="K23" s="260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27.75" customHeight="1" x14ac:dyDescent="0.2">
      <c r="B26" s="2603" t="s">
        <v>2270</v>
      </c>
      <c r="C26" s="2603"/>
      <c r="D26" s="2603"/>
      <c r="E26" s="2603"/>
      <c r="F26" s="2603"/>
      <c r="G26" s="2603"/>
      <c r="H26" s="2603"/>
      <c r="I26" s="2603"/>
      <c r="J26" s="2603"/>
      <c r="K26" s="260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0.5" customHeight="1" x14ac:dyDescent="0.2">
      <c r="B29" s="2604" t="s">
        <v>2271</v>
      </c>
      <c r="C29" s="2604"/>
      <c r="D29" s="2603"/>
      <c r="E29" s="2603"/>
      <c r="F29" s="2603"/>
      <c r="G29" s="2603"/>
      <c r="H29" s="2603"/>
      <c r="I29" s="2603"/>
      <c r="J29" s="2603"/>
      <c r="K29" s="260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1742</v>
      </c>
      <c r="C31" s="1397"/>
      <c r="D31" s="1372"/>
      <c r="E31" s="1373"/>
      <c r="F31" s="1373"/>
      <c r="G31" s="1374"/>
      <c r="H31" s="1373"/>
      <c r="I31" s="1374"/>
      <c r="J31" s="1373"/>
      <c r="K31" s="1373"/>
      <c r="L31" s="1375"/>
    </row>
    <row r="32" spans="2:12" s="322" customFormat="1" ht="52.5" customHeight="1" x14ac:dyDescent="0.2">
      <c r="B32" s="2604" t="s">
        <v>2272</v>
      </c>
      <c r="C32" s="2604"/>
      <c r="D32" s="2603"/>
      <c r="E32" s="2603"/>
      <c r="F32" s="2603"/>
      <c r="G32" s="2603"/>
      <c r="H32" s="2603"/>
      <c r="I32" s="2603"/>
      <c r="J32" s="2603"/>
      <c r="K32" s="2603"/>
      <c r="L32" s="1375"/>
    </row>
    <row r="33" spans="1:13" s="322" customFormat="1" ht="4.5" customHeight="1" x14ac:dyDescent="0.2">
      <c r="B33" s="1396"/>
      <c r="C33" s="1396"/>
      <c r="G33" s="1377"/>
      <c r="I33" s="1377"/>
      <c r="L33" s="1375"/>
    </row>
    <row r="34" spans="1:13" s="322" customFormat="1" ht="3.75" customHeight="1" x14ac:dyDescent="0.2">
      <c r="A34" s="1291"/>
      <c r="B34" s="1398"/>
      <c r="C34" s="1398"/>
      <c r="D34" s="1398"/>
      <c r="E34" s="1398"/>
      <c r="F34" s="1398"/>
      <c r="G34" s="1399"/>
      <c r="H34" s="1398"/>
      <c r="I34" s="1399"/>
      <c r="J34" s="1398"/>
      <c r="K34" s="1398"/>
      <c r="L34" s="1375"/>
    </row>
    <row r="35" spans="1:13" ht="11.85" customHeight="1" x14ac:dyDescent="0.2">
      <c r="B35" s="1400" t="s">
        <v>1743</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1744</v>
      </c>
      <c r="C38" s="1401"/>
    </row>
    <row r="39" spans="1:13" ht="9.6" customHeight="1" x14ac:dyDescent="0.2">
      <c r="B39" s="1294" t="s">
        <v>1286</v>
      </c>
      <c r="C39" s="1294"/>
      <c r="M39" s="1402"/>
    </row>
    <row r="40" spans="1:13" ht="12.6" customHeight="1" x14ac:dyDescent="0.2">
      <c r="B40" s="1401" t="s">
        <v>1745</v>
      </c>
      <c r="C40" s="1401"/>
      <c r="M40" s="1402"/>
    </row>
    <row r="41" spans="1:13" ht="9.6" customHeight="1" x14ac:dyDescent="0.2">
      <c r="B41" s="1294"/>
      <c r="C41" s="1294"/>
      <c r="M41" s="1402"/>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2" t="str">
        <f>'Single Audit Cover'!A7</f>
        <v>Mercer County School District 404</v>
      </c>
      <c r="C1" s="2582"/>
      <c r="D1" s="2582"/>
      <c r="E1" s="2582"/>
      <c r="F1" s="2582"/>
      <c r="G1" s="2582"/>
      <c r="H1" s="2582"/>
      <c r="I1" s="2582"/>
      <c r="J1" s="2582"/>
      <c r="K1" s="2582"/>
      <c r="L1" s="1368"/>
      <c r="M1" s="1368"/>
    </row>
    <row r="2" spans="1:13" ht="12" customHeight="1" x14ac:dyDescent="0.2">
      <c r="B2" s="2584">
        <f>'Single Audit Cover'!E7</f>
        <v>33066404026</v>
      </c>
      <c r="C2" s="2584"/>
      <c r="D2" s="2584"/>
      <c r="E2" s="2584"/>
      <c r="F2" s="2584"/>
      <c r="G2" s="2584"/>
      <c r="H2" s="2584"/>
      <c r="I2" s="2584"/>
      <c r="J2" s="2584"/>
      <c r="K2" s="2584"/>
      <c r="L2" s="1369"/>
      <c r="M2" s="1370"/>
    </row>
    <row r="3" spans="1:13" ht="10.35" customHeight="1" x14ac:dyDescent="0.2">
      <c r="B3" s="2605" t="s">
        <v>1285</v>
      </c>
      <c r="C3" s="2605"/>
      <c r="D3" s="2605"/>
      <c r="E3" s="2605"/>
      <c r="F3" s="2605"/>
      <c r="G3" s="2605"/>
      <c r="H3" s="2605"/>
      <c r="I3" s="2605"/>
      <c r="J3" s="2605"/>
      <c r="K3" s="2605"/>
      <c r="L3" s="1371"/>
      <c r="M3" s="1371"/>
    </row>
    <row r="4" spans="1:13" ht="14.25" customHeight="1" x14ac:dyDescent="0.2">
      <c r="B4" s="2606" t="str">
        <f>'Single Audit Cover'!A4</f>
        <v>Year Ending June 30, 2019</v>
      </c>
      <c r="C4" s="2606"/>
      <c r="D4" s="2606"/>
      <c r="E4" s="2606"/>
      <c r="F4" s="2606"/>
      <c r="G4" s="2606"/>
      <c r="H4" s="2606"/>
      <c r="I4" s="2606"/>
      <c r="J4" s="2606"/>
      <c r="K4" s="260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06" t="s">
        <v>1296</v>
      </c>
      <c r="C7" s="2606"/>
      <c r="D7" s="2607"/>
      <c r="E7" s="2607"/>
      <c r="F7" s="2607"/>
      <c r="G7" s="2607"/>
      <c r="H7" s="2607"/>
      <c r="I7" s="2607"/>
      <c r="J7" s="2607"/>
      <c r="K7" s="260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1740</v>
      </c>
      <c r="C10" s="1379" t="s">
        <v>1989</v>
      </c>
      <c r="D10" s="1380"/>
      <c r="E10" s="322"/>
      <c r="F10" s="1381" t="s">
        <v>1295</v>
      </c>
      <c r="G10" s="1382"/>
      <c r="H10" s="1383" t="s">
        <v>1294</v>
      </c>
      <c r="I10" s="1382" t="s">
        <v>2068</v>
      </c>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03"/>
      <c r="C14" s="2603"/>
      <c r="D14" s="2603"/>
      <c r="E14" s="2603"/>
      <c r="F14" s="2603"/>
      <c r="G14" s="2603"/>
      <c r="H14" s="2603"/>
      <c r="I14" s="2603"/>
      <c r="J14" s="2603"/>
      <c r="K14" s="260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03"/>
      <c r="C17" s="2603"/>
      <c r="D17" s="2603"/>
      <c r="E17" s="2603"/>
      <c r="F17" s="2603"/>
      <c r="G17" s="2603"/>
      <c r="H17" s="2603"/>
      <c r="I17" s="2603"/>
      <c r="J17" s="2603"/>
      <c r="K17" s="2603"/>
      <c r="L17" s="1375"/>
    </row>
    <row r="18" spans="2:12" ht="4.5" customHeight="1" x14ac:dyDescent="0.2">
      <c r="B18" s="1392"/>
      <c r="C18" s="1392"/>
      <c r="L18" s="1375"/>
    </row>
    <row r="19" spans="2:12" s="1276" customFormat="1" ht="13.5" customHeight="1" x14ac:dyDescent="0.2">
      <c r="B19" s="1387" t="s">
        <v>1741</v>
      </c>
      <c r="C19" s="1387"/>
      <c r="D19" s="1388"/>
      <c r="E19" s="1388"/>
      <c r="F19" s="1388"/>
      <c r="G19" s="1389"/>
      <c r="H19" s="1388"/>
      <c r="I19" s="1389"/>
      <c r="J19" s="1388"/>
      <c r="K19" s="1388"/>
      <c r="L19" s="1390"/>
    </row>
    <row r="20" spans="2:12" ht="45.75" customHeight="1" x14ac:dyDescent="0.2">
      <c r="B20" s="2608"/>
      <c r="C20" s="2608"/>
      <c r="D20" s="2603"/>
      <c r="E20" s="2603"/>
      <c r="F20" s="2603"/>
      <c r="G20" s="2603"/>
      <c r="H20" s="2603"/>
      <c r="I20" s="2603"/>
      <c r="J20" s="2603"/>
      <c r="K20" s="260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03"/>
      <c r="C23" s="2603"/>
      <c r="D23" s="2603"/>
      <c r="E23" s="2603"/>
      <c r="F23" s="2603"/>
      <c r="G23" s="2603"/>
      <c r="H23" s="2603"/>
      <c r="I23" s="2603"/>
      <c r="J23" s="2603"/>
      <c r="K23" s="260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03"/>
      <c r="C26" s="2603"/>
      <c r="D26" s="2603"/>
      <c r="E26" s="2603"/>
      <c r="F26" s="2603"/>
      <c r="G26" s="2603"/>
      <c r="H26" s="2603"/>
      <c r="I26" s="2603"/>
      <c r="J26" s="2603"/>
      <c r="K26" s="260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04"/>
      <c r="C29" s="2604"/>
      <c r="D29" s="2603"/>
      <c r="E29" s="2603"/>
      <c r="F29" s="2603"/>
      <c r="G29" s="2603"/>
      <c r="H29" s="2603"/>
      <c r="I29" s="2603"/>
      <c r="J29" s="2603"/>
      <c r="K29" s="260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1742</v>
      </c>
      <c r="C31" s="1397"/>
      <c r="D31" s="1372"/>
      <c r="E31" s="1373"/>
      <c r="F31" s="1373"/>
      <c r="G31" s="1374"/>
      <c r="H31" s="1373"/>
      <c r="I31" s="1374"/>
      <c r="J31" s="1373"/>
      <c r="K31" s="1373"/>
      <c r="L31" s="1375"/>
    </row>
    <row r="32" spans="2:12" s="322" customFormat="1" ht="44.25" customHeight="1" x14ac:dyDescent="0.2">
      <c r="B32" s="2604"/>
      <c r="C32" s="2604"/>
      <c r="D32" s="2603"/>
      <c r="E32" s="2603"/>
      <c r="F32" s="2603"/>
      <c r="G32" s="2603"/>
      <c r="H32" s="2603"/>
      <c r="I32" s="2603"/>
      <c r="J32" s="2603"/>
      <c r="K32" s="260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1743</v>
      </c>
      <c r="C35" s="1400"/>
      <c r="D35" s="322"/>
      <c r="E35" s="322"/>
      <c r="F35" s="322"/>
      <c r="L35" s="1375"/>
    </row>
    <row r="36" spans="1:13" ht="9.6" customHeight="1" x14ac:dyDescent="0.2">
      <c r="B36" s="1294" t="s">
        <v>1840</v>
      </c>
      <c r="C36" s="1294"/>
      <c r="L36" s="1375"/>
    </row>
    <row r="37" spans="1:13" ht="9.6" customHeight="1" x14ac:dyDescent="0.2">
      <c r="B37" s="1294" t="s">
        <v>1841</v>
      </c>
      <c r="C37" s="1294"/>
    </row>
    <row r="38" spans="1:13" ht="11.85" customHeight="1" x14ac:dyDescent="0.2">
      <c r="B38" s="1401" t="s">
        <v>1744</v>
      </c>
      <c r="C38" s="1401"/>
    </row>
    <row r="39" spans="1:13" ht="9.6" customHeight="1" x14ac:dyDescent="0.2">
      <c r="B39" s="1294" t="s">
        <v>1286</v>
      </c>
      <c r="C39" s="1294"/>
      <c r="M39" s="1402"/>
    </row>
    <row r="40" spans="1:13" ht="12.6" customHeight="1" x14ac:dyDescent="0.2">
      <c r="B40" s="1401" t="s">
        <v>1745</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9" t="str">
        <f>'Single Audit Cover'!A7</f>
        <v>Mercer County School District 404</v>
      </c>
      <c r="C1" s="2609"/>
      <c r="D1" s="2609"/>
      <c r="E1" s="2609"/>
      <c r="F1" s="2609"/>
      <c r="G1" s="2609"/>
      <c r="H1" s="2609"/>
      <c r="I1" s="2609"/>
      <c r="J1" s="2609"/>
      <c r="K1" s="2609"/>
      <c r="L1" s="1446"/>
    </row>
    <row r="2" spans="1:12" ht="12.75" customHeight="1" x14ac:dyDescent="0.2">
      <c r="B2" s="2610">
        <f>'Single Audit Cover'!E7</f>
        <v>33066404026</v>
      </c>
      <c r="C2" s="2610"/>
      <c r="D2" s="2610"/>
      <c r="E2" s="2610"/>
      <c r="F2" s="2610"/>
      <c r="G2" s="2610"/>
      <c r="H2" s="2610"/>
      <c r="I2" s="2610"/>
      <c r="J2" s="2610"/>
      <c r="K2" s="2610"/>
      <c r="L2" s="1447"/>
    </row>
    <row r="3" spans="1:12" ht="12.75" customHeight="1" x14ac:dyDescent="0.2">
      <c r="B3" s="2605" t="s">
        <v>1285</v>
      </c>
      <c r="C3" s="2605"/>
      <c r="D3" s="2605"/>
      <c r="E3" s="2605"/>
      <c r="F3" s="2605"/>
      <c r="G3" s="2605"/>
      <c r="H3" s="2605"/>
      <c r="I3" s="2605"/>
      <c r="J3" s="2605"/>
      <c r="K3" s="2605"/>
      <c r="L3" s="1371"/>
    </row>
    <row r="4" spans="1:12" ht="12.75" customHeight="1" x14ac:dyDescent="0.2">
      <c r="B4" s="2605" t="str">
        <f>'Single Audit Cover'!A4</f>
        <v>Year Ending June 30, 2019</v>
      </c>
      <c r="C4" s="2605"/>
      <c r="D4" s="2605"/>
      <c r="E4" s="2605"/>
      <c r="F4" s="2605"/>
      <c r="G4" s="2605"/>
      <c r="H4" s="2605"/>
      <c r="I4" s="2605"/>
      <c r="J4" s="2605"/>
      <c r="K4" s="2605"/>
      <c r="L4" s="1371"/>
    </row>
    <row r="5" spans="1:12" ht="5.25" customHeight="1" x14ac:dyDescent="0.2">
      <c r="B5" s="1254" t="s">
        <v>1169</v>
      </c>
      <c r="C5" s="1254"/>
      <c r="L5" s="322"/>
    </row>
    <row r="6" spans="1:12" ht="30.75" customHeight="1" x14ac:dyDescent="0.2">
      <c r="A6" s="322"/>
      <c r="B6" s="2611" t="s">
        <v>1308</v>
      </c>
      <c r="C6" s="2611"/>
      <c r="D6" s="2611"/>
      <c r="E6" s="2611"/>
      <c r="F6" s="2611"/>
      <c r="G6" s="2611"/>
      <c r="H6" s="2611"/>
      <c r="I6" s="2611"/>
      <c r="J6" s="2611"/>
      <c r="K6" s="2611"/>
      <c r="L6" s="322"/>
    </row>
    <row r="7" spans="1:12" ht="4.5" customHeight="1" x14ac:dyDescent="0.2">
      <c r="B7" s="1373"/>
      <c r="C7" s="1373"/>
      <c r="D7" s="1373"/>
      <c r="E7" s="1373"/>
      <c r="F7" s="1373"/>
      <c r="G7" s="1374"/>
      <c r="H7" s="1373"/>
      <c r="I7" s="1374"/>
      <c r="J7" s="1373"/>
      <c r="K7" s="1373"/>
      <c r="L7" s="322"/>
    </row>
    <row r="8" spans="1:12" ht="13.5" customHeight="1" x14ac:dyDescent="0.2">
      <c r="B8" s="1381" t="s">
        <v>1754</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89"/>
      <c r="G12" s="2589"/>
      <c r="H12" s="2589"/>
      <c r="I12" s="2589"/>
      <c r="J12" s="2589"/>
      <c r="K12" s="258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12"/>
      <c r="E14" s="2612"/>
      <c r="F14" s="2612"/>
      <c r="H14" s="1456" t="s">
        <v>1303</v>
      </c>
      <c r="I14" s="2613"/>
      <c r="J14" s="2613"/>
      <c r="K14" s="261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13"/>
      <c r="E16" s="2613"/>
      <c r="F16" s="2613"/>
      <c r="G16" s="2613"/>
      <c r="H16" s="2613"/>
      <c r="I16" s="2613"/>
      <c r="J16" s="2613"/>
      <c r="K16" s="2613"/>
      <c r="L16" s="322"/>
    </row>
    <row r="17" spans="2:12" ht="13.5" customHeight="1" x14ac:dyDescent="0.2">
      <c r="B17" s="1381" t="s">
        <v>1301</v>
      </c>
      <c r="C17" s="1381"/>
      <c r="D17" s="2614"/>
      <c r="E17" s="2614"/>
      <c r="F17" s="2614"/>
      <c r="G17" s="2614"/>
      <c r="H17" s="2614"/>
      <c r="I17" s="2614"/>
      <c r="J17" s="2614"/>
      <c r="K17" s="261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603"/>
      <c r="C20" s="2603"/>
      <c r="D20" s="2603"/>
      <c r="E20" s="2603"/>
      <c r="F20" s="2603"/>
      <c r="G20" s="2603"/>
      <c r="H20" s="2603"/>
      <c r="I20" s="2603"/>
      <c r="J20" s="2603"/>
      <c r="K20" s="260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1755</v>
      </c>
      <c r="C22" s="1458"/>
      <c r="D22" s="322"/>
      <c r="E22" s="322"/>
      <c r="F22" s="322"/>
      <c r="G22" s="1377"/>
      <c r="H22" s="322"/>
      <c r="I22" s="1377"/>
      <c r="J22" s="322"/>
      <c r="K22" s="322"/>
      <c r="L22" s="322"/>
    </row>
    <row r="23" spans="2:12" ht="37.5" customHeight="1" x14ac:dyDescent="0.2">
      <c r="B23" s="2603"/>
      <c r="C23" s="2603"/>
      <c r="D23" s="2603"/>
      <c r="E23" s="2603"/>
      <c r="F23" s="2603"/>
      <c r="G23" s="2603"/>
      <c r="H23" s="2603"/>
      <c r="I23" s="2603"/>
      <c r="J23" s="2603"/>
      <c r="K23" s="260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1756</v>
      </c>
      <c r="C25" s="1458"/>
      <c r="D25" s="322"/>
      <c r="E25" s="322"/>
      <c r="F25" s="322"/>
      <c r="G25" s="1377"/>
      <c r="H25" s="322"/>
      <c r="I25" s="1377"/>
      <c r="J25" s="322"/>
      <c r="K25" s="322"/>
      <c r="L25" s="322"/>
    </row>
    <row r="26" spans="2:12" ht="37.5" customHeight="1" x14ac:dyDescent="0.2">
      <c r="B26" s="2603" t="s">
        <v>2261</v>
      </c>
      <c r="C26" s="2603"/>
      <c r="D26" s="2603"/>
      <c r="E26" s="2603"/>
      <c r="F26" s="2603"/>
      <c r="G26" s="2603"/>
      <c r="H26" s="2603"/>
      <c r="I26" s="2603"/>
      <c r="J26" s="2603"/>
      <c r="K26" s="260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1757</v>
      </c>
      <c r="C28" s="1458"/>
      <c r="D28" s="322"/>
      <c r="E28" s="322"/>
      <c r="F28" s="322"/>
      <c r="G28" s="1377"/>
      <c r="H28" s="322"/>
      <c r="I28" s="1377"/>
      <c r="J28" s="322"/>
      <c r="K28" s="322"/>
      <c r="L28" s="322"/>
    </row>
    <row r="29" spans="2:12" ht="37.5" customHeight="1" x14ac:dyDescent="0.2">
      <c r="B29" s="2603"/>
      <c r="C29" s="2603"/>
      <c r="D29" s="2603"/>
      <c r="E29" s="2603"/>
      <c r="F29" s="2603"/>
      <c r="G29" s="2603"/>
      <c r="H29" s="2603"/>
      <c r="I29" s="2603"/>
      <c r="J29" s="2603"/>
      <c r="K29" s="260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03"/>
      <c r="C32" s="2603"/>
      <c r="D32" s="2603"/>
      <c r="E32" s="2603"/>
      <c r="F32" s="2603"/>
      <c r="G32" s="2603"/>
      <c r="H32" s="2603"/>
      <c r="I32" s="2603"/>
      <c r="J32" s="2603"/>
      <c r="K32" s="260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03"/>
      <c r="C35" s="2603"/>
      <c r="D35" s="2603"/>
      <c r="E35" s="2603"/>
      <c r="F35" s="2603"/>
      <c r="G35" s="2603"/>
      <c r="H35" s="2603"/>
      <c r="I35" s="2603"/>
      <c r="J35" s="2603"/>
      <c r="K35" s="260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03"/>
      <c r="C38" s="2603"/>
      <c r="D38" s="2603"/>
      <c r="E38" s="2603"/>
      <c r="F38" s="2603"/>
      <c r="G38" s="2603"/>
      <c r="H38" s="2603"/>
      <c r="I38" s="2603"/>
      <c r="J38" s="2603"/>
      <c r="K38" s="260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1758</v>
      </c>
      <c r="C40" s="1397"/>
      <c r="D40" s="1372"/>
      <c r="E40" s="1373"/>
      <c r="F40" s="1373"/>
      <c r="G40" s="1374"/>
      <c r="H40" s="1373"/>
      <c r="I40" s="1374"/>
      <c r="J40" s="1373"/>
      <c r="K40" s="1373"/>
    </row>
    <row r="41" spans="2:12" s="322" customFormat="1" ht="33.75" customHeight="1" x14ac:dyDescent="0.2">
      <c r="B41" s="2603"/>
      <c r="C41" s="2603"/>
      <c r="D41" s="2603"/>
      <c r="E41" s="2603"/>
      <c r="F41" s="2603"/>
      <c r="G41" s="2603"/>
      <c r="H41" s="2603"/>
      <c r="I41" s="2603"/>
      <c r="J41" s="2603"/>
      <c r="K41" s="260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1759</v>
      </c>
      <c r="C44" s="1400"/>
      <c r="D44" s="322"/>
      <c r="E44" s="322"/>
      <c r="F44" s="322"/>
    </row>
    <row r="45" spans="2:12" ht="10.5" customHeight="1" x14ac:dyDescent="0.2">
      <c r="B45" s="1401" t="s">
        <v>1760</v>
      </c>
      <c r="C45" s="1401"/>
      <c r="G45" s="317"/>
      <c r="I45" s="317"/>
    </row>
    <row r="46" spans="2:12" ht="11.1" customHeight="1" x14ac:dyDescent="0.2">
      <c r="B46" s="1401" t="s">
        <v>1761</v>
      </c>
      <c r="C46" s="1401"/>
      <c r="G46" s="317"/>
      <c r="I46" s="317"/>
    </row>
    <row r="47" spans="2:12" ht="11.1" customHeight="1" x14ac:dyDescent="0.2">
      <c r="B47" s="1401" t="s">
        <v>1762</v>
      </c>
      <c r="C47" s="1401"/>
      <c r="G47" s="317"/>
      <c r="I47" s="317"/>
    </row>
    <row r="48" spans="2:12" ht="11.1" customHeight="1" x14ac:dyDescent="0.2">
      <c r="B48" s="1401" t="s">
        <v>1763</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9" t="s">
        <v>2073</v>
      </c>
      <c r="C1" s="2609"/>
      <c r="D1" s="2609"/>
      <c r="E1" s="2609"/>
      <c r="F1" s="2609"/>
      <c r="G1" s="2609"/>
      <c r="H1" s="2609"/>
      <c r="I1" s="2609"/>
      <c r="J1" s="2609"/>
      <c r="K1" s="2609"/>
      <c r="L1" s="1446"/>
    </row>
    <row r="2" spans="1:12" ht="12.75" customHeight="1" x14ac:dyDescent="0.2">
      <c r="B2" s="2610" t="s">
        <v>2071</v>
      </c>
      <c r="C2" s="2610"/>
      <c r="D2" s="2610"/>
      <c r="E2" s="2610"/>
      <c r="F2" s="2610"/>
      <c r="G2" s="2610"/>
      <c r="H2" s="2610"/>
      <c r="I2" s="2610"/>
      <c r="J2" s="2610"/>
      <c r="K2" s="2610"/>
      <c r="L2" s="1447"/>
    </row>
    <row r="3" spans="1:12" ht="12.75" customHeight="1" x14ac:dyDescent="0.2">
      <c r="B3" s="2605" t="s">
        <v>1285</v>
      </c>
      <c r="C3" s="2605"/>
      <c r="D3" s="2605"/>
      <c r="E3" s="2605"/>
      <c r="F3" s="2605"/>
      <c r="G3" s="2605"/>
      <c r="H3" s="2605"/>
      <c r="I3" s="2605"/>
      <c r="J3" s="2605"/>
      <c r="K3" s="2605"/>
      <c r="L3" s="2024"/>
    </row>
    <row r="4" spans="1:12" ht="12.75" customHeight="1" x14ac:dyDescent="0.2">
      <c r="B4" s="2605" t="s">
        <v>2321</v>
      </c>
      <c r="C4" s="2605"/>
      <c r="D4" s="2605"/>
      <c r="E4" s="2605"/>
      <c r="F4" s="2605"/>
      <c r="G4" s="2605"/>
      <c r="H4" s="2605"/>
      <c r="I4" s="2605"/>
      <c r="J4" s="2605"/>
      <c r="K4" s="2605"/>
      <c r="L4" s="2024"/>
    </row>
    <row r="5" spans="1:12" ht="5.25" customHeight="1" x14ac:dyDescent="0.2">
      <c r="B5" s="1254" t="s">
        <v>1169</v>
      </c>
      <c r="C5" s="1254"/>
      <c r="L5" s="322"/>
    </row>
    <row r="6" spans="1:12" ht="30.75" customHeight="1" x14ac:dyDescent="0.2">
      <c r="A6" s="322"/>
      <c r="B6" s="2611" t="s">
        <v>1308</v>
      </c>
      <c r="C6" s="2611"/>
      <c r="D6" s="2611"/>
      <c r="E6" s="2611"/>
      <c r="F6" s="2611"/>
      <c r="G6" s="2611"/>
      <c r="H6" s="2611"/>
      <c r="I6" s="2611"/>
      <c r="J6" s="2611"/>
      <c r="K6" s="2611"/>
      <c r="L6" s="322"/>
    </row>
    <row r="7" spans="1:12" ht="4.5" customHeight="1" x14ac:dyDescent="0.2">
      <c r="B7" s="1373"/>
      <c r="C7" s="1373"/>
      <c r="D7" s="1373"/>
      <c r="E7" s="1373"/>
      <c r="F7" s="1373"/>
      <c r="G7" s="1374"/>
      <c r="H7" s="1373"/>
      <c r="I7" s="1374"/>
      <c r="J7" s="1373"/>
      <c r="K7" s="1373"/>
      <c r="L7" s="322"/>
    </row>
    <row r="8" spans="1:12" ht="13.5" customHeight="1" x14ac:dyDescent="0.2">
      <c r="B8" s="1381" t="s">
        <v>1754</v>
      </c>
      <c r="C8" s="1448">
        <v>2019</v>
      </c>
      <c r="D8" s="1449">
        <v>2</v>
      </c>
      <c r="E8" s="322"/>
      <c r="F8" s="1378" t="s">
        <v>1295</v>
      </c>
      <c r="G8" s="1450" t="s">
        <v>2068</v>
      </c>
      <c r="H8" s="1451"/>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89" t="s">
        <v>2258</v>
      </c>
      <c r="G12" s="2589"/>
      <c r="H12" s="2589"/>
      <c r="I12" s="2589"/>
      <c r="J12" s="2589"/>
      <c r="K12" s="258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12" t="s">
        <v>2138</v>
      </c>
      <c r="E14" s="2612"/>
      <c r="F14" s="2612"/>
      <c r="H14" s="1456" t="s">
        <v>1303</v>
      </c>
      <c r="I14" s="2613">
        <v>84.027000000000001</v>
      </c>
      <c r="J14" s="2613"/>
      <c r="K14" s="261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13" t="s">
        <v>2259</v>
      </c>
      <c r="E16" s="2613"/>
      <c r="F16" s="2613"/>
      <c r="G16" s="2613"/>
      <c r="H16" s="2613"/>
      <c r="I16" s="2613"/>
      <c r="J16" s="2613"/>
      <c r="K16" s="2613"/>
      <c r="L16" s="322"/>
    </row>
    <row r="17" spans="2:12" ht="13.5" customHeight="1" x14ac:dyDescent="0.2">
      <c r="B17" s="1381" t="s">
        <v>1301</v>
      </c>
      <c r="C17" s="1381"/>
      <c r="D17" s="2614" t="s">
        <v>2260</v>
      </c>
      <c r="E17" s="2614"/>
      <c r="F17" s="2614"/>
      <c r="G17" s="2614"/>
      <c r="H17" s="2614"/>
      <c r="I17" s="2614"/>
      <c r="J17" s="2614"/>
      <c r="K17" s="261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54.75" customHeight="1" x14ac:dyDescent="0.2">
      <c r="B20" s="2603" t="s">
        <v>2273</v>
      </c>
      <c r="C20" s="2603"/>
      <c r="D20" s="2603"/>
      <c r="E20" s="2603"/>
      <c r="F20" s="2603"/>
      <c r="G20" s="2603"/>
      <c r="H20" s="2603"/>
      <c r="I20" s="2603"/>
      <c r="J20" s="2603"/>
      <c r="K20" s="260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1755</v>
      </c>
      <c r="C22" s="1458"/>
      <c r="D22" s="322"/>
      <c r="E22" s="322"/>
      <c r="F22" s="322"/>
      <c r="G22" s="1377"/>
      <c r="H22" s="322"/>
      <c r="I22" s="1377"/>
      <c r="J22" s="322"/>
      <c r="K22" s="322"/>
      <c r="L22" s="322"/>
    </row>
    <row r="23" spans="2:12" ht="57" customHeight="1" x14ac:dyDescent="0.2">
      <c r="B23" s="2603" t="s">
        <v>2274</v>
      </c>
      <c r="C23" s="2603"/>
      <c r="D23" s="2603"/>
      <c r="E23" s="2603"/>
      <c r="F23" s="2603"/>
      <c r="G23" s="2603"/>
      <c r="H23" s="2603"/>
      <c r="I23" s="2603"/>
      <c r="J23" s="2603"/>
      <c r="K23" s="260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1756</v>
      </c>
      <c r="C25" s="1458"/>
      <c r="D25" s="322"/>
      <c r="E25" s="322"/>
      <c r="F25" s="322"/>
      <c r="G25" s="1377"/>
      <c r="H25" s="322"/>
      <c r="I25" s="1377"/>
      <c r="J25" s="322"/>
      <c r="K25" s="322"/>
      <c r="L25" s="322"/>
    </row>
    <row r="26" spans="2:12" ht="37.5" customHeight="1" x14ac:dyDescent="0.2">
      <c r="B26" s="2603" t="s">
        <v>2267</v>
      </c>
      <c r="C26" s="2603"/>
      <c r="D26" s="2603"/>
      <c r="E26" s="2603"/>
      <c r="F26" s="2603"/>
      <c r="G26" s="2603"/>
      <c r="H26" s="2603"/>
      <c r="I26" s="2603"/>
      <c r="J26" s="2603"/>
      <c r="K26" s="260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1757</v>
      </c>
      <c r="C28" s="1458"/>
      <c r="D28" s="322"/>
      <c r="E28" s="322"/>
      <c r="F28" s="322"/>
      <c r="G28" s="1377"/>
      <c r="H28" s="322"/>
      <c r="I28" s="1377"/>
      <c r="J28" s="322"/>
      <c r="K28" s="322"/>
      <c r="L28" s="322"/>
    </row>
    <row r="29" spans="2:12" ht="37.5" customHeight="1" x14ac:dyDescent="0.2">
      <c r="B29" s="2603" t="s">
        <v>2275</v>
      </c>
      <c r="C29" s="2603"/>
      <c r="D29" s="2603"/>
      <c r="E29" s="2603"/>
      <c r="F29" s="2603"/>
      <c r="G29" s="2603"/>
      <c r="H29" s="2603"/>
      <c r="I29" s="2603"/>
      <c r="J29" s="2603"/>
      <c r="K29" s="260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03" t="s">
        <v>2276</v>
      </c>
      <c r="C32" s="2603"/>
      <c r="D32" s="2603"/>
      <c r="E32" s="2603"/>
      <c r="F32" s="2603"/>
      <c r="G32" s="2603"/>
      <c r="H32" s="2603"/>
      <c r="I32" s="2603"/>
      <c r="J32" s="2603"/>
      <c r="K32" s="260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03" t="s">
        <v>2277</v>
      </c>
      <c r="C35" s="2603"/>
      <c r="D35" s="2603"/>
      <c r="E35" s="2603"/>
      <c r="F35" s="2603"/>
      <c r="G35" s="2603"/>
      <c r="H35" s="2603"/>
      <c r="I35" s="2603"/>
      <c r="J35" s="2603"/>
      <c r="K35" s="260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03" t="s">
        <v>2278</v>
      </c>
      <c r="C38" s="2603"/>
      <c r="D38" s="2603"/>
      <c r="E38" s="2603"/>
      <c r="F38" s="2603"/>
      <c r="G38" s="2603"/>
      <c r="H38" s="2603"/>
      <c r="I38" s="2603"/>
      <c r="J38" s="2603"/>
      <c r="K38" s="260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1758</v>
      </c>
      <c r="C40" s="1397"/>
      <c r="D40" s="1372"/>
      <c r="E40" s="1373"/>
      <c r="F40" s="1373"/>
      <c r="G40" s="1374"/>
      <c r="H40" s="1373"/>
      <c r="I40" s="1374"/>
      <c r="J40" s="1373"/>
      <c r="K40" s="1373"/>
    </row>
    <row r="41" spans="2:12" s="322" customFormat="1" ht="33.75" customHeight="1" x14ac:dyDescent="0.2">
      <c r="B41" s="2603" t="s">
        <v>2279</v>
      </c>
      <c r="C41" s="2603"/>
      <c r="D41" s="2603"/>
      <c r="E41" s="2603"/>
      <c r="F41" s="2603"/>
      <c r="G41" s="2603"/>
      <c r="H41" s="2603"/>
      <c r="I41" s="2603"/>
      <c r="J41" s="2603"/>
      <c r="K41" s="2603"/>
    </row>
    <row r="42" spans="2:12" s="322" customFormat="1" ht="4.5" customHeight="1" x14ac:dyDescent="0.2">
      <c r="B42" s="1396"/>
      <c r="C42" s="1396"/>
      <c r="G42" s="1377"/>
      <c r="I42" s="1377"/>
    </row>
    <row r="43" spans="2:12" s="322" customFormat="1" ht="13.5" customHeight="1" x14ac:dyDescent="0.2">
      <c r="B43" s="2043" t="s">
        <v>2266</v>
      </c>
      <c r="C43" s="2042"/>
      <c r="D43" s="2040"/>
      <c r="E43" s="2040"/>
      <c r="F43" s="2040"/>
      <c r="G43" s="2041"/>
      <c r="H43" s="2040"/>
      <c r="I43" s="2041"/>
      <c r="J43" s="2040"/>
      <c r="K43" s="2039"/>
      <c r="L43" s="2025"/>
    </row>
    <row r="44" spans="2:12" s="322" customFormat="1" ht="13.5" customHeight="1" x14ac:dyDescent="0.2">
      <c r="B44" s="2036" t="s">
        <v>2265</v>
      </c>
      <c r="C44" s="2035"/>
      <c r="D44" s="2038"/>
      <c r="E44" s="2037"/>
      <c r="F44" s="2034" t="s">
        <v>2264</v>
      </c>
      <c r="G44" s="2032"/>
      <c r="H44" s="2033"/>
      <c r="I44" s="2032"/>
      <c r="J44" s="2031"/>
      <c r="K44" s="2030"/>
      <c r="L44" s="2025"/>
    </row>
    <row r="45" spans="2:12" s="322" customFormat="1" ht="13.5" customHeight="1" x14ac:dyDescent="0.2">
      <c r="B45" s="2036" t="s">
        <v>2263</v>
      </c>
      <c r="C45" s="2035"/>
      <c r="D45" s="2031"/>
      <c r="E45" s="2033"/>
      <c r="F45" s="2034" t="s">
        <v>2262</v>
      </c>
      <c r="G45" s="2032"/>
      <c r="H45" s="2033"/>
      <c r="I45" s="2032"/>
      <c r="J45" s="2031"/>
      <c r="K45" s="2030"/>
      <c r="L45" s="2025"/>
    </row>
    <row r="46" spans="2:12" s="322" customFormat="1" ht="13.5" customHeight="1" x14ac:dyDescent="0.2">
      <c r="B46" s="2029"/>
      <c r="C46" s="2027"/>
      <c r="D46" s="2027"/>
      <c r="E46" s="2027"/>
      <c r="F46" s="2027"/>
      <c r="G46" s="2028"/>
      <c r="H46" s="2027"/>
      <c r="I46" s="2028"/>
      <c r="J46" s="2027"/>
      <c r="K46" s="2026"/>
      <c r="L46" s="2025"/>
    </row>
    <row r="47" spans="2:12" ht="7.5" customHeight="1" x14ac:dyDescent="0.25">
      <c r="B47" s="1463"/>
      <c r="C47" s="1463"/>
      <c r="D47" s="1464"/>
      <c r="E47" s="1464"/>
      <c r="F47" s="1464"/>
      <c r="G47" s="1465"/>
      <c r="H47" s="1464"/>
      <c r="I47" s="1465"/>
      <c r="J47" s="1464"/>
      <c r="K47" s="1464"/>
    </row>
    <row r="48" spans="2:12" ht="13.5" customHeight="1" x14ac:dyDescent="0.2">
      <c r="B48" s="1400" t="s">
        <v>1759</v>
      </c>
      <c r="C48" s="1400"/>
      <c r="D48" s="322"/>
      <c r="E48" s="322"/>
      <c r="F48" s="322"/>
    </row>
    <row r="49" spans="2:3" s="317" customFormat="1" ht="10.5" customHeight="1" x14ac:dyDescent="0.2">
      <c r="B49" s="1401" t="s">
        <v>1760</v>
      </c>
      <c r="C49" s="1401"/>
    </row>
    <row r="50" spans="2:3" s="317" customFormat="1" ht="11.1" customHeight="1" x14ac:dyDescent="0.2">
      <c r="B50" s="1401" t="s">
        <v>1761</v>
      </c>
      <c r="C50" s="1401"/>
    </row>
    <row r="51" spans="2:3" s="317" customFormat="1" ht="11.1" customHeight="1" x14ac:dyDescent="0.2">
      <c r="B51" s="1401" t="s">
        <v>1762</v>
      </c>
      <c r="C51" s="1401"/>
    </row>
    <row r="52" spans="2:3" s="317" customFormat="1" ht="11.1" customHeight="1" x14ac:dyDescent="0.2">
      <c r="B52" s="1401" t="s">
        <v>1763</v>
      </c>
      <c r="C52" s="1401"/>
    </row>
  </sheetData>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82" t="str">
        <f>'Single Audit Cover'!A7</f>
        <v>Mercer County School District 404</v>
      </c>
      <c r="C1" s="2582"/>
      <c r="D1" s="2582"/>
      <c r="E1" s="1466"/>
    </row>
    <row r="2" spans="2:5" s="1276" customFormat="1" ht="12.75" customHeight="1" x14ac:dyDescent="0.2">
      <c r="B2" s="2584">
        <f>'Single Audit Cover'!E7</f>
        <v>33066404026</v>
      </c>
      <c r="C2" s="2584"/>
      <c r="D2" s="2584"/>
      <c r="E2" s="1467"/>
    </row>
    <row r="3" spans="2:5" ht="12.75" customHeight="1" x14ac:dyDescent="0.2">
      <c r="B3" s="2605" t="s">
        <v>1764</v>
      </c>
      <c r="C3" s="2605"/>
      <c r="D3" s="2605"/>
      <c r="E3" s="1268"/>
    </row>
    <row r="4" spans="2:5" s="1276" customFormat="1" ht="12.75" customHeight="1" x14ac:dyDescent="0.2">
      <c r="B4" s="2615" t="str">
        <f>'Single Audit Cover'!A4</f>
        <v>Year Ending June 30, 2019</v>
      </c>
      <c r="C4" s="2615"/>
      <c r="D4" s="2615"/>
      <c r="E4" s="1468"/>
    </row>
    <row r="5" spans="2:5" s="1276" customFormat="1" ht="40.15" customHeight="1" x14ac:dyDescent="0.2">
      <c r="B5" s="1469" t="s">
        <v>1765</v>
      </c>
      <c r="C5" s="328"/>
      <c r="D5" s="328"/>
      <c r="E5" s="328"/>
    </row>
    <row r="6" spans="2:5" s="1276" customFormat="1" ht="13.5" customHeight="1" x14ac:dyDescent="0.2">
      <c r="B6" s="1470" t="s">
        <v>1315</v>
      </c>
      <c r="C6" s="1470" t="s">
        <v>1314</v>
      </c>
      <c r="D6" s="1470" t="s">
        <v>1766</v>
      </c>
    </row>
    <row r="7" spans="2:5" ht="13.5" customHeight="1" x14ac:dyDescent="0.2">
      <c r="B7" s="1471" t="s">
        <v>2101</v>
      </c>
      <c r="C7" s="324" t="s">
        <v>2106</v>
      </c>
      <c r="D7" s="324" t="s">
        <v>2111</v>
      </c>
      <c r="E7" s="324"/>
    </row>
    <row r="8" spans="2:5" ht="13.5" customHeight="1" x14ac:dyDescent="0.2">
      <c r="B8" s="1471"/>
      <c r="C8" s="324"/>
      <c r="D8" s="324"/>
      <c r="E8" s="324"/>
    </row>
    <row r="9" spans="2:5" ht="13.5" customHeight="1" x14ac:dyDescent="0.2">
      <c r="B9" s="1472" t="s">
        <v>2102</v>
      </c>
      <c r="C9" s="323" t="s">
        <v>2107</v>
      </c>
      <c r="D9" s="323" t="s">
        <v>2112</v>
      </c>
      <c r="E9" s="323"/>
    </row>
    <row r="10" spans="2:5" ht="13.5" customHeight="1" x14ac:dyDescent="0.2">
      <c r="B10" s="1471"/>
      <c r="C10" s="323"/>
      <c r="D10" s="323"/>
      <c r="E10" s="323"/>
    </row>
    <row r="11" spans="2:5" ht="13.5" customHeight="1" x14ac:dyDescent="0.2">
      <c r="B11" s="1471" t="s">
        <v>2103</v>
      </c>
      <c r="C11" s="323" t="s">
        <v>2108</v>
      </c>
      <c r="D11" s="323" t="s">
        <v>2112</v>
      </c>
      <c r="E11" s="323"/>
    </row>
    <row r="12" spans="2:5" ht="13.5" customHeight="1" x14ac:dyDescent="0.2">
      <c r="B12" s="1471"/>
      <c r="C12" s="323"/>
      <c r="D12" s="323"/>
      <c r="E12" s="323"/>
    </row>
    <row r="13" spans="2:5" ht="13.5" customHeight="1" x14ac:dyDescent="0.2">
      <c r="B13" s="1471" t="s">
        <v>2104</v>
      </c>
      <c r="C13" s="323" t="s">
        <v>2109</v>
      </c>
      <c r="D13" s="323" t="s">
        <v>2112</v>
      </c>
      <c r="E13" s="323"/>
    </row>
    <row r="14" spans="2:5" ht="13.5" customHeight="1" x14ac:dyDescent="0.2">
      <c r="B14" s="1471"/>
      <c r="C14" s="323"/>
      <c r="D14" s="323"/>
      <c r="E14" s="323"/>
    </row>
    <row r="15" spans="2:5" ht="13.5" customHeight="1" x14ac:dyDescent="0.2">
      <c r="B15" s="1471" t="s">
        <v>2105</v>
      </c>
      <c r="C15" s="323" t="s">
        <v>2110</v>
      </c>
      <c r="D15" s="323" t="s">
        <v>2112</v>
      </c>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1767</v>
      </c>
    </row>
    <row r="46" spans="2:5" ht="12.2" customHeight="1" x14ac:dyDescent="0.2">
      <c r="B46" s="1480" t="s">
        <v>1768</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L70"/>
  <sheetViews>
    <sheetView showGridLines="0" zoomScale="110" zoomScaleNormal="110" zoomScaleSheetLayoutView="100" workbookViewId="0"/>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t="13.5" customHeight="1" x14ac:dyDescent="0.2">
      <c r="B1" s="2617" t="s">
        <v>2073</v>
      </c>
      <c r="C1" s="2617"/>
      <c r="D1" s="2617"/>
      <c r="E1" s="2617"/>
      <c r="F1" s="2045"/>
      <c r="G1" s="2045"/>
      <c r="H1" s="2045"/>
      <c r="I1" s="2045"/>
      <c r="J1" s="2045"/>
      <c r="K1" s="2045"/>
      <c r="L1" s="2045"/>
    </row>
    <row r="2" spans="2:12" ht="13.5" customHeight="1" x14ac:dyDescent="0.2">
      <c r="B2" s="2618" t="s">
        <v>2282</v>
      </c>
      <c r="C2" s="2618"/>
      <c r="D2" s="2618"/>
      <c r="E2" s="2618"/>
      <c r="F2" s="2047"/>
      <c r="G2" s="2047"/>
      <c r="H2" s="2047"/>
      <c r="I2" s="2047"/>
      <c r="J2" s="2047"/>
      <c r="K2" s="2047"/>
      <c r="L2" s="2047"/>
    </row>
    <row r="3" spans="2:12" ht="13.5" customHeight="1" x14ac:dyDescent="0.2">
      <c r="B3" s="2619" t="s">
        <v>2283</v>
      </c>
      <c r="C3" s="2619"/>
      <c r="D3" s="2619"/>
      <c r="E3" s="2619"/>
      <c r="F3" s="2048"/>
      <c r="G3" s="2048"/>
      <c r="H3" s="2048"/>
      <c r="I3" s="2048"/>
      <c r="J3" s="2048"/>
      <c r="K3" s="2048"/>
      <c r="L3" s="2048"/>
    </row>
    <row r="4" spans="2:12" ht="13.5" customHeight="1" x14ac:dyDescent="0.2">
      <c r="B4" s="2620" t="s">
        <v>1987</v>
      </c>
      <c r="C4" s="2620"/>
      <c r="D4" s="2620"/>
      <c r="E4" s="2620"/>
      <c r="F4" s="2049"/>
      <c r="G4" s="2049"/>
      <c r="H4" s="2049"/>
      <c r="I4" s="2049"/>
      <c r="J4" s="2049"/>
      <c r="K4" s="2049"/>
      <c r="L4" s="2049"/>
    </row>
    <row r="5" spans="2:12" ht="29.85" customHeight="1" x14ac:dyDescent="0.2"/>
    <row r="6" spans="2:12" ht="13.5" customHeight="1" x14ac:dyDescent="0.2">
      <c r="B6" s="2050" t="s">
        <v>2284</v>
      </c>
      <c r="C6" s="2050"/>
      <c r="D6" s="2051"/>
      <c r="E6" s="2052"/>
      <c r="F6" s="2052"/>
      <c r="G6" s="2053"/>
      <c r="H6" s="2053"/>
      <c r="I6" s="2053"/>
    </row>
    <row r="7" spans="2:12" ht="13.5" customHeight="1" x14ac:dyDescent="0.2">
      <c r="B7" s="2046" t="s">
        <v>1169</v>
      </c>
    </row>
    <row r="8" spans="2:12" ht="13.5" customHeight="1" x14ac:dyDescent="0.2">
      <c r="B8" s="2054" t="s">
        <v>2285</v>
      </c>
      <c r="C8" s="2055" t="s">
        <v>1989</v>
      </c>
      <c r="D8" s="2056">
        <v>1</v>
      </c>
    </row>
    <row r="9" spans="2:12" ht="13.5" customHeight="1" x14ac:dyDescent="0.2">
      <c r="B9" s="2057"/>
      <c r="C9" s="2057"/>
      <c r="D9" s="2057"/>
    </row>
    <row r="10" spans="2:12" ht="13.5" customHeight="1" x14ac:dyDescent="0.2">
      <c r="B10" s="2054" t="s">
        <v>2286</v>
      </c>
      <c r="C10" s="2054"/>
    </row>
    <row r="11" spans="2:12" ht="66.75" customHeight="1" x14ac:dyDescent="0.2">
      <c r="B11" s="2616" t="s">
        <v>2268</v>
      </c>
      <c r="C11" s="2616"/>
      <c r="D11" s="2616"/>
      <c r="E11" s="2616"/>
    </row>
    <row r="12" spans="2:12" ht="13.5" customHeight="1" x14ac:dyDescent="0.2"/>
    <row r="13" spans="2:12" ht="13.5" customHeight="1" x14ac:dyDescent="0.2">
      <c r="B13" s="2054" t="s">
        <v>2287</v>
      </c>
      <c r="C13" s="2054"/>
    </row>
    <row r="14" spans="2:12" ht="76.5" customHeight="1" x14ac:dyDescent="0.2">
      <c r="B14" s="2616" t="s">
        <v>2295</v>
      </c>
      <c r="C14" s="2616"/>
      <c r="D14" s="2616"/>
      <c r="E14" s="2616"/>
    </row>
    <row r="15" spans="2:12" ht="13.5" customHeight="1" x14ac:dyDescent="0.2"/>
    <row r="16" spans="2:12" ht="13.5" customHeight="1" x14ac:dyDescent="0.2">
      <c r="B16" s="2054" t="s">
        <v>2289</v>
      </c>
      <c r="C16" s="2054"/>
      <c r="E16" s="2058" t="s">
        <v>2296</v>
      </c>
    </row>
    <row r="17" spans="2:5" ht="13.5" customHeight="1" x14ac:dyDescent="0.2"/>
    <row r="18" spans="2:5" ht="13.5" customHeight="1" x14ac:dyDescent="0.2">
      <c r="B18" s="2054" t="s">
        <v>2290</v>
      </c>
      <c r="C18" s="2054"/>
      <c r="E18" s="2059" t="s">
        <v>2291</v>
      </c>
    </row>
    <row r="19" spans="2:5" ht="13.5" customHeight="1" x14ac:dyDescent="0.2"/>
    <row r="20" spans="2:5" ht="13.5" customHeight="1" x14ac:dyDescent="0.2">
      <c r="B20" s="2054" t="s">
        <v>2292</v>
      </c>
      <c r="C20" s="2054"/>
      <c r="E20" s="2059" t="s">
        <v>2297</v>
      </c>
    </row>
    <row r="21" spans="2:5" ht="13.5" customHeight="1" x14ac:dyDescent="0.2">
      <c r="E21" s="2059" t="s">
        <v>2298</v>
      </c>
    </row>
    <row r="22" spans="2:5" ht="13.5" customHeight="1" x14ac:dyDescent="0.2">
      <c r="E22" s="2059"/>
    </row>
    <row r="23" spans="2:5" ht="13.5" customHeight="1" x14ac:dyDescent="0.2"/>
    <row r="24" spans="2:5" ht="13.5" customHeight="1" x14ac:dyDescent="0.2"/>
    <row r="25" spans="2:5" ht="13.5" customHeight="1" x14ac:dyDescent="0.2">
      <c r="B25" s="2060"/>
      <c r="C25" s="2060"/>
      <c r="D25" s="2060"/>
    </row>
    <row r="26" spans="2:5" ht="13.5" customHeight="1" x14ac:dyDescent="0.2">
      <c r="B26" s="2060"/>
      <c r="C26" s="2060"/>
      <c r="D26" s="2060"/>
    </row>
    <row r="27" spans="2:5" ht="13.5" customHeight="1" x14ac:dyDescent="0.2">
      <c r="B27" s="2060"/>
      <c r="C27" s="2060"/>
      <c r="D27" s="206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1"/>
      <c r="C35" s="2061"/>
      <c r="D35" s="2061"/>
    </row>
    <row r="36" spans="2:5" ht="13.5" customHeight="1" x14ac:dyDescent="0.2"/>
    <row r="37" spans="2:5" ht="13.5" customHeight="1" x14ac:dyDescent="0.2">
      <c r="B37" s="2061"/>
      <c r="C37" s="2061"/>
      <c r="D37" s="2061"/>
    </row>
    <row r="38" spans="2:5" ht="13.5" customHeight="1" x14ac:dyDescent="0.2">
      <c r="B38" s="2061"/>
      <c r="C38" s="2061"/>
      <c r="D38" s="2061"/>
    </row>
    <row r="39" spans="2:5" ht="13.5" customHeight="1" x14ac:dyDescent="0.2">
      <c r="B39" s="2061"/>
      <c r="C39" s="2061"/>
      <c r="D39" s="2061"/>
    </row>
    <row r="40" spans="2:5" ht="13.5" customHeight="1" x14ac:dyDescent="0.2">
      <c r="B40" s="2061"/>
      <c r="C40" s="2061"/>
      <c r="D40" s="2061"/>
    </row>
    <row r="41" spans="2:5" ht="13.5" customHeight="1" x14ac:dyDescent="0.2">
      <c r="B41" s="2062"/>
      <c r="C41" s="2062"/>
      <c r="D41" s="2062"/>
      <c r="E41" s="2062"/>
    </row>
    <row r="42" spans="2:5" ht="12.2" customHeight="1" x14ac:dyDescent="0.2">
      <c r="B42" s="2063" t="s">
        <v>2294</v>
      </c>
      <c r="C42" s="2063"/>
      <c r="D42" s="2063"/>
    </row>
    <row r="43" spans="2:5" ht="12.2" customHeight="1" x14ac:dyDescent="0.2">
      <c r="B43" s="2064"/>
      <c r="C43" s="2064"/>
      <c r="D43" s="2064"/>
    </row>
    <row r="44" spans="2:5" ht="12.75" customHeight="1" x14ac:dyDescent="0.2">
      <c r="B44" s="2054"/>
      <c r="C44" s="2054"/>
      <c r="D44" s="2054"/>
    </row>
    <row r="45" spans="2:5" ht="12.75" customHeight="1" x14ac:dyDescent="0.2">
      <c r="B45" s="2054"/>
      <c r="C45" s="2054"/>
      <c r="D45" s="2054"/>
    </row>
    <row r="46" spans="2:5" x14ac:dyDescent="0.2">
      <c r="B46" s="2054"/>
      <c r="C46" s="2054"/>
      <c r="D46" s="2054"/>
    </row>
    <row r="47" spans="2:5" x14ac:dyDescent="0.2">
      <c r="B47" s="2054"/>
      <c r="C47" s="2054"/>
      <c r="D47" s="2054"/>
    </row>
    <row r="51" spans="2:4" x14ac:dyDescent="0.2">
      <c r="B51" s="2065"/>
      <c r="C51" s="2065"/>
      <c r="D51" s="206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6"/>
      <c r="C64" s="2066"/>
      <c r="D64" s="2066"/>
    </row>
    <row r="65" spans="2:4" x14ac:dyDescent="0.2">
      <c r="B65" s="2054"/>
      <c r="C65" s="2054"/>
      <c r="D65" s="2054"/>
    </row>
    <row r="66" spans="2:4" x14ac:dyDescent="0.2">
      <c r="B66" s="2054"/>
      <c r="C66" s="2054"/>
      <c r="D66" s="2054"/>
    </row>
    <row r="67" spans="2:4" x14ac:dyDescent="0.2">
      <c r="B67" s="2066"/>
      <c r="C67" s="2066"/>
      <c r="D67" s="2066"/>
    </row>
    <row r="68" spans="2:4" x14ac:dyDescent="0.2">
      <c r="B68" s="2066"/>
      <c r="C68" s="2066"/>
      <c r="D68" s="2066"/>
    </row>
    <row r="69" spans="2:4" x14ac:dyDescent="0.2">
      <c r="B69" s="2066"/>
      <c r="C69" s="2066"/>
      <c r="D69" s="2066"/>
    </row>
    <row r="70" spans="2:4" x14ac:dyDescent="0.2">
      <c r="B70" s="2054"/>
      <c r="C70" s="2054"/>
      <c r="D70" s="205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70"/>
  <sheetViews>
    <sheetView showGridLines="0" zoomScale="110" zoomScaleNormal="110" zoomScaleSheetLayoutView="100" workbookViewId="0"/>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t="13.5" customHeight="1" x14ac:dyDescent="0.2">
      <c r="B1" s="2617" t="s">
        <v>2073</v>
      </c>
      <c r="C1" s="2617"/>
      <c r="D1" s="2617"/>
      <c r="E1" s="2617"/>
      <c r="F1" s="2045"/>
      <c r="G1" s="2045"/>
      <c r="H1" s="2045"/>
      <c r="I1" s="2045"/>
      <c r="J1" s="2045"/>
      <c r="K1" s="2045"/>
      <c r="L1" s="2045"/>
    </row>
    <row r="2" spans="2:12" ht="13.5" customHeight="1" x14ac:dyDescent="0.2">
      <c r="B2" s="2618" t="s">
        <v>2282</v>
      </c>
      <c r="C2" s="2618"/>
      <c r="D2" s="2618"/>
      <c r="E2" s="2618"/>
      <c r="F2" s="2047"/>
      <c r="G2" s="2047"/>
      <c r="H2" s="2047"/>
      <c r="I2" s="2047"/>
      <c r="J2" s="2047"/>
      <c r="K2" s="2047"/>
      <c r="L2" s="2047"/>
    </row>
    <row r="3" spans="2:12" ht="13.5" customHeight="1" x14ac:dyDescent="0.2">
      <c r="B3" s="2619" t="s">
        <v>2283</v>
      </c>
      <c r="C3" s="2619"/>
      <c r="D3" s="2619"/>
      <c r="E3" s="2619"/>
      <c r="F3" s="2048"/>
      <c r="G3" s="2048"/>
      <c r="H3" s="2048"/>
      <c r="I3" s="2048"/>
      <c r="J3" s="2048"/>
      <c r="K3" s="2048"/>
      <c r="L3" s="2048"/>
    </row>
    <row r="4" spans="2:12" ht="13.5" customHeight="1" x14ac:dyDescent="0.2">
      <c r="B4" s="2620" t="s">
        <v>1987</v>
      </c>
      <c r="C4" s="2620"/>
      <c r="D4" s="2620"/>
      <c r="E4" s="2620"/>
      <c r="F4" s="2049"/>
      <c r="G4" s="2049"/>
      <c r="H4" s="2049"/>
      <c r="I4" s="2049"/>
      <c r="J4" s="2049"/>
      <c r="K4" s="2049"/>
      <c r="L4" s="2049"/>
    </row>
    <row r="5" spans="2:12" ht="29.85" customHeight="1" x14ac:dyDescent="0.2"/>
    <row r="6" spans="2:12" ht="13.5" customHeight="1" x14ac:dyDescent="0.2">
      <c r="B6" s="2050" t="s">
        <v>2284</v>
      </c>
      <c r="C6" s="2050"/>
      <c r="D6" s="2051"/>
      <c r="E6" s="2052"/>
      <c r="F6" s="2052"/>
      <c r="G6" s="2053"/>
      <c r="H6" s="2053"/>
      <c r="I6" s="2053"/>
    </row>
    <row r="7" spans="2:12" ht="13.5" customHeight="1" x14ac:dyDescent="0.2">
      <c r="B7" s="2046" t="s">
        <v>1169</v>
      </c>
    </row>
    <row r="8" spans="2:12" ht="13.5" customHeight="1" x14ac:dyDescent="0.2">
      <c r="B8" s="2054" t="s">
        <v>2285</v>
      </c>
      <c r="C8" s="2055" t="s">
        <v>1989</v>
      </c>
      <c r="D8" s="2056">
        <v>2</v>
      </c>
    </row>
    <row r="9" spans="2:12" ht="13.5" customHeight="1" x14ac:dyDescent="0.2">
      <c r="B9" s="2057"/>
      <c r="C9" s="2057"/>
      <c r="D9" s="2057"/>
    </row>
    <row r="10" spans="2:12" ht="13.5" customHeight="1" x14ac:dyDescent="0.2">
      <c r="B10" s="2054" t="s">
        <v>2286</v>
      </c>
      <c r="C10" s="2054"/>
    </row>
    <row r="11" spans="2:12" ht="66.75" customHeight="1" x14ac:dyDescent="0.2">
      <c r="B11" s="2616" t="s">
        <v>2320</v>
      </c>
      <c r="C11" s="2616"/>
      <c r="D11" s="2616"/>
      <c r="E11" s="2616"/>
    </row>
    <row r="12" spans="2:12" ht="13.5" customHeight="1" x14ac:dyDescent="0.2"/>
    <row r="13" spans="2:12" ht="13.5" customHeight="1" x14ac:dyDescent="0.2">
      <c r="B13" s="2054" t="s">
        <v>2287</v>
      </c>
      <c r="C13" s="2054"/>
    </row>
    <row r="14" spans="2:12" ht="76.5" customHeight="1" x14ac:dyDescent="0.2">
      <c r="B14" s="2616" t="s">
        <v>2288</v>
      </c>
      <c r="C14" s="2616"/>
      <c r="D14" s="2616"/>
      <c r="E14" s="2616"/>
    </row>
    <row r="15" spans="2:12" ht="13.5" customHeight="1" x14ac:dyDescent="0.2"/>
    <row r="16" spans="2:12" ht="13.5" customHeight="1" x14ac:dyDescent="0.2">
      <c r="B16" s="2054" t="s">
        <v>2289</v>
      </c>
      <c r="C16" s="2054"/>
      <c r="E16" s="2058">
        <v>44012</v>
      </c>
    </row>
    <row r="17" spans="2:5" ht="13.5" customHeight="1" x14ac:dyDescent="0.2"/>
    <row r="18" spans="2:5" ht="13.5" customHeight="1" x14ac:dyDescent="0.2">
      <c r="B18" s="2054" t="s">
        <v>2290</v>
      </c>
      <c r="C18" s="2054"/>
      <c r="E18" s="2059" t="s">
        <v>2291</v>
      </c>
    </row>
    <row r="19" spans="2:5" ht="13.5" customHeight="1" x14ac:dyDescent="0.2"/>
    <row r="20" spans="2:5" ht="13.5" customHeight="1" x14ac:dyDescent="0.2">
      <c r="B20" s="2054" t="s">
        <v>2292</v>
      </c>
      <c r="C20" s="2054"/>
      <c r="E20" s="2059" t="s">
        <v>2293</v>
      </c>
    </row>
    <row r="21" spans="2:5" ht="13.5" customHeight="1" x14ac:dyDescent="0.2">
      <c r="E21" s="2059"/>
    </row>
    <row r="22" spans="2:5" ht="13.5" customHeight="1" x14ac:dyDescent="0.2">
      <c r="E22" s="2059"/>
    </row>
    <row r="23" spans="2:5" ht="13.5" customHeight="1" x14ac:dyDescent="0.2"/>
    <row r="24" spans="2:5" ht="13.5" customHeight="1" x14ac:dyDescent="0.2"/>
    <row r="25" spans="2:5" ht="13.5" customHeight="1" x14ac:dyDescent="0.2">
      <c r="B25" s="2060"/>
      <c r="C25" s="2060"/>
      <c r="D25" s="2060"/>
    </row>
    <row r="26" spans="2:5" ht="13.5" customHeight="1" x14ac:dyDescent="0.2">
      <c r="B26" s="2060"/>
      <c r="C26" s="2060"/>
      <c r="D26" s="2060"/>
    </row>
    <row r="27" spans="2:5" ht="13.5" customHeight="1" x14ac:dyDescent="0.2">
      <c r="B27" s="2060"/>
      <c r="C27" s="2060"/>
      <c r="D27" s="206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1"/>
      <c r="C35" s="2061"/>
      <c r="D35" s="2061"/>
    </row>
    <row r="36" spans="2:5" ht="13.5" customHeight="1" x14ac:dyDescent="0.2"/>
    <row r="37" spans="2:5" ht="13.5" customHeight="1" x14ac:dyDescent="0.2">
      <c r="B37" s="2061"/>
      <c r="C37" s="2061"/>
      <c r="D37" s="2061"/>
    </row>
    <row r="38" spans="2:5" ht="13.5" customHeight="1" x14ac:dyDescent="0.2">
      <c r="B38" s="2061"/>
      <c r="C38" s="2061"/>
      <c r="D38" s="2061"/>
    </row>
    <row r="39" spans="2:5" ht="13.5" customHeight="1" x14ac:dyDescent="0.2">
      <c r="B39" s="2061"/>
      <c r="C39" s="2061"/>
      <c r="D39" s="2061"/>
    </row>
    <row r="40" spans="2:5" ht="13.5" customHeight="1" x14ac:dyDescent="0.2">
      <c r="B40" s="2061"/>
      <c r="C40" s="2061"/>
      <c r="D40" s="2061"/>
    </row>
    <row r="41" spans="2:5" ht="13.5" customHeight="1" x14ac:dyDescent="0.2">
      <c r="B41" s="2062"/>
      <c r="C41" s="2062"/>
      <c r="D41" s="2062"/>
      <c r="E41" s="2062"/>
    </row>
    <row r="42" spans="2:5" ht="12.2" customHeight="1" x14ac:dyDescent="0.2">
      <c r="B42" s="2063" t="s">
        <v>2294</v>
      </c>
      <c r="C42" s="2063"/>
      <c r="D42" s="2063"/>
    </row>
    <row r="43" spans="2:5" ht="12.2" customHeight="1" x14ac:dyDescent="0.2">
      <c r="B43" s="2064"/>
      <c r="C43" s="2064"/>
      <c r="D43" s="2064"/>
    </row>
    <row r="44" spans="2:5" ht="12.75" customHeight="1" x14ac:dyDescent="0.2">
      <c r="B44" s="2054"/>
      <c r="C44" s="2054"/>
      <c r="D44" s="2054"/>
    </row>
    <row r="45" spans="2:5" ht="12.75" customHeight="1" x14ac:dyDescent="0.2">
      <c r="B45" s="2054"/>
      <c r="C45" s="2054"/>
      <c r="D45" s="2054"/>
    </row>
    <row r="46" spans="2:5" x14ac:dyDescent="0.2">
      <c r="B46" s="2054"/>
      <c r="C46" s="2054"/>
      <c r="D46" s="2054"/>
    </row>
    <row r="47" spans="2:5" x14ac:dyDescent="0.2">
      <c r="B47" s="2054"/>
      <c r="C47" s="2054"/>
      <c r="D47" s="2054"/>
    </row>
    <row r="51" spans="2:4" x14ac:dyDescent="0.2">
      <c r="B51" s="2065"/>
      <c r="C51" s="2065"/>
      <c r="D51" s="206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6"/>
      <c r="C64" s="2066"/>
      <c r="D64" s="2066"/>
    </row>
    <row r="65" spans="2:4" x14ac:dyDescent="0.2">
      <c r="B65" s="2054"/>
      <c r="C65" s="2054"/>
      <c r="D65" s="2054"/>
    </row>
    <row r="66" spans="2:4" x14ac:dyDescent="0.2">
      <c r="B66" s="2054"/>
      <c r="C66" s="2054"/>
      <c r="D66" s="2054"/>
    </row>
    <row r="67" spans="2:4" x14ac:dyDescent="0.2">
      <c r="B67" s="2066"/>
      <c r="C67" s="2066"/>
      <c r="D67" s="2066"/>
    </row>
    <row r="68" spans="2:4" x14ac:dyDescent="0.2">
      <c r="B68" s="2066"/>
      <c r="C68" s="2066"/>
      <c r="D68" s="2066"/>
    </row>
    <row r="69" spans="2:4" x14ac:dyDescent="0.2">
      <c r="B69" s="2066"/>
      <c r="C69" s="2066"/>
      <c r="D69" s="2066"/>
    </row>
    <row r="70" spans="2:4" x14ac:dyDescent="0.2">
      <c r="B70" s="2054"/>
      <c r="C70" s="2054"/>
      <c r="D70" s="205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10" t="s">
        <v>386</v>
      </c>
      <c r="B1" s="2210"/>
      <c r="C1" s="2210"/>
      <c r="D1" s="2210"/>
      <c r="E1" s="2210"/>
      <c r="F1" s="2210"/>
      <c r="G1" s="2210"/>
      <c r="H1" s="2210"/>
      <c r="I1" s="2210"/>
      <c r="J1" s="2210"/>
      <c r="K1" s="2210"/>
      <c r="L1" s="2210"/>
      <c r="M1" s="221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158339645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2.6655999999999999E-2</v>
      </c>
      <c r="E10" s="356" t="s">
        <v>1005</v>
      </c>
      <c r="F10" s="355">
        <v>6.9109999999999996E-3</v>
      </c>
      <c r="G10" s="356" t="s">
        <v>1005</v>
      </c>
      <c r="H10" s="355">
        <v>1.9750000000000002E-3</v>
      </c>
      <c r="I10" s="356" t="s">
        <v>1006</v>
      </c>
      <c r="J10" s="1729">
        <f>ROUND(D10+F10+H10,5)</f>
        <v>3.5540000000000002E-2</v>
      </c>
      <c r="K10" s="222"/>
      <c r="L10" s="355">
        <v>4.9399999999999997E-4</v>
      </c>
      <c r="M10" s="222"/>
    </row>
    <row r="11" spans="1:14" ht="7.5" customHeight="1" x14ac:dyDescent="0.2">
      <c r="B11" s="222"/>
      <c r="C11" s="222"/>
      <c r="D11" s="2220" t="str">
        <f>IF(SUM(J10)&lt;=0.0999999,"","Enter the Tax Rates by moving the decimal two places to the left.")</f>
        <v/>
      </c>
      <c r="E11" s="2221"/>
      <c r="F11" s="2221"/>
      <c r="G11" s="2221"/>
      <c r="H11" s="2221"/>
      <c r="I11" s="2221"/>
      <c r="J11" s="22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13368682</v>
      </c>
      <c r="E16" s="356"/>
      <c r="F16" s="1730">
        <f>SUM('Acct Summary 7-8'!C17,'Acct Summary 7-8'!D17,'Acct Summary 7-8'!F17)</f>
        <v>12576090</v>
      </c>
      <c r="G16" s="356"/>
      <c r="H16" s="1730">
        <f>SUM(D16-F16)</f>
        <v>792592</v>
      </c>
      <c r="I16" s="222"/>
      <c r="J16" s="1730">
        <f>SUM('Acct Summary 7-8'!C81,'Acct Summary 7-8'!D81,'Acct Summary 7-8'!F81,'Acct Summary 7-8'!I81)</f>
        <v>6429115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21850871.010000002</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4612962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11"/>
      <c r="C54" s="2212"/>
      <c r="D54" s="2212"/>
      <c r="E54" s="2212"/>
      <c r="F54" s="2212"/>
      <c r="G54" s="2212"/>
      <c r="H54" s="2212"/>
      <c r="I54" s="2212"/>
      <c r="J54" s="2212"/>
      <c r="K54" s="2212"/>
      <c r="L54" s="2213"/>
      <c r="M54" s="380"/>
    </row>
    <row r="55" spans="1:13" ht="12.75" customHeight="1" x14ac:dyDescent="0.2">
      <c r="B55" s="2214"/>
      <c r="C55" s="2215"/>
      <c r="D55" s="2215"/>
      <c r="E55" s="2215"/>
      <c r="F55" s="2215"/>
      <c r="G55" s="2215"/>
      <c r="H55" s="2215"/>
      <c r="I55" s="2215"/>
      <c r="J55" s="2215"/>
      <c r="K55" s="2215"/>
      <c r="L55" s="2216"/>
      <c r="M55" s="380"/>
    </row>
    <row r="56" spans="1:13" ht="12.75" customHeight="1" x14ac:dyDescent="0.2">
      <c r="B56" s="2214"/>
      <c r="C56" s="2215"/>
      <c r="D56" s="2215"/>
      <c r="E56" s="2215"/>
      <c r="F56" s="2215"/>
      <c r="G56" s="2215"/>
      <c r="H56" s="2215"/>
      <c r="I56" s="2215"/>
      <c r="J56" s="2215"/>
      <c r="K56" s="2215"/>
      <c r="L56" s="2216"/>
      <c r="M56" s="222"/>
    </row>
    <row r="57" spans="1:13" ht="12.75" customHeight="1" x14ac:dyDescent="0.2">
      <c r="B57" s="2214"/>
      <c r="C57" s="2215"/>
      <c r="D57" s="2215"/>
      <c r="E57" s="2215"/>
      <c r="F57" s="2215"/>
      <c r="G57" s="2215"/>
      <c r="H57" s="2215"/>
      <c r="I57" s="2215"/>
      <c r="J57" s="2215"/>
      <c r="K57" s="2215"/>
      <c r="L57" s="2216"/>
      <c r="M57" s="222"/>
    </row>
    <row r="58" spans="1:13" x14ac:dyDescent="0.2">
      <c r="B58" s="2217"/>
      <c r="C58" s="2218"/>
      <c r="D58" s="2218"/>
      <c r="E58" s="2218"/>
      <c r="F58" s="2218"/>
      <c r="G58" s="2218"/>
      <c r="H58" s="2218"/>
      <c r="I58" s="2218"/>
      <c r="J58" s="2218"/>
      <c r="K58" s="2218"/>
      <c r="L58" s="22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22"/>
      <c r="D61" s="22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5"/>
      <c r="B1" s="2226"/>
      <c r="C1" s="2226"/>
      <c r="D1" s="384"/>
      <c r="E1" s="384"/>
      <c r="F1" s="384"/>
      <c r="G1" s="384"/>
      <c r="H1" s="384"/>
      <c r="I1" s="384"/>
      <c r="J1" s="384"/>
      <c r="K1" s="384"/>
      <c r="L1" s="384"/>
      <c r="M1" s="384"/>
      <c r="N1" s="384"/>
      <c r="O1" s="2225"/>
      <c r="P1" s="2226"/>
      <c r="Q1" s="2226"/>
    </row>
    <row r="2" spans="1:18" ht="15" x14ac:dyDescent="0.2">
      <c r="A2" s="2229" t="s">
        <v>556</v>
      </c>
      <c r="B2" s="2229"/>
      <c r="C2" s="2229"/>
      <c r="D2" s="2229"/>
      <c r="E2" s="2229"/>
      <c r="F2" s="2229"/>
      <c r="G2" s="2229"/>
      <c r="H2" s="2229"/>
      <c r="I2" s="2229"/>
      <c r="J2" s="2229"/>
      <c r="K2" s="2229"/>
      <c r="L2" s="2229"/>
      <c r="M2" s="2229"/>
      <c r="N2" s="2229"/>
      <c r="O2" s="2229"/>
      <c r="P2" s="2229"/>
      <c r="Q2" s="2229"/>
      <c r="R2" s="2229"/>
    </row>
    <row r="3" spans="1:18" ht="12.75" x14ac:dyDescent="0.2">
      <c r="A3" s="2230" t="s">
        <v>1413</v>
      </c>
      <c r="B3" s="2230"/>
      <c r="C3" s="2230"/>
      <c r="D3" s="2230"/>
      <c r="E3" s="2230"/>
      <c r="F3" s="2230"/>
      <c r="G3" s="2230"/>
      <c r="H3" s="2230"/>
      <c r="I3" s="2230"/>
      <c r="J3" s="2230"/>
      <c r="K3" s="2230"/>
      <c r="L3" s="2230"/>
      <c r="M3" s="2230"/>
      <c r="N3" s="2230"/>
      <c r="O3" s="2230"/>
      <c r="P3" s="2230"/>
      <c r="Q3" s="2230"/>
      <c r="R3" s="2230"/>
    </row>
    <row r="4" spans="1:18" x14ac:dyDescent="0.2">
      <c r="A4" s="2231" t="s">
        <v>1554</v>
      </c>
      <c r="B4" s="2231"/>
      <c r="C4" s="2231"/>
      <c r="D4" s="2231"/>
      <c r="E4" s="2231"/>
      <c r="F4" s="2231"/>
      <c r="G4" s="2231"/>
      <c r="H4" s="2231"/>
      <c r="I4" s="2231"/>
      <c r="J4" s="2231"/>
      <c r="K4" s="2231"/>
      <c r="L4" s="2231"/>
      <c r="M4" s="2231"/>
      <c r="N4" s="2231"/>
      <c r="O4" s="2231"/>
      <c r="P4" s="2231"/>
      <c r="Q4" s="2231"/>
      <c r="R4" s="22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Mercer County School District 404</v>
      </c>
      <c r="E7" s="391"/>
      <c r="G7" s="252"/>
      <c r="H7" s="387"/>
      <c r="I7" s="387"/>
      <c r="J7" s="387"/>
      <c r="K7" s="387"/>
      <c r="L7" s="329"/>
      <c r="M7" s="329"/>
      <c r="N7" s="329"/>
      <c r="O7" s="329"/>
      <c r="P7" s="329"/>
    </row>
    <row r="8" spans="1:18" ht="12.75" x14ac:dyDescent="0.2">
      <c r="A8" s="329"/>
      <c r="B8" s="329"/>
      <c r="C8" s="389" t="s">
        <v>1125</v>
      </c>
      <c r="D8" s="392">
        <f>COVER!A13</f>
        <v>33066404026</v>
      </c>
      <c r="E8" s="393"/>
      <c r="G8" s="329"/>
      <c r="H8" s="329"/>
      <c r="I8" s="329"/>
      <c r="J8" s="329"/>
      <c r="K8" s="329"/>
      <c r="L8" s="329"/>
      <c r="M8" s="329"/>
      <c r="N8" s="329"/>
      <c r="O8" s="329"/>
      <c r="P8" s="329"/>
    </row>
    <row r="9" spans="1:18" ht="12.75" x14ac:dyDescent="0.2">
      <c r="A9" s="329"/>
      <c r="B9" s="329"/>
      <c r="C9" s="389" t="s">
        <v>713</v>
      </c>
      <c r="D9" s="394" t="str">
        <f>COVER!A15</f>
        <v>Mercer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6429115</v>
      </c>
      <c r="I12" s="404"/>
      <c r="J12" s="404"/>
      <c r="K12" s="405">
        <f>TRUNC((H12/H13*100000),5)/100000</f>
        <v>0.48090866390000003</v>
      </c>
      <c r="L12" s="406"/>
      <c r="M12" s="360" t="s">
        <v>1144</v>
      </c>
      <c r="N12" s="360"/>
      <c r="O12" s="407">
        <v>0.35</v>
      </c>
      <c r="P12" s="218"/>
      <c r="Q12" s="218"/>
    </row>
    <row r="13" spans="1:18" s="408" customFormat="1" ht="12.75" x14ac:dyDescent="0.2">
      <c r="A13" s="218"/>
      <c r="B13" s="401"/>
      <c r="C13" s="2227" t="s">
        <v>1324</v>
      </c>
      <c r="D13" s="2228"/>
      <c r="E13" s="218"/>
      <c r="F13" s="409" t="s">
        <v>793</v>
      </c>
      <c r="G13" s="402"/>
      <c r="H13" s="403">
        <f>SUM('Acct Summary 7-8'!C8+'Acct Summary 7-8'!D8+'Acct Summary 7-8'!F8+'Acct Summary 7-8'!I8)+H14</f>
        <v>13368682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12576090</v>
      </c>
      <c r="I17" s="404"/>
      <c r="J17" s="416"/>
      <c r="K17" s="405">
        <f>TRUNC((H17/H18*100000),5)/100000</f>
        <v>0.94071277929999997</v>
      </c>
      <c r="L17" s="406"/>
      <c r="M17" s="417" t="s">
        <v>1171</v>
      </c>
      <c r="O17" s="418" t="str">
        <f>IF(AND(O16="2", J20 &gt; 2),"1",IF(AND(O16 = "1", J20 &gt; 2),"2",IF(AND(O16="1", J20 &gt;1),"1","0")))</f>
        <v>0</v>
      </c>
      <c r="P17" s="218"/>
    </row>
    <row r="18" spans="1:18" s="408" customFormat="1" ht="11.25" x14ac:dyDescent="0.2">
      <c r="A18" s="218"/>
      <c r="B18" s="401"/>
      <c r="C18" s="2227" t="s">
        <v>1317</v>
      </c>
      <c r="D18" s="2228"/>
      <c r="E18" s="218"/>
      <c r="F18" s="419" t="s">
        <v>794</v>
      </c>
      <c r="G18" s="402"/>
      <c r="H18" s="403">
        <f>SUM('Acct Summary 7-8'!C8+'Acct Summary 7-8'!D8+'Acct Summary 7-8'!F8+'Acct Summary 7-8'!I8)+H19</f>
        <v>13368682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24" t="s">
        <v>1412</v>
      </c>
      <c r="D24" s="2224"/>
      <c r="E24" s="218"/>
      <c r="F24" s="218" t="s">
        <v>445</v>
      </c>
      <c r="G24" s="402"/>
      <c r="H24" s="403">
        <f>SUM('Assets-Liab 5-6'!C4+'Assets-Liab 5-6'!D4+'Assets-Liab 5-6'!F4+'Assets-Liab 5-6'!I4+'Assets-Liab 5-6'!C5+'Assets-Liab 5-6'!D5+'Assets-Liab 5-6'!F5+'Assets-Liab 5-6'!I5)</f>
        <v>6428057</v>
      </c>
      <c r="I24" s="422"/>
      <c r="J24" s="422"/>
      <c r="K24" s="423">
        <f>TRUNC(((H24/H25*100000)/100000),2)</f>
        <v>184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34933.583330000001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4783282.3358100001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4612962</v>
      </c>
      <c r="I32" s="420"/>
      <c r="J32" s="420"/>
      <c r="K32" s="423">
        <f>TRUNC(100-((((H32/H33*100))*100)/100),2)</f>
        <v>78.88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21850871.010000002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3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3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34" t="s">
        <v>973</v>
      </c>
      <c r="B3" s="2235"/>
      <c r="C3" s="1556"/>
      <c r="D3" s="1557"/>
      <c r="E3" s="1557"/>
      <c r="F3" s="1557"/>
      <c r="G3" s="1557"/>
      <c r="H3" s="1557"/>
      <c r="I3" s="1557"/>
      <c r="J3" s="1557"/>
      <c r="K3" s="1557"/>
      <c r="L3" s="1557"/>
      <c r="M3" s="1558"/>
      <c r="N3" s="1559"/>
    </row>
    <row r="4" spans="1:14" ht="13.5" customHeight="1" x14ac:dyDescent="0.2">
      <c r="A4" s="463" t="s">
        <v>1651</v>
      </c>
      <c r="B4" s="464"/>
      <c r="C4" s="465">
        <v>1073168</v>
      </c>
      <c r="D4" s="465">
        <v>1009468</v>
      </c>
      <c r="E4" s="465">
        <v>246888</v>
      </c>
      <c r="F4" s="465">
        <v>685947</v>
      </c>
      <c r="G4" s="465">
        <v>551244</v>
      </c>
      <c r="H4" s="465">
        <v>378679</v>
      </c>
      <c r="I4" s="465">
        <v>156674</v>
      </c>
      <c r="J4" s="465">
        <v>721593</v>
      </c>
      <c r="K4" s="465">
        <v>1765162</v>
      </c>
      <c r="L4" s="465">
        <v>961174</v>
      </c>
      <c r="M4" s="468"/>
      <c r="N4" s="469"/>
    </row>
    <row r="5" spans="1:14" x14ac:dyDescent="0.2">
      <c r="A5" s="463" t="s">
        <v>992</v>
      </c>
      <c r="B5" s="470">
        <v>120</v>
      </c>
      <c r="C5" s="465">
        <v>777600</v>
      </c>
      <c r="D5" s="465">
        <v>1014800</v>
      </c>
      <c r="E5" s="465">
        <v>0</v>
      </c>
      <c r="F5" s="465">
        <v>0</v>
      </c>
      <c r="G5" s="465">
        <v>0</v>
      </c>
      <c r="H5" s="465">
        <v>0</v>
      </c>
      <c r="I5" s="465">
        <v>1710400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1058</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1851826</v>
      </c>
      <c r="D13" s="1734">
        <f t="shared" ref="D13:L13" si="0">SUM(D4:D12)</f>
        <v>2024268</v>
      </c>
      <c r="E13" s="1734">
        <f t="shared" si="0"/>
        <v>246888</v>
      </c>
      <c r="F13" s="1734">
        <f t="shared" si="0"/>
        <v>685947</v>
      </c>
      <c r="G13" s="1734">
        <f t="shared" si="0"/>
        <v>551244</v>
      </c>
      <c r="H13" s="1734">
        <f t="shared" si="0"/>
        <v>378679</v>
      </c>
      <c r="I13" s="1734">
        <f t="shared" si="0"/>
        <v>1867074</v>
      </c>
      <c r="J13" s="1734">
        <f t="shared" si="0"/>
        <v>721593</v>
      </c>
      <c r="K13" s="1734">
        <f t="shared" si="0"/>
        <v>1765162</v>
      </c>
      <c r="L13" s="1734">
        <f t="shared" si="0"/>
        <v>961174</v>
      </c>
      <c r="M13" s="468"/>
      <c r="N13" s="469"/>
    </row>
    <row r="14" spans="1:14" ht="18" customHeight="1" thickTop="1" x14ac:dyDescent="0.2">
      <c r="A14" s="2236" t="s">
        <v>147</v>
      </c>
      <c r="B14" s="223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235697</v>
      </c>
      <c r="N16" s="482"/>
    </row>
    <row r="17" spans="1:14" s="483" customFormat="1" ht="12.75" customHeight="1" x14ac:dyDescent="0.2">
      <c r="A17" s="480" t="s">
        <v>1403</v>
      </c>
      <c r="B17" s="481">
        <v>230</v>
      </c>
      <c r="C17" s="475"/>
      <c r="D17" s="475"/>
      <c r="E17" s="475"/>
      <c r="F17" s="475"/>
      <c r="G17" s="475"/>
      <c r="H17" s="475"/>
      <c r="I17" s="475"/>
      <c r="J17" s="475"/>
      <c r="K17" s="475"/>
      <c r="L17" s="475"/>
      <c r="M17" s="465">
        <v>16341037</v>
      </c>
      <c r="N17" s="482"/>
    </row>
    <row r="18" spans="1:14" s="483" customFormat="1" ht="12.75" customHeight="1" x14ac:dyDescent="0.2">
      <c r="A18" s="480" t="s">
        <v>1404</v>
      </c>
      <c r="B18" s="481">
        <v>240</v>
      </c>
      <c r="C18" s="475"/>
      <c r="D18" s="475"/>
      <c r="E18" s="475"/>
      <c r="F18" s="475"/>
      <c r="G18" s="475"/>
      <c r="H18" s="475"/>
      <c r="I18" s="475"/>
      <c r="J18" s="475"/>
      <c r="K18" s="475"/>
      <c r="L18" s="475"/>
      <c r="M18" s="465">
        <v>6294992</v>
      </c>
      <c r="N18" s="482"/>
    </row>
    <row r="19" spans="1:14" s="483" customFormat="1" ht="12.75" customHeight="1" x14ac:dyDescent="0.2">
      <c r="A19" s="480" t="s">
        <v>1405</v>
      </c>
      <c r="B19" s="481">
        <v>250</v>
      </c>
      <c r="C19" s="475"/>
      <c r="D19" s="475"/>
      <c r="E19" s="475"/>
      <c r="F19" s="475"/>
      <c r="G19" s="475"/>
      <c r="H19" s="475"/>
      <c r="I19" s="475"/>
      <c r="J19" s="475"/>
      <c r="K19" s="475"/>
      <c r="L19" s="475"/>
      <c r="M19" s="465">
        <v>2284314</v>
      </c>
      <c r="N19" s="482"/>
    </row>
    <row r="20" spans="1:14" s="483" customFormat="1" ht="12.75" customHeight="1" x14ac:dyDescent="0.2">
      <c r="A20" s="480" t="s">
        <v>1406</v>
      </c>
      <c r="B20" s="481">
        <v>260</v>
      </c>
      <c r="C20" s="475"/>
      <c r="D20" s="475"/>
      <c r="E20" s="475"/>
      <c r="F20" s="475"/>
      <c r="G20" s="475"/>
      <c r="H20" s="475"/>
      <c r="I20" s="475"/>
      <c r="J20" s="475"/>
      <c r="K20" s="475"/>
      <c r="L20" s="475"/>
      <c r="M20" s="465">
        <v>36617</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246888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4366074</v>
      </c>
    </row>
    <row r="23" spans="1:14" ht="13.5" customHeight="1" thickBot="1" x14ac:dyDescent="0.25">
      <c r="A23" s="1733" t="s">
        <v>643</v>
      </c>
      <c r="B23" s="1738"/>
      <c r="C23" s="468"/>
      <c r="D23" s="468"/>
      <c r="E23" s="468"/>
      <c r="F23" s="468"/>
      <c r="G23" s="468"/>
      <c r="H23" s="468"/>
      <c r="I23" s="468"/>
      <c r="J23" s="468"/>
      <c r="K23" s="468"/>
      <c r="L23" s="468"/>
      <c r="M23" s="1685">
        <f>SUM(M15:M22)</f>
        <v>25192657</v>
      </c>
      <c r="N23" s="1685">
        <f>SUM(N21:N22)</f>
        <v>4612962</v>
      </c>
    </row>
    <row r="24" spans="1:14" ht="18" customHeight="1" thickTop="1" x14ac:dyDescent="0.2">
      <c r="A24" s="2238" t="s">
        <v>598</v>
      </c>
      <c r="B24" s="223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247299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247299</v>
      </c>
      <c r="M34" s="468"/>
      <c r="N34" s="478"/>
    </row>
    <row r="35" spans="1:14" ht="18" customHeight="1" thickTop="1" x14ac:dyDescent="0.2">
      <c r="A35" s="2240" t="s">
        <v>529</v>
      </c>
      <c r="B35" s="224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4612962</v>
      </c>
    </row>
    <row r="37" spans="1:14" ht="13.5" thickBot="1" x14ac:dyDescent="0.25">
      <c r="A37" s="1733" t="s">
        <v>653</v>
      </c>
      <c r="B37" s="1738"/>
      <c r="C37" s="475"/>
      <c r="D37" s="475"/>
      <c r="E37" s="475"/>
      <c r="F37" s="475"/>
      <c r="G37" s="475"/>
      <c r="H37" s="475"/>
      <c r="I37" s="475"/>
      <c r="J37" s="475"/>
      <c r="K37" s="475"/>
      <c r="L37" s="478"/>
      <c r="M37" s="468"/>
      <c r="N37" s="1685">
        <f>SUM(N36:N36)</f>
        <v>4612962</v>
      </c>
    </row>
    <row r="38" spans="1:14" s="329" customFormat="1" ht="13.5" customHeight="1" thickTop="1" x14ac:dyDescent="0.2">
      <c r="A38" s="493" t="s">
        <v>420</v>
      </c>
      <c r="B38" s="481">
        <v>714</v>
      </c>
      <c r="C38" s="465">
        <v>23057</v>
      </c>
      <c r="D38" s="465">
        <v>34002</v>
      </c>
      <c r="E38" s="465">
        <v>164250</v>
      </c>
      <c r="F38" s="465">
        <v>0</v>
      </c>
      <c r="G38" s="465">
        <v>117347</v>
      </c>
      <c r="H38" s="465">
        <v>215170</v>
      </c>
      <c r="I38" s="465">
        <v>0</v>
      </c>
      <c r="J38" s="465">
        <v>0</v>
      </c>
      <c r="K38" s="465">
        <v>0</v>
      </c>
      <c r="L38" s="465">
        <v>713875</v>
      </c>
      <c r="M38" s="494"/>
      <c r="N38" s="494"/>
    </row>
    <row r="39" spans="1:14" s="329" customFormat="1" ht="13.5" customHeight="1" x14ac:dyDescent="0.2">
      <c r="A39" s="493" t="s">
        <v>342</v>
      </c>
      <c r="B39" s="481">
        <v>730</v>
      </c>
      <c r="C39" s="465">
        <v>1828769</v>
      </c>
      <c r="D39" s="465">
        <v>1990266</v>
      </c>
      <c r="E39" s="465">
        <v>82638</v>
      </c>
      <c r="F39" s="465">
        <v>685947</v>
      </c>
      <c r="G39" s="465">
        <v>433897</v>
      </c>
      <c r="H39" s="465">
        <v>163509</v>
      </c>
      <c r="I39" s="465">
        <v>1867074</v>
      </c>
      <c r="J39" s="465">
        <v>721593</v>
      </c>
      <c r="K39" s="465">
        <v>1765162</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25192657</v>
      </c>
      <c r="N40" s="494"/>
    </row>
    <row r="41" spans="1:14" ht="13.5" customHeight="1" thickBot="1" x14ac:dyDescent="0.25">
      <c r="A41" s="1733" t="s">
        <v>655</v>
      </c>
      <c r="B41" s="1703"/>
      <c r="C41" s="1685">
        <f>(SUM(C34,C37,C38,C39))</f>
        <v>1851826</v>
      </c>
      <c r="D41" s="1685">
        <f t="shared" ref="D41:L41" si="2">SUM(D34,D37,D38:D39)</f>
        <v>2024268</v>
      </c>
      <c r="E41" s="1685">
        <f t="shared" si="2"/>
        <v>246888</v>
      </c>
      <c r="F41" s="1685">
        <f t="shared" si="2"/>
        <v>685947</v>
      </c>
      <c r="G41" s="1685">
        <f t="shared" si="2"/>
        <v>551244</v>
      </c>
      <c r="H41" s="1685">
        <f t="shared" si="2"/>
        <v>378679</v>
      </c>
      <c r="I41" s="1685">
        <f t="shared" si="2"/>
        <v>1867074</v>
      </c>
      <c r="J41" s="1685">
        <f t="shared" si="2"/>
        <v>721593</v>
      </c>
      <c r="K41" s="1685">
        <f t="shared" si="2"/>
        <v>1765162</v>
      </c>
      <c r="L41" s="1685">
        <f t="shared" si="2"/>
        <v>961174</v>
      </c>
      <c r="M41" s="1685">
        <f>SUM(M40)</f>
        <v>25192657</v>
      </c>
      <c r="N41" s="1685">
        <f>SUM(N37)</f>
        <v>4612962</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5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5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62" t="s">
        <v>1175</v>
      </c>
      <c r="B3" s="2263"/>
      <c r="C3" s="1570"/>
      <c r="D3" s="1571"/>
      <c r="E3" s="1571"/>
      <c r="F3" s="1571"/>
      <c r="G3" s="1571"/>
      <c r="H3" s="1571"/>
      <c r="I3" s="1571"/>
      <c r="J3" s="1571"/>
      <c r="K3" s="1572"/>
      <c r="L3" s="503"/>
    </row>
    <row r="4" spans="1:13" ht="15.75" customHeight="1" x14ac:dyDescent="0.2">
      <c r="A4" s="1925" t="s">
        <v>1499</v>
      </c>
      <c r="B4" s="1926">
        <v>1000</v>
      </c>
      <c r="C4" s="1739">
        <f>'Revenues 9-14'!C109</f>
        <v>5337682</v>
      </c>
      <c r="D4" s="1739">
        <f>'Revenues 9-14'!D109</f>
        <v>1711211</v>
      </c>
      <c r="E4" s="1739">
        <f>'Revenues 9-14'!E109</f>
        <v>610731</v>
      </c>
      <c r="F4" s="1739">
        <f>'Revenues 9-14'!F109</f>
        <v>458949</v>
      </c>
      <c r="G4" s="1739">
        <f>'Revenues 9-14'!G109</f>
        <v>528100</v>
      </c>
      <c r="H4" s="1739">
        <f>'Revenues 9-14'!H109</f>
        <v>160890</v>
      </c>
      <c r="I4" s="1739">
        <f>'Revenues 9-14'!I109</f>
        <v>95931</v>
      </c>
      <c r="J4" s="1739">
        <f>'Revenues 9-14'!J109</f>
        <v>646812</v>
      </c>
      <c r="K4" s="1739">
        <f>'Revenues 9-14'!K109</f>
        <v>112479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4182512</v>
      </c>
      <c r="D6" s="1740">
        <f>'Revenues 9-14'!D170</f>
        <v>0</v>
      </c>
      <c r="E6" s="1740">
        <f>'Revenues 9-14'!E170</f>
        <v>0</v>
      </c>
      <c r="F6" s="1740">
        <f>'Revenues 9-14'!F170</f>
        <v>582735</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999662</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10519856</v>
      </c>
      <c r="D8" s="1685">
        <f t="shared" ref="D8:K8" si="0">SUM(D4:D7)</f>
        <v>1711211</v>
      </c>
      <c r="E8" s="1685">
        <f t="shared" si="0"/>
        <v>610731</v>
      </c>
      <c r="F8" s="1685">
        <f t="shared" si="0"/>
        <v>1041684</v>
      </c>
      <c r="G8" s="1685">
        <f t="shared" si="0"/>
        <v>528100</v>
      </c>
      <c r="H8" s="1685">
        <f t="shared" si="0"/>
        <v>160890</v>
      </c>
      <c r="I8" s="1685">
        <f t="shared" si="0"/>
        <v>95931</v>
      </c>
      <c r="J8" s="1685">
        <f t="shared" si="0"/>
        <v>646812</v>
      </c>
      <c r="K8" s="1685">
        <f t="shared" si="0"/>
        <v>112479</v>
      </c>
      <c r="L8" s="347"/>
    </row>
    <row r="9" spans="1:13" ht="15.75" thickTop="1" x14ac:dyDescent="0.2">
      <c r="A9" s="511" t="s">
        <v>1653</v>
      </c>
      <c r="B9" s="512">
        <v>3998</v>
      </c>
      <c r="C9" s="465">
        <v>3852907</v>
      </c>
      <c r="D9" s="513"/>
      <c r="E9" s="479"/>
      <c r="F9" s="479"/>
      <c r="G9" s="514"/>
      <c r="H9" s="479"/>
      <c r="I9" s="506" t="s">
        <v>1169</v>
      </c>
      <c r="J9" s="476"/>
      <c r="K9" s="479"/>
      <c r="L9" s="347"/>
    </row>
    <row r="10" spans="1:13" s="516" customFormat="1" ht="13.5" thickBot="1" x14ac:dyDescent="0.25">
      <c r="A10" s="1733" t="s">
        <v>1173</v>
      </c>
      <c r="B10" s="1706"/>
      <c r="C10" s="1685">
        <f>SUM(C8:C9)</f>
        <v>14372763</v>
      </c>
      <c r="D10" s="1685">
        <f t="shared" ref="D10:K10" si="1">SUM(D8:D9)</f>
        <v>1711211</v>
      </c>
      <c r="E10" s="1685">
        <f t="shared" si="1"/>
        <v>610731</v>
      </c>
      <c r="F10" s="1685">
        <f t="shared" si="1"/>
        <v>1041684</v>
      </c>
      <c r="G10" s="1685">
        <f t="shared" si="1"/>
        <v>528100</v>
      </c>
      <c r="H10" s="1685">
        <f t="shared" si="1"/>
        <v>160890</v>
      </c>
      <c r="I10" s="1685">
        <f t="shared" si="1"/>
        <v>95931</v>
      </c>
      <c r="J10" s="1685">
        <f t="shared" si="1"/>
        <v>646812</v>
      </c>
      <c r="K10" s="1685">
        <f t="shared" si="1"/>
        <v>112479</v>
      </c>
      <c r="L10" s="515"/>
    </row>
    <row r="11" spans="1:13" s="516" customFormat="1" ht="16.7" customHeight="1" thickTop="1" x14ac:dyDescent="0.2">
      <c r="A11" s="2236" t="s">
        <v>1176</v>
      </c>
      <c r="B11" s="2237"/>
      <c r="C11" s="1567"/>
      <c r="D11" s="1568"/>
      <c r="E11" s="1568"/>
      <c r="F11" s="1568"/>
      <c r="G11" s="1568"/>
      <c r="H11" s="1568"/>
      <c r="I11" s="1568"/>
      <c r="J11" s="1568"/>
      <c r="K11" s="1569"/>
      <c r="L11" s="515"/>
    </row>
    <row r="12" spans="1:13" ht="15.75" customHeight="1" x14ac:dyDescent="0.2">
      <c r="A12" s="1573" t="s">
        <v>456</v>
      </c>
      <c r="B12" s="1575">
        <v>1000</v>
      </c>
      <c r="C12" s="1739">
        <f>'Expenditures 15-22'!K33</f>
        <v>6955419</v>
      </c>
      <c r="D12" s="517" t="s">
        <v>1169</v>
      </c>
      <c r="E12" s="468" t="s">
        <v>1169</v>
      </c>
      <c r="F12" s="468" t="s">
        <v>1169</v>
      </c>
      <c r="G12" s="1739">
        <f>'Expenditures 15-22'!K229</f>
        <v>173738</v>
      </c>
      <c r="H12" s="518"/>
      <c r="I12" s="468" t="s">
        <v>1169</v>
      </c>
      <c r="J12" s="468" t="s">
        <v>1169</v>
      </c>
      <c r="K12" s="518" t="s">
        <v>1169</v>
      </c>
      <c r="L12" s="347"/>
    </row>
    <row r="13" spans="1:13" ht="15.75" customHeight="1" x14ac:dyDescent="0.2">
      <c r="A13" s="1573" t="s">
        <v>457</v>
      </c>
      <c r="B13" s="1575">
        <v>2000</v>
      </c>
      <c r="C13" s="1740">
        <f>'Expenditures 15-22'!K74</f>
        <v>2878947</v>
      </c>
      <c r="D13" s="1740">
        <f>'Expenditures 15-22'!K129</f>
        <v>1321296</v>
      </c>
      <c r="E13" s="469" t="s">
        <v>1169</v>
      </c>
      <c r="F13" s="1740">
        <f>'Expenditures 15-22'!K184</f>
        <v>955245</v>
      </c>
      <c r="G13" s="1740">
        <f>'Expenditures 15-22'!K279</f>
        <v>260952</v>
      </c>
      <c r="H13" s="1740">
        <f>'Expenditures 15-22'!K303</f>
        <v>0</v>
      </c>
      <c r="I13" s="468" t="s">
        <v>1169</v>
      </c>
      <c r="J13" s="1740">
        <f>'Expenditures 15-22'!K330</f>
        <v>601107</v>
      </c>
      <c r="K13" s="1744">
        <f>'Expenditures 15-22'!K352</f>
        <v>1491041</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465183</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595976</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10299549</v>
      </c>
      <c r="D17" s="1685">
        <f t="shared" si="2"/>
        <v>1321296</v>
      </c>
      <c r="E17" s="1685">
        <f t="shared" si="2"/>
        <v>595976</v>
      </c>
      <c r="F17" s="1685">
        <f t="shared" si="2"/>
        <v>955245</v>
      </c>
      <c r="G17" s="1685">
        <f t="shared" si="2"/>
        <v>434690</v>
      </c>
      <c r="H17" s="1685">
        <f t="shared" si="2"/>
        <v>0</v>
      </c>
      <c r="I17" s="468"/>
      <c r="J17" s="1685">
        <f>SUM(J12:J16)</f>
        <v>601107</v>
      </c>
      <c r="K17" s="1685">
        <f>SUM(K12:K16)</f>
        <v>1491041</v>
      </c>
      <c r="L17" s="347"/>
    </row>
    <row r="18" spans="1:12" ht="15" customHeight="1" thickTop="1" x14ac:dyDescent="0.2">
      <c r="A18" s="1741" t="s">
        <v>1654</v>
      </c>
      <c r="B18" s="1742">
        <v>4180</v>
      </c>
      <c r="C18" s="1739">
        <f t="shared" ref="C18:H18" si="3">C9</f>
        <v>3852907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14152456</v>
      </c>
      <c r="D19" s="1685">
        <f t="shared" si="4"/>
        <v>1321296</v>
      </c>
      <c r="E19" s="1685">
        <f t="shared" si="4"/>
        <v>595976</v>
      </c>
      <c r="F19" s="1685">
        <f t="shared" si="4"/>
        <v>955245</v>
      </c>
      <c r="G19" s="1685">
        <f t="shared" si="4"/>
        <v>434690</v>
      </c>
      <c r="H19" s="1685">
        <f t="shared" si="4"/>
        <v>0</v>
      </c>
      <c r="I19" s="468"/>
      <c r="J19" s="1685">
        <f>SUM(J17:J18)</f>
        <v>601107</v>
      </c>
      <c r="K19" s="1685">
        <f>SUM(K17:K18)</f>
        <v>1491041</v>
      </c>
      <c r="L19" s="347"/>
    </row>
    <row r="20" spans="1:12" ht="16.5" thickTop="1" thickBot="1" x14ac:dyDescent="0.25">
      <c r="A20" s="2252" t="s">
        <v>1655</v>
      </c>
      <c r="B20" s="2253"/>
      <c r="C20" s="1743">
        <f>C8-C17</f>
        <v>220307</v>
      </c>
      <c r="D20" s="1743">
        <f t="shared" ref="D20:K20" si="5">D8-D17</f>
        <v>389915</v>
      </c>
      <c r="E20" s="1743">
        <f t="shared" si="5"/>
        <v>14755</v>
      </c>
      <c r="F20" s="1743">
        <f t="shared" si="5"/>
        <v>86439</v>
      </c>
      <c r="G20" s="1743">
        <f t="shared" si="5"/>
        <v>93410</v>
      </c>
      <c r="H20" s="1743">
        <f t="shared" si="5"/>
        <v>160890</v>
      </c>
      <c r="I20" s="1743">
        <f t="shared" si="5"/>
        <v>95931</v>
      </c>
      <c r="J20" s="1743">
        <f t="shared" si="5"/>
        <v>45705</v>
      </c>
      <c r="K20" s="1743">
        <f t="shared" si="5"/>
        <v>-1378562</v>
      </c>
      <c r="L20" s="347"/>
    </row>
    <row r="21" spans="1:12" ht="16.7" customHeight="1" thickTop="1" x14ac:dyDescent="0.2">
      <c r="A21" s="2264" t="s">
        <v>595</v>
      </c>
      <c r="B21" s="2265"/>
      <c r="C21" s="1567"/>
      <c r="D21" s="1568"/>
      <c r="E21" s="1568"/>
      <c r="F21" s="1568"/>
      <c r="G21" s="1568"/>
      <c r="H21" s="1568"/>
      <c r="I21" s="1568"/>
      <c r="J21" s="1568"/>
      <c r="K21" s="1569"/>
      <c r="L21" s="521"/>
    </row>
    <row r="22" spans="1:12" ht="15.75" customHeight="1" collapsed="1" x14ac:dyDescent="0.2">
      <c r="A22" s="2260" t="s">
        <v>596</v>
      </c>
      <c r="B22" s="2261"/>
      <c r="C22" s="475"/>
      <c r="D22" s="475"/>
      <c r="E22" s="475"/>
      <c r="F22" s="475"/>
      <c r="G22" s="475"/>
      <c r="H22" s="475"/>
      <c r="I22" s="475"/>
      <c r="J22" s="475"/>
      <c r="K22" s="475"/>
      <c r="L22" s="347"/>
    </row>
    <row r="23" spans="1:12" s="483" customFormat="1" ht="15.75" customHeight="1" x14ac:dyDescent="0.2">
      <c r="A23" s="2256" t="s">
        <v>293</v>
      </c>
      <c r="B23" s="225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1792</v>
      </c>
      <c r="B30" s="524">
        <v>7160</v>
      </c>
      <c r="C30" s="475"/>
      <c r="D30" s="467">
        <v>0</v>
      </c>
      <c r="E30" s="475"/>
      <c r="F30" s="475"/>
      <c r="G30" s="475"/>
      <c r="H30" s="475"/>
      <c r="I30" s="475"/>
      <c r="J30" s="475"/>
      <c r="K30" s="475"/>
      <c r="L30" s="521"/>
    </row>
    <row r="31" spans="1:12" s="483" customFormat="1" ht="26.25" x14ac:dyDescent="0.2">
      <c r="A31" s="1486" t="s">
        <v>1796</v>
      </c>
      <c r="B31" s="524">
        <v>7170</v>
      </c>
      <c r="C31" s="475"/>
      <c r="D31" s="475"/>
      <c r="E31" s="473">
        <v>0</v>
      </c>
      <c r="F31" s="475"/>
      <c r="G31" s="475"/>
      <c r="H31" s="475"/>
      <c r="I31" s="475"/>
      <c r="J31" s="475"/>
      <c r="K31" s="475"/>
      <c r="L31" s="521"/>
    </row>
    <row r="32" spans="1:12" s="483" customFormat="1" ht="15.75" customHeight="1" x14ac:dyDescent="0.2">
      <c r="A32" s="2258" t="s">
        <v>981</v>
      </c>
      <c r="B32" s="225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1115</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66" t="s">
        <v>374</v>
      </c>
      <c r="B44" s="2267"/>
      <c r="C44" s="1700">
        <f>SUM(C24:C43)</f>
        <v>0</v>
      </c>
      <c r="D44" s="1700">
        <f t="shared" ref="D44:K44" si="6">SUM(D24:D43)</f>
        <v>1115</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60" t="s">
        <v>108</v>
      </c>
      <c r="B45" s="2261"/>
      <c r="C45" s="525"/>
      <c r="D45" s="525"/>
      <c r="E45" s="525"/>
      <c r="F45" s="525"/>
      <c r="G45" s="525"/>
      <c r="H45" s="525"/>
      <c r="I45" s="525"/>
      <c r="J45" s="525"/>
      <c r="K45" s="525"/>
      <c r="L45" s="347"/>
    </row>
    <row r="46" spans="1:12" s="483" customFormat="1" ht="15.75" customHeight="1" x14ac:dyDescent="0.2">
      <c r="A46" s="2268" t="s">
        <v>109</v>
      </c>
      <c r="B46" s="226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1795</v>
      </c>
      <c r="B52" s="481">
        <v>8160</v>
      </c>
      <c r="C52" s="475"/>
      <c r="D52" s="475"/>
      <c r="E52" s="475"/>
      <c r="F52" s="475"/>
      <c r="G52" s="475"/>
      <c r="H52" s="475"/>
      <c r="I52" s="475"/>
      <c r="J52" s="475"/>
      <c r="K52" s="1740">
        <f>D30</f>
        <v>0</v>
      </c>
      <c r="L52" s="521"/>
    </row>
    <row r="53" spans="1:12" s="483" customFormat="1" ht="26.25" x14ac:dyDescent="0.2">
      <c r="A53" s="1487" t="s">
        <v>1794</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42" t="s">
        <v>440</v>
      </c>
      <c r="B76" s="2243"/>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44" t="s">
        <v>1177</v>
      </c>
      <c r="B77" s="2245"/>
      <c r="C77" s="1700">
        <f t="shared" ref="C77:K77" si="8">C44-C76</f>
        <v>0</v>
      </c>
      <c r="D77" s="1700">
        <f t="shared" si="8"/>
        <v>1115</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248" t="s">
        <v>597</v>
      </c>
      <c r="B78" s="2249"/>
      <c r="C78" s="1699">
        <f t="shared" ref="C78:K78" si="9">C20+C77</f>
        <v>220307</v>
      </c>
      <c r="D78" s="1699">
        <f t="shared" si="9"/>
        <v>391030</v>
      </c>
      <c r="E78" s="1699">
        <f t="shared" si="9"/>
        <v>14755</v>
      </c>
      <c r="F78" s="1699">
        <f t="shared" si="9"/>
        <v>86439</v>
      </c>
      <c r="G78" s="1699">
        <f t="shared" si="9"/>
        <v>93410</v>
      </c>
      <c r="H78" s="1699">
        <f t="shared" si="9"/>
        <v>160890</v>
      </c>
      <c r="I78" s="1699">
        <f t="shared" si="9"/>
        <v>95931</v>
      </c>
      <c r="J78" s="1699">
        <f t="shared" si="9"/>
        <v>45705</v>
      </c>
      <c r="K78" s="1699">
        <f t="shared" si="9"/>
        <v>-1378562</v>
      </c>
      <c r="L78" s="530"/>
    </row>
    <row r="79" spans="1:12" ht="13.5" thickTop="1" x14ac:dyDescent="0.2">
      <c r="A79" s="1491" t="s">
        <v>1947</v>
      </c>
      <c r="B79" s="531"/>
      <c r="C79" s="476">
        <v>1631519</v>
      </c>
      <c r="D79" s="476">
        <v>1633238</v>
      </c>
      <c r="E79" s="476">
        <v>232133</v>
      </c>
      <c r="F79" s="476">
        <v>599508</v>
      </c>
      <c r="G79" s="476">
        <v>457834</v>
      </c>
      <c r="H79" s="476">
        <v>217789</v>
      </c>
      <c r="I79" s="476">
        <v>1771143</v>
      </c>
      <c r="J79" s="476">
        <v>675888</v>
      </c>
      <c r="K79" s="476">
        <v>3143724</v>
      </c>
      <c r="L79" s="347"/>
    </row>
    <row r="80" spans="1:12" x14ac:dyDescent="0.2">
      <c r="A80" s="2254" t="s">
        <v>1793</v>
      </c>
      <c r="B80" s="2255"/>
      <c r="C80" s="467">
        <v>0</v>
      </c>
      <c r="D80" s="467">
        <v>0</v>
      </c>
      <c r="E80" s="467">
        <v>0</v>
      </c>
      <c r="F80" s="467">
        <v>0</v>
      </c>
      <c r="G80" s="467">
        <v>0</v>
      </c>
      <c r="H80" s="467">
        <v>0</v>
      </c>
      <c r="I80" s="467">
        <v>0</v>
      </c>
      <c r="J80" s="467">
        <v>0</v>
      </c>
      <c r="K80" s="467">
        <v>0</v>
      </c>
      <c r="L80" s="347"/>
    </row>
    <row r="81" spans="1:12" ht="13.5" thickBot="1" x14ac:dyDescent="0.25">
      <c r="A81" s="2246" t="s">
        <v>1948</v>
      </c>
      <c r="B81" s="2247"/>
      <c r="C81" s="1685">
        <f>(SUM(C78:C80))</f>
        <v>1851826</v>
      </c>
      <c r="D81" s="1685">
        <f>SUM(D78:D80)</f>
        <v>2024268</v>
      </c>
      <c r="E81" s="1685">
        <f t="shared" ref="E81:K81" si="10">SUM(E78:E80)</f>
        <v>246888</v>
      </c>
      <c r="F81" s="1685">
        <f t="shared" si="10"/>
        <v>685947</v>
      </c>
      <c r="G81" s="1685">
        <f t="shared" si="10"/>
        <v>551244</v>
      </c>
      <c r="H81" s="1685">
        <f t="shared" si="10"/>
        <v>378679</v>
      </c>
      <c r="I81" s="1685">
        <f t="shared" si="10"/>
        <v>1867074</v>
      </c>
      <c r="J81" s="1685">
        <f t="shared" si="10"/>
        <v>721593</v>
      </c>
      <c r="K81" s="1685">
        <f t="shared" si="10"/>
        <v>1765162</v>
      </c>
      <c r="L81" s="347"/>
    </row>
    <row r="82" spans="1:12" ht="0.75" customHeight="1" thickTop="1" thickBot="1" x14ac:dyDescent="0.25">
      <c r="A82" s="533" t="s">
        <v>343</v>
      </c>
      <c r="B82" s="534"/>
      <c r="C82" s="535">
        <f>(C81-C79)</f>
        <v>220307</v>
      </c>
      <c r="D82" s="535">
        <f t="shared" ref="D82:K82" si="11">(D81-D79)</f>
        <v>391030</v>
      </c>
      <c r="E82" s="535">
        <f t="shared" si="11"/>
        <v>14755</v>
      </c>
      <c r="F82" s="535">
        <f t="shared" si="11"/>
        <v>86439</v>
      </c>
      <c r="G82" s="535">
        <f t="shared" si="11"/>
        <v>93410</v>
      </c>
      <c r="H82" s="535">
        <f t="shared" si="11"/>
        <v>160890</v>
      </c>
      <c r="I82" s="535">
        <f t="shared" si="11"/>
        <v>95931</v>
      </c>
      <c r="J82" s="535">
        <f t="shared" si="11"/>
        <v>45705</v>
      </c>
      <c r="K82" s="535">
        <f t="shared" si="11"/>
        <v>-1378562</v>
      </c>
    </row>
    <row r="83" spans="1:12" ht="14.25" hidden="1" thickTop="1" thickBot="1" x14ac:dyDescent="0.25">
      <c r="A83" s="536" t="s">
        <v>344</v>
      </c>
      <c r="B83" s="464"/>
      <c r="C83" s="537">
        <f>C82/C81</f>
        <v>0.11896744078547336</v>
      </c>
      <c r="D83" s="537">
        <f t="shared" ref="D83:K83" si="12">D82/D81</f>
        <v>0.19317106232969153</v>
      </c>
      <c r="E83" s="537">
        <f t="shared" si="12"/>
        <v>5.9763941544343994E-2</v>
      </c>
      <c r="F83" s="537">
        <f t="shared" si="12"/>
        <v>0.12601410896177109</v>
      </c>
      <c r="G83" s="537">
        <f t="shared" si="12"/>
        <v>0.16945309155292393</v>
      </c>
      <c r="H83" s="537">
        <f t="shared" si="12"/>
        <v>0.424871725128671</v>
      </c>
      <c r="I83" s="537">
        <f t="shared" si="12"/>
        <v>5.1380395206617413E-2</v>
      </c>
      <c r="J83" s="537">
        <f t="shared" si="12"/>
        <v>6.3339029064860664E-2</v>
      </c>
      <c r="K83" s="537">
        <f t="shared" si="12"/>
        <v>-0.78098327518947275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50" t="s">
        <v>1800</v>
      </c>
      <c r="B1" s="452"/>
      <c r="C1" s="453" t="s">
        <v>425</v>
      </c>
      <c r="D1" s="453" t="s">
        <v>426</v>
      </c>
      <c r="E1" s="453" t="s">
        <v>427</v>
      </c>
      <c r="F1" s="453" t="s">
        <v>428</v>
      </c>
      <c r="G1" s="453" t="s">
        <v>429</v>
      </c>
      <c r="H1" s="453" t="s">
        <v>430</v>
      </c>
      <c r="I1" s="453" t="s">
        <v>431</v>
      </c>
      <c r="J1" s="453" t="s">
        <v>432</v>
      </c>
      <c r="K1" s="453" t="s">
        <v>756</v>
      </c>
    </row>
    <row r="2" spans="1:12" ht="36" x14ac:dyDescent="0.2">
      <c r="A2" s="225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4018132</v>
      </c>
      <c r="D5" s="479">
        <v>1041818</v>
      </c>
      <c r="E5" s="466">
        <v>398825</v>
      </c>
      <c r="F5" s="545">
        <v>297748</v>
      </c>
      <c r="G5" s="466">
        <v>222929</v>
      </c>
      <c r="H5" s="466">
        <v>0</v>
      </c>
      <c r="I5" s="466">
        <v>74437</v>
      </c>
      <c r="J5" s="467">
        <v>535743</v>
      </c>
      <c r="K5" s="466">
        <v>74437</v>
      </c>
    </row>
    <row r="6" spans="1:12" ht="15" x14ac:dyDescent="0.2">
      <c r="A6" s="463" t="s">
        <v>1662</v>
      </c>
      <c r="B6" s="470">
        <v>1130</v>
      </c>
      <c r="C6" s="466">
        <v>74437</v>
      </c>
      <c r="D6" s="466">
        <v>0</v>
      </c>
      <c r="E6" s="474"/>
      <c r="F6" s="474"/>
      <c r="G6" s="468"/>
      <c r="H6" s="468"/>
      <c r="I6" s="468"/>
      <c r="J6" s="468"/>
      <c r="K6" s="468"/>
    </row>
    <row r="7" spans="1:12" x14ac:dyDescent="0.2">
      <c r="A7" s="463" t="s">
        <v>110</v>
      </c>
      <c r="B7" s="546">
        <v>1140</v>
      </c>
      <c r="C7" s="466">
        <v>59581</v>
      </c>
      <c r="D7" s="466">
        <v>0</v>
      </c>
      <c r="E7" s="468"/>
      <c r="F7" s="467">
        <v>0</v>
      </c>
      <c r="G7" s="467">
        <v>0</v>
      </c>
      <c r="H7" s="467">
        <v>0</v>
      </c>
      <c r="I7" s="468"/>
      <c r="J7" s="468"/>
      <c r="K7" s="468"/>
    </row>
    <row r="8" spans="1:12" x14ac:dyDescent="0.2">
      <c r="A8" s="463" t="s">
        <v>413</v>
      </c>
      <c r="B8" s="470">
        <v>1150</v>
      </c>
      <c r="C8" s="474"/>
      <c r="D8" s="474"/>
      <c r="E8" s="475"/>
      <c r="F8" s="475"/>
      <c r="G8" s="479">
        <v>268474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4152150</v>
      </c>
      <c r="D12" s="1704">
        <f t="shared" si="0"/>
        <v>1041818</v>
      </c>
      <c r="E12" s="1704">
        <f t="shared" si="0"/>
        <v>398825</v>
      </c>
      <c r="F12" s="1704">
        <f t="shared" si="0"/>
        <v>297748</v>
      </c>
      <c r="G12" s="1704">
        <f t="shared" si="0"/>
        <v>491403</v>
      </c>
      <c r="H12" s="1704">
        <f t="shared" si="0"/>
        <v>0</v>
      </c>
      <c r="I12" s="1704">
        <f t="shared" si="0"/>
        <v>74437</v>
      </c>
      <c r="J12" s="1704">
        <f t="shared" si="0"/>
        <v>535743</v>
      </c>
      <c r="K12" s="1685">
        <f t="shared" si="0"/>
        <v>74437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808</v>
      </c>
      <c r="D14" s="466">
        <v>203</v>
      </c>
      <c r="E14" s="466">
        <v>78</v>
      </c>
      <c r="F14" s="466">
        <v>58</v>
      </c>
      <c r="G14" s="466">
        <v>96</v>
      </c>
      <c r="H14" s="466">
        <v>0</v>
      </c>
      <c r="I14" s="466">
        <v>14</v>
      </c>
      <c r="J14" s="467">
        <v>104</v>
      </c>
      <c r="K14" s="466">
        <v>14</v>
      </c>
    </row>
    <row r="15" spans="1:12" ht="12.75" customHeight="1" x14ac:dyDescent="0.2">
      <c r="A15" s="463" t="s">
        <v>95</v>
      </c>
      <c r="B15" s="470">
        <v>1220</v>
      </c>
      <c r="C15" s="548">
        <v>4253</v>
      </c>
      <c r="D15" s="466">
        <v>1067</v>
      </c>
      <c r="E15" s="466">
        <v>408</v>
      </c>
      <c r="F15" s="466">
        <v>305</v>
      </c>
      <c r="G15" s="466">
        <v>503</v>
      </c>
      <c r="H15" s="466">
        <v>0</v>
      </c>
      <c r="I15" s="466">
        <v>76</v>
      </c>
      <c r="J15" s="467">
        <v>549</v>
      </c>
      <c r="K15" s="466">
        <v>76</v>
      </c>
    </row>
    <row r="16" spans="1:12" ht="15" customHeight="1" x14ac:dyDescent="0.2">
      <c r="A16" s="463" t="s">
        <v>1663</v>
      </c>
      <c r="B16" s="546">
        <v>1230</v>
      </c>
      <c r="C16" s="548">
        <v>227821</v>
      </c>
      <c r="D16" s="466">
        <v>456416</v>
      </c>
      <c r="E16" s="466">
        <v>0</v>
      </c>
      <c r="F16" s="466">
        <v>100000</v>
      </c>
      <c r="G16" s="466">
        <v>20000</v>
      </c>
      <c r="H16" s="466">
        <v>0</v>
      </c>
      <c r="I16" s="466">
        <v>0</v>
      </c>
      <c r="J16" s="467">
        <v>0</v>
      </c>
      <c r="K16" s="466">
        <v>0</v>
      </c>
    </row>
    <row r="17" spans="1:11" ht="12.75" customHeight="1" x14ac:dyDescent="0.2">
      <c r="A17" s="463" t="s">
        <v>807</v>
      </c>
      <c r="B17" s="470">
        <v>1290</v>
      </c>
      <c r="C17" s="548">
        <v>32708</v>
      </c>
      <c r="D17" s="466">
        <v>8206</v>
      </c>
      <c r="E17" s="466">
        <v>3140</v>
      </c>
      <c r="F17" s="466">
        <v>2345</v>
      </c>
      <c r="G17" s="466">
        <v>3869</v>
      </c>
      <c r="H17" s="466">
        <v>0</v>
      </c>
      <c r="I17" s="466">
        <v>586</v>
      </c>
      <c r="J17" s="467">
        <v>4220</v>
      </c>
      <c r="K17" s="466">
        <v>586</v>
      </c>
    </row>
    <row r="18" spans="1:11" ht="12.75" customHeight="1" thickBot="1" x14ac:dyDescent="0.25">
      <c r="A18" s="1705" t="s">
        <v>537</v>
      </c>
      <c r="B18" s="1706"/>
      <c r="C18" s="1707">
        <f>SUM(C14:C17)</f>
        <v>265590</v>
      </c>
      <c r="D18" s="1707">
        <f t="shared" ref="D18:K18" si="1">SUM(D14:D17)</f>
        <v>465892</v>
      </c>
      <c r="E18" s="1707">
        <f t="shared" si="1"/>
        <v>3626</v>
      </c>
      <c r="F18" s="1707">
        <f t="shared" si="1"/>
        <v>102708</v>
      </c>
      <c r="G18" s="1707">
        <f t="shared" si="1"/>
        <v>24468</v>
      </c>
      <c r="H18" s="1707">
        <f t="shared" si="1"/>
        <v>0</v>
      </c>
      <c r="I18" s="1707">
        <f t="shared" si="1"/>
        <v>676</v>
      </c>
      <c r="J18" s="1707">
        <f t="shared" si="1"/>
        <v>4873</v>
      </c>
      <c r="K18" s="1708">
        <f t="shared" si="1"/>
        <v>676</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100818</v>
      </c>
      <c r="D65" s="466">
        <v>20208</v>
      </c>
      <c r="E65" s="466">
        <v>2530</v>
      </c>
      <c r="F65" s="467">
        <v>6737</v>
      </c>
      <c r="G65" s="466">
        <v>5640</v>
      </c>
      <c r="H65" s="466">
        <v>3896</v>
      </c>
      <c r="I65" s="466">
        <v>20818</v>
      </c>
      <c r="J65" s="467">
        <v>8516</v>
      </c>
      <c r="K65" s="466">
        <v>37366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100818</v>
      </c>
      <c r="D67" s="1685">
        <f t="shared" ref="D67:K67" si="2">SUM(D65:D66)</f>
        <v>20208</v>
      </c>
      <c r="E67" s="1685">
        <f t="shared" si="2"/>
        <v>2530</v>
      </c>
      <c r="F67" s="1685">
        <f t="shared" si="2"/>
        <v>6737</v>
      </c>
      <c r="G67" s="1685">
        <f t="shared" si="2"/>
        <v>5640</v>
      </c>
      <c r="H67" s="1685">
        <f t="shared" si="2"/>
        <v>3896</v>
      </c>
      <c r="I67" s="1685">
        <f t="shared" si="2"/>
        <v>20818</v>
      </c>
      <c r="J67" s="1685">
        <f t="shared" si="2"/>
        <v>8516</v>
      </c>
      <c r="K67" s="1685">
        <f t="shared" si="2"/>
        <v>37366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139269</v>
      </c>
      <c r="D69" s="468"/>
      <c r="E69" s="468"/>
      <c r="F69" s="468"/>
      <c r="G69" s="468"/>
      <c r="H69" s="468"/>
      <c r="I69" s="468"/>
      <c r="J69" s="468"/>
      <c r="K69" s="468"/>
    </row>
    <row r="70" spans="1:11" ht="12.75" customHeight="1" x14ac:dyDescent="0.2">
      <c r="A70" s="463" t="s">
        <v>997</v>
      </c>
      <c r="B70" s="470">
        <v>1612</v>
      </c>
      <c r="C70" s="548">
        <v>16718</v>
      </c>
      <c r="D70" s="468"/>
      <c r="E70" s="468"/>
      <c r="F70" s="468"/>
      <c r="G70" s="468"/>
      <c r="H70" s="468"/>
      <c r="I70" s="468"/>
      <c r="J70" s="468"/>
      <c r="K70" s="468"/>
    </row>
    <row r="71" spans="1:11" ht="12.75" customHeight="1" x14ac:dyDescent="0.2">
      <c r="A71" s="463" t="s">
        <v>273</v>
      </c>
      <c r="B71" s="470">
        <v>1613</v>
      </c>
      <c r="C71" s="548">
        <v>158049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6999</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321035</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40722</v>
      </c>
      <c r="D77" s="466">
        <v>0</v>
      </c>
      <c r="E77" s="468"/>
      <c r="F77" s="468"/>
      <c r="G77" s="468"/>
      <c r="H77" s="468"/>
      <c r="I77" s="468"/>
      <c r="J77" s="468"/>
      <c r="K77" s="468"/>
    </row>
    <row r="78" spans="1:11" ht="12.75" customHeight="1" x14ac:dyDescent="0.2">
      <c r="A78" s="463" t="s">
        <v>76</v>
      </c>
      <c r="B78" s="470">
        <v>1719</v>
      </c>
      <c r="C78" s="548">
        <v>11423</v>
      </c>
      <c r="D78" s="466">
        <v>0</v>
      </c>
      <c r="E78" s="468"/>
      <c r="F78" s="468"/>
      <c r="G78" s="468"/>
      <c r="H78" s="468"/>
      <c r="I78" s="468"/>
      <c r="J78" s="468"/>
      <c r="K78" s="468"/>
    </row>
    <row r="79" spans="1:11" ht="12.75" customHeight="1" x14ac:dyDescent="0.2">
      <c r="A79" s="463" t="s">
        <v>550</v>
      </c>
      <c r="B79" s="470">
        <v>1720</v>
      </c>
      <c r="C79" s="548">
        <v>5671</v>
      </c>
      <c r="D79" s="466">
        <v>3212</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12455</v>
      </c>
      <c r="D81" s="466">
        <v>0</v>
      </c>
      <c r="E81" s="468"/>
      <c r="F81" s="468"/>
      <c r="G81" s="468"/>
      <c r="H81" s="468"/>
      <c r="I81" s="468"/>
      <c r="J81" s="468"/>
      <c r="K81" s="468"/>
    </row>
    <row r="82" spans="1:11" ht="12.75" customHeight="1" thickBot="1" x14ac:dyDescent="0.25">
      <c r="A82" s="1705" t="s">
        <v>241</v>
      </c>
      <c r="B82" s="1706"/>
      <c r="C82" s="1704">
        <f>SUM(C77:C81)</f>
        <v>70271</v>
      </c>
      <c r="D82" s="1685">
        <f>SUM(D77:D81)</f>
        <v>3212</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80942</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2195</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83137</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1665</v>
      </c>
      <c r="E95" s="518"/>
      <c r="F95" s="518"/>
      <c r="G95" s="518"/>
      <c r="H95" s="518"/>
      <c r="I95" s="518"/>
      <c r="J95" s="518"/>
      <c r="K95" s="518"/>
    </row>
    <row r="96" spans="1:11" ht="12.75" customHeight="1" x14ac:dyDescent="0.2">
      <c r="A96" s="463" t="s">
        <v>391</v>
      </c>
      <c r="B96" s="470">
        <v>1920</v>
      </c>
      <c r="C96" s="548">
        <v>108572</v>
      </c>
      <c r="D96" s="548">
        <v>171736</v>
      </c>
      <c r="E96" s="477">
        <v>0</v>
      </c>
      <c r="F96" s="476">
        <v>0</v>
      </c>
      <c r="G96" s="476">
        <v>0</v>
      </c>
      <c r="H96" s="476">
        <v>0</v>
      </c>
      <c r="I96" s="476">
        <v>0</v>
      </c>
      <c r="J96" s="476">
        <v>93870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74258</v>
      </c>
      <c r="D99" s="466">
        <v>0</v>
      </c>
      <c r="E99" s="466">
        <v>0</v>
      </c>
      <c r="F99" s="466">
        <v>50000</v>
      </c>
      <c r="G99" s="466">
        <v>382</v>
      </c>
      <c r="H99" s="466">
        <v>0</v>
      </c>
      <c r="I99" s="468"/>
      <c r="J99" s="467">
        <v>3810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6300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205750</v>
      </c>
      <c r="F103" s="468"/>
      <c r="G103" s="468"/>
      <c r="H103" s="486">
        <v>156994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155551</v>
      </c>
      <c r="D107" s="466">
        <v>6680</v>
      </c>
      <c r="E107" s="466">
        <v>0</v>
      </c>
      <c r="F107" s="466">
        <v>1756</v>
      </c>
      <c r="G107" s="466">
        <v>6207</v>
      </c>
      <c r="H107" s="466">
        <v>0</v>
      </c>
      <c r="I107" s="466">
        <v>0</v>
      </c>
      <c r="J107" s="467">
        <v>0</v>
      </c>
      <c r="K107" s="466">
        <v>0</v>
      </c>
    </row>
    <row r="108" spans="1:12" ht="12.75" customHeight="1" thickBot="1" x14ac:dyDescent="0.25">
      <c r="A108" s="1705" t="s">
        <v>487</v>
      </c>
      <c r="B108" s="1709"/>
      <c r="C108" s="1704">
        <f>SUM(C95:C107)</f>
        <v>344681</v>
      </c>
      <c r="D108" s="1704">
        <f t="shared" ref="D108:K108" si="3">SUM(D95:D107)</f>
        <v>180081</v>
      </c>
      <c r="E108" s="1704">
        <f t="shared" si="3"/>
        <v>205750</v>
      </c>
      <c r="F108" s="1704">
        <f t="shared" si="3"/>
        <v>51756</v>
      </c>
      <c r="G108" s="1704">
        <f t="shared" si="3"/>
        <v>6589</v>
      </c>
      <c r="H108" s="1704">
        <f t="shared" si="3"/>
        <v>156994</v>
      </c>
      <c r="I108" s="1704">
        <f t="shared" si="3"/>
        <v>0</v>
      </c>
      <c r="J108" s="1704">
        <f t="shared" si="3"/>
        <v>97680</v>
      </c>
      <c r="K108" s="1685">
        <f t="shared" si="3"/>
        <v>0</v>
      </c>
    </row>
    <row r="109" spans="1:12" ht="14.25" thickTop="1" thickBot="1" x14ac:dyDescent="0.25">
      <c r="A109" s="1710" t="s">
        <v>248</v>
      </c>
      <c r="B109" s="1711" t="s">
        <v>570</v>
      </c>
      <c r="C109" s="1712">
        <f t="shared" ref="C109:K109" si="4">SUM(C12,C18,C40,C63,C67,C75,C82,C93,C108,)</f>
        <v>5337682</v>
      </c>
      <c r="D109" s="1712">
        <f t="shared" si="4"/>
        <v>1711211</v>
      </c>
      <c r="E109" s="1712">
        <f t="shared" si="4"/>
        <v>610731</v>
      </c>
      <c r="F109" s="1712">
        <f t="shared" si="4"/>
        <v>458949</v>
      </c>
      <c r="G109" s="1712">
        <f t="shared" si="4"/>
        <v>528100</v>
      </c>
      <c r="H109" s="1712">
        <f t="shared" si="4"/>
        <v>160890</v>
      </c>
      <c r="I109" s="1712">
        <f t="shared" si="4"/>
        <v>95931</v>
      </c>
      <c r="J109" s="1712">
        <f t="shared" si="4"/>
        <v>646812</v>
      </c>
      <c r="K109" s="1699">
        <f t="shared" si="4"/>
        <v>112479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3732970</v>
      </c>
      <c r="D117" s="479">
        <v>0</v>
      </c>
      <c r="E117" s="466">
        <v>0</v>
      </c>
      <c r="F117" s="479">
        <v>0</v>
      </c>
      <c r="G117" s="479">
        <v>0</v>
      </c>
      <c r="H117" s="466">
        <v>0</v>
      </c>
      <c r="I117" s="468"/>
      <c r="J117" s="467">
        <v>0</v>
      </c>
      <c r="K117" s="466">
        <v>0</v>
      </c>
    </row>
    <row r="118" spans="1:11" ht="12.75" customHeight="1" x14ac:dyDescent="0.2">
      <c r="A118" s="463" t="s">
        <v>1797</v>
      </c>
      <c r="B118" s="559">
        <v>3002</v>
      </c>
      <c r="C118" s="548"/>
      <c r="D118" s="466"/>
      <c r="E118" s="466"/>
      <c r="F118" s="466"/>
      <c r="G118" s="466"/>
      <c r="H118" s="466"/>
      <c r="I118" s="468"/>
      <c r="J118" s="467"/>
      <c r="K118" s="466"/>
    </row>
    <row r="119" spans="1:11" ht="12.75" customHeight="1" x14ac:dyDescent="0.2">
      <c r="A119" s="463" t="s">
        <v>1798</v>
      </c>
      <c r="B119" s="559">
        <v>3005</v>
      </c>
      <c r="C119" s="548">
        <v>0</v>
      </c>
      <c r="D119" s="466">
        <v>0</v>
      </c>
      <c r="E119" s="466">
        <v>0</v>
      </c>
      <c r="F119" s="466">
        <v>0</v>
      </c>
      <c r="G119" s="479">
        <v>0</v>
      </c>
      <c r="H119" s="466">
        <v>0</v>
      </c>
      <c r="I119" s="468"/>
      <c r="J119" s="467">
        <v>0</v>
      </c>
      <c r="K119" s="466">
        <v>0</v>
      </c>
    </row>
    <row r="120" spans="1:11" ht="12.75" customHeight="1" x14ac:dyDescent="0.2">
      <c r="A120" s="1927" t="s">
        <v>1934</v>
      </c>
      <c r="B120" s="559">
        <v>3030</v>
      </c>
      <c r="C120" s="548">
        <v>0</v>
      </c>
      <c r="D120" s="466">
        <v>0</v>
      </c>
      <c r="E120" s="466">
        <v>0</v>
      </c>
      <c r="F120" s="466">
        <v>0</v>
      </c>
      <c r="G120" s="466">
        <v>0</v>
      </c>
      <c r="H120" s="466">
        <v>0</v>
      </c>
      <c r="I120" s="468"/>
      <c r="J120" s="467">
        <v>0</v>
      </c>
      <c r="K120" s="466">
        <v>0</v>
      </c>
    </row>
    <row r="121" spans="1:11" x14ac:dyDescent="0.2">
      <c r="A121" s="1493" t="s">
        <v>1799</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3732970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6393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18206</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24599</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22516</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26622</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49138</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4744</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17166</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482272</v>
      </c>
      <c r="G152" s="467">
        <v>0</v>
      </c>
      <c r="H152" s="468"/>
      <c r="I152" s="468"/>
      <c r="J152" s="468"/>
      <c r="K152" s="468"/>
    </row>
    <row r="153" spans="1:11" ht="12.75" customHeight="1" x14ac:dyDescent="0.2">
      <c r="A153" s="463" t="s">
        <v>1057</v>
      </c>
      <c r="B153" s="559">
        <v>3510</v>
      </c>
      <c r="C153" s="548">
        <v>0</v>
      </c>
      <c r="D153" s="466">
        <v>0</v>
      </c>
      <c r="E153" s="558"/>
      <c r="F153" s="466">
        <v>100463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582735</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350734</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3161</v>
      </c>
      <c r="D168" s="577">
        <v>0</v>
      </c>
      <c r="E168" s="577">
        <v>0</v>
      </c>
      <c r="F168" s="577">
        <v>0</v>
      </c>
      <c r="G168" s="578">
        <v>0</v>
      </c>
      <c r="H168" s="579">
        <v>0</v>
      </c>
      <c r="I168" s="578">
        <v>0</v>
      </c>
      <c r="J168" s="578">
        <v>0</v>
      </c>
      <c r="K168" s="579">
        <v>0</v>
      </c>
    </row>
    <row r="169" spans="1:11" ht="12.75" customHeight="1" thickTop="1" thickBot="1" x14ac:dyDescent="0.25">
      <c r="A169" s="2270" t="s">
        <v>398</v>
      </c>
      <c r="B169" s="2271"/>
      <c r="C169" s="1719">
        <f t="shared" ref="C169:K169" si="6">SUM(C132,C141,C145,C146:C150,C155,C156:C167,C168)</f>
        <v>449542</v>
      </c>
      <c r="D169" s="1719">
        <f t="shared" si="6"/>
        <v>0</v>
      </c>
      <c r="E169" s="1719">
        <f t="shared" si="6"/>
        <v>0</v>
      </c>
      <c r="F169" s="1719">
        <f t="shared" si="6"/>
        <v>582735</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4182512</v>
      </c>
      <c r="D170" s="1712">
        <f t="shared" si="7"/>
        <v>0</v>
      </c>
      <c r="E170" s="1712">
        <f t="shared" si="7"/>
        <v>0</v>
      </c>
      <c r="F170" s="1712">
        <f t="shared" si="7"/>
        <v>582735</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72" t="s">
        <v>1492</v>
      </c>
      <c r="B172" s="227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76" t="s">
        <v>1665</v>
      </c>
      <c r="B175" s="227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80" t="s">
        <v>1664</v>
      </c>
      <c r="B176" s="228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78" t="s">
        <v>785</v>
      </c>
      <c r="B181" s="227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74" t="s">
        <v>1801</v>
      </c>
      <c r="B182" s="227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220582</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60167</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280749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232828</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232828</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9186</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9186</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325045</v>
      </c>
      <c r="D213" s="466">
        <v>0</v>
      </c>
      <c r="E213" s="468"/>
      <c r="F213" s="466">
        <v>0</v>
      </c>
      <c r="G213" s="466">
        <v>0</v>
      </c>
      <c r="H213" s="468"/>
      <c r="I213" s="468"/>
      <c r="J213" s="468"/>
      <c r="K213" s="468"/>
    </row>
    <row r="214" spans="1:11" ht="12.75" customHeight="1" x14ac:dyDescent="0.2">
      <c r="A214" s="463" t="s">
        <v>1054</v>
      </c>
      <c r="B214" s="470">
        <v>4625</v>
      </c>
      <c r="C214" s="548">
        <v>12969</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338014</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38854</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1935</v>
      </c>
      <c r="B261" s="470">
        <v>4981</v>
      </c>
      <c r="C261" s="572">
        <v>0</v>
      </c>
      <c r="D261" s="573">
        <v>0</v>
      </c>
      <c r="E261" s="468"/>
      <c r="F261" s="573">
        <v>0</v>
      </c>
      <c r="G261" s="573">
        <v>0</v>
      </c>
      <c r="H261" s="468"/>
      <c r="I261" s="468"/>
      <c r="J261" s="468"/>
      <c r="K261" s="468"/>
    </row>
    <row r="262" spans="1:11" ht="12.75" customHeight="1" thickTop="1" thickBot="1" x14ac:dyDescent="0.25">
      <c r="A262" s="1928" t="s">
        <v>1936</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19869</v>
      </c>
      <c r="D263" s="573">
        <v>0</v>
      </c>
      <c r="E263" s="468"/>
      <c r="F263" s="573">
        <v>0</v>
      </c>
      <c r="G263" s="573">
        <v>0</v>
      </c>
      <c r="H263" s="468"/>
      <c r="I263" s="468"/>
      <c r="J263" s="468"/>
      <c r="K263" s="468"/>
    </row>
    <row r="264" spans="1:11" ht="12.75" customHeight="1" thickTop="1" thickBot="1" x14ac:dyDescent="0.25">
      <c r="A264" s="463" t="s">
        <v>377</v>
      </c>
      <c r="B264" s="470">
        <v>4992</v>
      </c>
      <c r="C264" s="572">
        <v>80162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999662</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999662</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10519856</v>
      </c>
      <c r="D268" s="1712">
        <f t="shared" si="12"/>
        <v>1711211</v>
      </c>
      <c r="E268" s="1712">
        <f t="shared" si="12"/>
        <v>610731</v>
      </c>
      <c r="F268" s="1712">
        <f t="shared" si="12"/>
        <v>1041684</v>
      </c>
      <c r="G268" s="1712">
        <f t="shared" si="12"/>
        <v>528100</v>
      </c>
      <c r="H268" s="1712">
        <f t="shared" si="12"/>
        <v>160890</v>
      </c>
      <c r="I268" s="1712">
        <f t="shared" si="12"/>
        <v>95931</v>
      </c>
      <c r="J268" s="1712">
        <f t="shared" si="12"/>
        <v>646812</v>
      </c>
      <c r="K268" s="1699">
        <f t="shared" si="12"/>
        <v>112479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50" t="s">
        <v>1800</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8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90" t="s">
        <v>297</v>
      </c>
      <c r="B3" s="229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3683125</v>
      </c>
      <c r="D5" s="466">
        <v>498795</v>
      </c>
      <c r="E5" s="466">
        <v>21652</v>
      </c>
      <c r="F5" s="466">
        <v>205001</v>
      </c>
      <c r="G5" s="466">
        <v>713</v>
      </c>
      <c r="H5" s="466">
        <v>0</v>
      </c>
      <c r="I5" s="467">
        <v>0</v>
      </c>
      <c r="J5" s="467">
        <v>0</v>
      </c>
      <c r="K5" s="1668">
        <f>SUM(C5:J5)</f>
        <v>4409286</v>
      </c>
      <c r="L5" s="471">
        <v>4475550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124113</v>
      </c>
      <c r="D7" s="467">
        <v>31976</v>
      </c>
      <c r="E7" s="467">
        <v>2861</v>
      </c>
      <c r="F7" s="467">
        <v>11787</v>
      </c>
      <c r="G7" s="467">
        <v>19434</v>
      </c>
      <c r="H7" s="467">
        <v>0</v>
      </c>
      <c r="I7" s="467">
        <v>0</v>
      </c>
      <c r="J7" s="467">
        <v>0</v>
      </c>
      <c r="K7" s="1668">
        <f t="shared" ref="K7:K32" si="0">SUM(C7:J7)</f>
        <v>190171</v>
      </c>
      <c r="L7" s="471">
        <v>195500</v>
      </c>
    </row>
    <row r="8" spans="1:14" x14ac:dyDescent="0.2">
      <c r="A8" s="1501" t="s">
        <v>164</v>
      </c>
      <c r="B8" s="611">
        <v>1200</v>
      </c>
      <c r="C8" s="466">
        <v>899705</v>
      </c>
      <c r="D8" s="466">
        <v>143962</v>
      </c>
      <c r="E8" s="466">
        <v>9531</v>
      </c>
      <c r="F8" s="466">
        <v>2757</v>
      </c>
      <c r="G8" s="466">
        <v>829</v>
      </c>
      <c r="H8" s="466">
        <v>0</v>
      </c>
      <c r="I8" s="467">
        <v>0</v>
      </c>
      <c r="J8" s="467">
        <v>0</v>
      </c>
      <c r="K8" s="1668">
        <f t="shared" si="0"/>
        <v>1056784</v>
      </c>
      <c r="L8" s="471">
        <v>1074350</v>
      </c>
    </row>
    <row r="9" spans="1:14" x14ac:dyDescent="0.2">
      <c r="A9" s="1501" t="s">
        <v>721</v>
      </c>
      <c r="B9" s="611" t="s">
        <v>968</v>
      </c>
      <c r="C9" s="467">
        <v>46936</v>
      </c>
      <c r="D9" s="467">
        <v>10560</v>
      </c>
      <c r="E9" s="467">
        <v>0</v>
      </c>
      <c r="F9" s="467">
        <v>0</v>
      </c>
      <c r="G9" s="467">
        <v>0</v>
      </c>
      <c r="H9" s="467">
        <v>0</v>
      </c>
      <c r="I9" s="467">
        <v>0</v>
      </c>
      <c r="J9" s="467">
        <v>0</v>
      </c>
      <c r="K9" s="1668">
        <f t="shared" si="0"/>
        <v>57496</v>
      </c>
      <c r="L9" s="471">
        <v>61075</v>
      </c>
    </row>
    <row r="10" spans="1:14" x14ac:dyDescent="0.2">
      <c r="A10" s="1501" t="s">
        <v>722</v>
      </c>
      <c r="B10" s="611">
        <v>1250</v>
      </c>
      <c r="C10" s="466">
        <v>116165</v>
      </c>
      <c r="D10" s="466">
        <v>40310</v>
      </c>
      <c r="E10" s="466">
        <v>0</v>
      </c>
      <c r="F10" s="466">
        <v>76985</v>
      </c>
      <c r="G10" s="466">
        <v>0</v>
      </c>
      <c r="H10" s="466">
        <v>0</v>
      </c>
      <c r="I10" s="467">
        <v>0</v>
      </c>
      <c r="J10" s="467">
        <v>0</v>
      </c>
      <c r="K10" s="1668">
        <f t="shared" si="0"/>
        <v>233460</v>
      </c>
      <c r="L10" s="471">
        <v>257800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244767</v>
      </c>
      <c r="D13" s="466">
        <v>33419</v>
      </c>
      <c r="E13" s="466">
        <v>2851</v>
      </c>
      <c r="F13" s="466">
        <v>12456</v>
      </c>
      <c r="G13" s="466">
        <v>12423</v>
      </c>
      <c r="H13" s="466">
        <v>0</v>
      </c>
      <c r="I13" s="467">
        <v>0</v>
      </c>
      <c r="J13" s="467">
        <v>0</v>
      </c>
      <c r="K13" s="1668">
        <f t="shared" si="0"/>
        <v>305916</v>
      </c>
      <c r="L13" s="471">
        <v>310440</v>
      </c>
    </row>
    <row r="14" spans="1:14" x14ac:dyDescent="0.2">
      <c r="A14" s="1501" t="s">
        <v>963</v>
      </c>
      <c r="B14" s="611">
        <v>1500</v>
      </c>
      <c r="C14" s="466">
        <v>410560</v>
      </c>
      <c r="D14" s="466">
        <v>26414</v>
      </c>
      <c r="E14" s="466">
        <v>76312</v>
      </c>
      <c r="F14" s="466">
        <v>43891</v>
      </c>
      <c r="G14" s="466">
        <v>23335</v>
      </c>
      <c r="H14" s="466">
        <v>0</v>
      </c>
      <c r="I14" s="467">
        <v>0</v>
      </c>
      <c r="J14" s="467">
        <v>0</v>
      </c>
      <c r="K14" s="1668">
        <f t="shared" si="0"/>
        <v>580512</v>
      </c>
      <c r="L14" s="471">
        <v>596600</v>
      </c>
    </row>
    <row r="15" spans="1:14" x14ac:dyDescent="0.2">
      <c r="A15" s="1501" t="s">
        <v>964</v>
      </c>
      <c r="B15" s="611">
        <v>1600</v>
      </c>
      <c r="C15" s="467">
        <v>14842</v>
      </c>
      <c r="D15" s="466">
        <v>176</v>
      </c>
      <c r="E15" s="466">
        <v>0</v>
      </c>
      <c r="F15" s="466">
        <v>3</v>
      </c>
      <c r="G15" s="466">
        <v>0</v>
      </c>
      <c r="H15" s="466">
        <v>0</v>
      </c>
      <c r="I15" s="467">
        <v>0</v>
      </c>
      <c r="J15" s="467">
        <v>0</v>
      </c>
      <c r="K15" s="1668">
        <f t="shared" si="0"/>
        <v>15021</v>
      </c>
      <c r="L15" s="471">
        <v>15675</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86051</v>
      </c>
      <c r="D17" s="467">
        <v>16599</v>
      </c>
      <c r="E17" s="467">
        <v>3433</v>
      </c>
      <c r="F17" s="467">
        <v>690</v>
      </c>
      <c r="G17" s="467">
        <v>0</v>
      </c>
      <c r="H17" s="467">
        <v>0</v>
      </c>
      <c r="I17" s="467">
        <v>0</v>
      </c>
      <c r="J17" s="467">
        <v>0</v>
      </c>
      <c r="K17" s="1668">
        <f t="shared" si="0"/>
        <v>106773</v>
      </c>
      <c r="L17" s="471">
        <v>107600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5000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5626264</v>
      </c>
      <c r="D33" s="1667">
        <f t="shared" ref="D33:L33" si="1">SUM(D5:D32)</f>
        <v>802211</v>
      </c>
      <c r="E33" s="1667">
        <f t="shared" si="1"/>
        <v>116640</v>
      </c>
      <c r="F33" s="1667">
        <f t="shared" si="1"/>
        <v>353570</v>
      </c>
      <c r="G33" s="1667">
        <f t="shared" si="1"/>
        <v>56734</v>
      </c>
      <c r="H33" s="1667">
        <f t="shared" si="1"/>
        <v>0</v>
      </c>
      <c r="I33" s="1667">
        <f t="shared" si="1"/>
        <v>0</v>
      </c>
      <c r="J33" s="1667">
        <f t="shared" si="1"/>
        <v>0</v>
      </c>
      <c r="K33" s="1667">
        <f t="shared" si="1"/>
        <v>6955419</v>
      </c>
      <c r="L33" s="1667">
        <f t="shared" si="1"/>
        <v>7099590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201840</v>
      </c>
      <c r="D37" s="466">
        <v>33493</v>
      </c>
      <c r="E37" s="466">
        <v>353</v>
      </c>
      <c r="F37" s="466">
        <v>378</v>
      </c>
      <c r="G37" s="466">
        <v>0</v>
      </c>
      <c r="H37" s="466">
        <v>0</v>
      </c>
      <c r="I37" s="467">
        <v>0</v>
      </c>
      <c r="J37" s="467">
        <v>0</v>
      </c>
      <c r="K37" s="1668">
        <f t="shared" si="2"/>
        <v>236064</v>
      </c>
      <c r="L37" s="466">
        <v>239850</v>
      </c>
    </row>
    <row r="38" spans="1:14" x14ac:dyDescent="0.2">
      <c r="A38" s="1501" t="s">
        <v>198</v>
      </c>
      <c r="B38" s="611">
        <v>2130</v>
      </c>
      <c r="C38" s="466">
        <v>73325</v>
      </c>
      <c r="D38" s="466">
        <v>17633</v>
      </c>
      <c r="E38" s="466">
        <v>1235</v>
      </c>
      <c r="F38" s="466">
        <v>953</v>
      </c>
      <c r="G38" s="466">
        <v>0</v>
      </c>
      <c r="H38" s="466">
        <v>0</v>
      </c>
      <c r="I38" s="467">
        <v>0</v>
      </c>
      <c r="J38" s="467">
        <v>0</v>
      </c>
      <c r="K38" s="1668">
        <f t="shared" si="2"/>
        <v>93146</v>
      </c>
      <c r="L38" s="466">
        <v>97250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83048</v>
      </c>
      <c r="D40" s="466">
        <v>10604</v>
      </c>
      <c r="E40" s="466">
        <v>743</v>
      </c>
      <c r="F40" s="466">
        <v>54</v>
      </c>
      <c r="G40" s="466">
        <v>0</v>
      </c>
      <c r="H40" s="466">
        <v>0</v>
      </c>
      <c r="I40" s="467">
        <v>0</v>
      </c>
      <c r="J40" s="467">
        <v>0</v>
      </c>
      <c r="K40" s="1668">
        <f t="shared" si="2"/>
        <v>94449</v>
      </c>
      <c r="L40" s="466">
        <v>99120</v>
      </c>
    </row>
    <row r="41" spans="1:14" x14ac:dyDescent="0.2">
      <c r="A41" s="1501" t="s">
        <v>1669</v>
      </c>
      <c r="B41" s="611">
        <v>2190</v>
      </c>
      <c r="C41" s="466">
        <v>3795</v>
      </c>
      <c r="D41" s="466">
        <v>74</v>
      </c>
      <c r="E41" s="466">
        <v>774</v>
      </c>
      <c r="F41" s="466">
        <v>0</v>
      </c>
      <c r="G41" s="466">
        <v>0</v>
      </c>
      <c r="H41" s="466">
        <v>0</v>
      </c>
      <c r="I41" s="467">
        <v>0</v>
      </c>
      <c r="J41" s="467">
        <v>0</v>
      </c>
      <c r="K41" s="1668">
        <f t="shared" si="2"/>
        <v>4643</v>
      </c>
      <c r="L41" s="466">
        <v>5145</v>
      </c>
    </row>
    <row r="42" spans="1:14" ht="12.75" customHeight="1" thickBot="1" x14ac:dyDescent="0.25">
      <c r="A42" s="1665" t="s">
        <v>560</v>
      </c>
      <c r="B42" s="1666" t="s">
        <v>716</v>
      </c>
      <c r="C42" s="1667">
        <f>SUM(C36:C41)</f>
        <v>362008</v>
      </c>
      <c r="D42" s="1667">
        <f t="shared" ref="D42:L42" si="3">SUM(D36:D41)</f>
        <v>61804</v>
      </c>
      <c r="E42" s="1667">
        <f t="shared" si="3"/>
        <v>3105</v>
      </c>
      <c r="F42" s="1667">
        <f t="shared" si="3"/>
        <v>1385</v>
      </c>
      <c r="G42" s="1667">
        <f t="shared" si="3"/>
        <v>0</v>
      </c>
      <c r="H42" s="1667">
        <f t="shared" si="3"/>
        <v>0</v>
      </c>
      <c r="I42" s="1667">
        <f t="shared" si="3"/>
        <v>0</v>
      </c>
      <c r="J42" s="1667">
        <f t="shared" si="3"/>
        <v>0</v>
      </c>
      <c r="K42" s="1667">
        <f t="shared" si="3"/>
        <v>428302</v>
      </c>
      <c r="L42" s="1667">
        <f t="shared" si="3"/>
        <v>441365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2593</v>
      </c>
      <c r="D44" s="479">
        <v>15984</v>
      </c>
      <c r="E44" s="479">
        <v>37156</v>
      </c>
      <c r="F44" s="479">
        <v>2213</v>
      </c>
      <c r="G44" s="479">
        <v>0</v>
      </c>
      <c r="H44" s="479">
        <v>0</v>
      </c>
      <c r="I44" s="467">
        <v>0</v>
      </c>
      <c r="J44" s="467">
        <v>0</v>
      </c>
      <c r="K44" s="1669">
        <f>SUM(C44:J44)</f>
        <v>57946</v>
      </c>
      <c r="L44" s="479">
        <v>56665</v>
      </c>
    </row>
    <row r="45" spans="1:14" x14ac:dyDescent="0.2">
      <c r="A45" s="1501" t="s">
        <v>815</v>
      </c>
      <c r="B45" s="611">
        <v>2220</v>
      </c>
      <c r="C45" s="466">
        <v>217515</v>
      </c>
      <c r="D45" s="466">
        <v>42392</v>
      </c>
      <c r="E45" s="466">
        <v>238335</v>
      </c>
      <c r="F45" s="466">
        <v>49936</v>
      </c>
      <c r="G45" s="466">
        <v>63822</v>
      </c>
      <c r="H45" s="466">
        <v>0</v>
      </c>
      <c r="I45" s="467">
        <v>0</v>
      </c>
      <c r="J45" s="467">
        <v>0</v>
      </c>
      <c r="K45" s="1669">
        <f>SUM(C45:J45)</f>
        <v>612000</v>
      </c>
      <c r="L45" s="466">
        <v>630400</v>
      </c>
    </row>
    <row r="46" spans="1:14" x14ac:dyDescent="0.2">
      <c r="A46" s="1501" t="s">
        <v>816</v>
      </c>
      <c r="B46" s="611">
        <v>2230</v>
      </c>
      <c r="C46" s="466">
        <v>0</v>
      </c>
      <c r="D46" s="466">
        <v>0</v>
      </c>
      <c r="E46" s="466">
        <v>26482</v>
      </c>
      <c r="F46" s="466">
        <v>0</v>
      </c>
      <c r="G46" s="466">
        <v>0</v>
      </c>
      <c r="H46" s="466">
        <v>0</v>
      </c>
      <c r="I46" s="467">
        <v>0</v>
      </c>
      <c r="J46" s="467">
        <v>0</v>
      </c>
      <c r="K46" s="1669">
        <f>SUM(C46:J46)</f>
        <v>26482</v>
      </c>
      <c r="L46" s="466">
        <v>30000</v>
      </c>
    </row>
    <row r="47" spans="1:14" ht="12.75" customHeight="1" thickBot="1" x14ac:dyDescent="0.25">
      <c r="A47" s="1665" t="s">
        <v>561</v>
      </c>
      <c r="B47" s="1666" t="s">
        <v>32</v>
      </c>
      <c r="C47" s="1667">
        <f>SUM(C44:C46)</f>
        <v>220108</v>
      </c>
      <c r="D47" s="1667">
        <f t="shared" ref="D47:K47" si="4">SUM(D44:D46)</f>
        <v>58376</v>
      </c>
      <c r="E47" s="1667">
        <f t="shared" si="4"/>
        <v>301973</v>
      </c>
      <c r="F47" s="1667">
        <f t="shared" si="4"/>
        <v>52149</v>
      </c>
      <c r="G47" s="1667">
        <f t="shared" si="4"/>
        <v>63822</v>
      </c>
      <c r="H47" s="1667">
        <f t="shared" si="4"/>
        <v>0</v>
      </c>
      <c r="I47" s="1667">
        <f t="shared" si="4"/>
        <v>0</v>
      </c>
      <c r="J47" s="1667">
        <f t="shared" si="4"/>
        <v>0</v>
      </c>
      <c r="K47" s="1667">
        <f t="shared" si="4"/>
        <v>696428</v>
      </c>
      <c r="L47" s="1667">
        <f>SUM(L44:L46)</f>
        <v>717065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65329</v>
      </c>
      <c r="D49" s="479">
        <v>19244</v>
      </c>
      <c r="E49" s="479">
        <v>46280</v>
      </c>
      <c r="F49" s="479">
        <v>1216</v>
      </c>
      <c r="G49" s="479">
        <v>0</v>
      </c>
      <c r="H49" s="479">
        <v>0</v>
      </c>
      <c r="I49" s="467">
        <v>0</v>
      </c>
      <c r="J49" s="467">
        <v>0</v>
      </c>
      <c r="K49" s="1669">
        <f>SUM(C49:J49)</f>
        <v>132069</v>
      </c>
      <c r="L49" s="479">
        <v>134500</v>
      </c>
    </row>
    <row r="50" spans="1:14" x14ac:dyDescent="0.2">
      <c r="A50" s="1501" t="s">
        <v>818</v>
      </c>
      <c r="B50" s="611">
        <v>2320</v>
      </c>
      <c r="C50" s="467">
        <v>105000</v>
      </c>
      <c r="D50" s="466">
        <v>24328</v>
      </c>
      <c r="E50" s="466">
        <v>10463</v>
      </c>
      <c r="F50" s="466">
        <v>447</v>
      </c>
      <c r="G50" s="466">
        <v>0</v>
      </c>
      <c r="H50" s="466">
        <v>1605</v>
      </c>
      <c r="I50" s="467">
        <v>0</v>
      </c>
      <c r="J50" s="467">
        <v>0</v>
      </c>
      <c r="K50" s="1669">
        <f>SUM(C50:J50)</f>
        <v>141843</v>
      </c>
      <c r="L50" s="466">
        <v>142150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170329</v>
      </c>
      <c r="D53" s="1667">
        <f t="shared" ref="D53:L53" si="5">SUM(D49:D52)</f>
        <v>43572</v>
      </c>
      <c r="E53" s="1667">
        <f t="shared" si="5"/>
        <v>56743</v>
      </c>
      <c r="F53" s="1667">
        <f t="shared" si="5"/>
        <v>1663</v>
      </c>
      <c r="G53" s="1667">
        <f t="shared" si="5"/>
        <v>0</v>
      </c>
      <c r="H53" s="1667">
        <f t="shared" si="5"/>
        <v>1605</v>
      </c>
      <c r="I53" s="1667">
        <f t="shared" si="5"/>
        <v>0</v>
      </c>
      <c r="J53" s="1667">
        <f t="shared" si="5"/>
        <v>0</v>
      </c>
      <c r="K53" s="1667">
        <f t="shared" si="5"/>
        <v>273912</v>
      </c>
      <c r="L53" s="1667">
        <f t="shared" si="5"/>
        <v>276650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559941</v>
      </c>
      <c r="D55" s="479">
        <v>110285</v>
      </c>
      <c r="E55" s="479">
        <v>7141</v>
      </c>
      <c r="F55" s="479">
        <v>321</v>
      </c>
      <c r="G55" s="479">
        <v>0</v>
      </c>
      <c r="H55" s="479">
        <v>1664</v>
      </c>
      <c r="I55" s="467">
        <v>0</v>
      </c>
      <c r="J55" s="467">
        <v>0</v>
      </c>
      <c r="K55" s="1669">
        <f>SUM(C55:J55)</f>
        <v>679352</v>
      </c>
      <c r="L55" s="479">
        <v>692200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559941</v>
      </c>
      <c r="D57" s="1671">
        <f t="shared" ref="D57:K57" si="6">SUM(D55:D56)</f>
        <v>110285</v>
      </c>
      <c r="E57" s="1671">
        <f t="shared" si="6"/>
        <v>7141</v>
      </c>
      <c r="F57" s="1671">
        <f t="shared" si="6"/>
        <v>321</v>
      </c>
      <c r="G57" s="1671">
        <f t="shared" si="6"/>
        <v>0</v>
      </c>
      <c r="H57" s="1671">
        <f t="shared" si="6"/>
        <v>1664</v>
      </c>
      <c r="I57" s="1671">
        <f t="shared" si="6"/>
        <v>0</v>
      </c>
      <c r="J57" s="1671">
        <f t="shared" si="6"/>
        <v>0</v>
      </c>
      <c r="K57" s="1671">
        <f t="shared" si="6"/>
        <v>679352</v>
      </c>
      <c r="L57" s="1667">
        <f>SUM(L55:L56)</f>
        <v>692200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33999</v>
      </c>
      <c r="F59" s="479">
        <v>0</v>
      </c>
      <c r="G59" s="479">
        <v>0</v>
      </c>
      <c r="H59" s="479">
        <v>0</v>
      </c>
      <c r="I59" s="467">
        <v>0</v>
      </c>
      <c r="J59" s="467">
        <v>0</v>
      </c>
      <c r="K59" s="1669">
        <f t="shared" ref="K59:K64" si="7">SUM(C59:J59)</f>
        <v>33999</v>
      </c>
      <c r="L59" s="479">
        <v>38750</v>
      </c>
      <c r="M59" s="606"/>
      <c r="N59" s="606"/>
    </row>
    <row r="60" spans="1:14" s="343" customFormat="1" x14ac:dyDescent="0.2">
      <c r="A60" s="1501" t="s">
        <v>463</v>
      </c>
      <c r="B60" s="611">
        <v>2520</v>
      </c>
      <c r="C60" s="466">
        <v>61643</v>
      </c>
      <c r="D60" s="466">
        <v>9769</v>
      </c>
      <c r="E60" s="466">
        <v>27717</v>
      </c>
      <c r="F60" s="466">
        <v>1814</v>
      </c>
      <c r="G60" s="466">
        <v>0</v>
      </c>
      <c r="H60" s="466">
        <v>0</v>
      </c>
      <c r="I60" s="467">
        <v>0</v>
      </c>
      <c r="J60" s="467">
        <v>0</v>
      </c>
      <c r="K60" s="1669">
        <f t="shared" si="7"/>
        <v>100943</v>
      </c>
      <c r="L60" s="466">
        <v>102450</v>
      </c>
      <c r="M60" s="606"/>
      <c r="N60" s="606"/>
    </row>
    <row r="61" spans="1:14" s="343" customFormat="1" x14ac:dyDescent="0.2">
      <c r="A61" s="1501" t="s">
        <v>197</v>
      </c>
      <c r="B61" s="611">
        <v>2540</v>
      </c>
      <c r="C61" s="466">
        <v>0</v>
      </c>
      <c r="D61" s="466">
        <v>0</v>
      </c>
      <c r="E61" s="466">
        <v>58317</v>
      </c>
      <c r="F61" s="466">
        <v>0</v>
      </c>
      <c r="G61" s="466">
        <v>0</v>
      </c>
      <c r="H61" s="466">
        <v>0</v>
      </c>
      <c r="I61" s="467">
        <v>0</v>
      </c>
      <c r="J61" s="467">
        <v>0</v>
      </c>
      <c r="K61" s="1669">
        <f t="shared" si="7"/>
        <v>58317</v>
      </c>
      <c r="L61" s="466">
        <v>63800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148873</v>
      </c>
      <c r="D63" s="466">
        <v>35192</v>
      </c>
      <c r="E63" s="466">
        <v>4938</v>
      </c>
      <c r="F63" s="466">
        <v>399118</v>
      </c>
      <c r="G63" s="466">
        <v>14441</v>
      </c>
      <c r="H63" s="466">
        <v>0</v>
      </c>
      <c r="I63" s="467">
        <v>0</v>
      </c>
      <c r="J63" s="467">
        <v>0</v>
      </c>
      <c r="K63" s="1669">
        <f t="shared" si="7"/>
        <v>602562</v>
      </c>
      <c r="L63" s="466">
        <v>602700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210516</v>
      </c>
      <c r="D65" s="1667">
        <f t="shared" ref="D65:L65" si="8">SUM(D59:D64)</f>
        <v>44961</v>
      </c>
      <c r="E65" s="1667">
        <f t="shared" si="8"/>
        <v>124971</v>
      </c>
      <c r="F65" s="1667">
        <f t="shared" si="8"/>
        <v>400932</v>
      </c>
      <c r="G65" s="1667">
        <f t="shared" si="8"/>
        <v>14441</v>
      </c>
      <c r="H65" s="1667">
        <f t="shared" si="8"/>
        <v>0</v>
      </c>
      <c r="I65" s="1667">
        <f t="shared" si="8"/>
        <v>0</v>
      </c>
      <c r="J65" s="1667">
        <f t="shared" si="8"/>
        <v>0</v>
      </c>
      <c r="K65" s="1667">
        <f t="shared" si="8"/>
        <v>795821</v>
      </c>
      <c r="L65" s="1667">
        <f t="shared" si="8"/>
        <v>807700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4526</v>
      </c>
      <c r="D70" s="466">
        <v>606</v>
      </c>
      <c r="E70" s="466">
        <v>0</v>
      </c>
      <c r="F70" s="466">
        <v>0</v>
      </c>
      <c r="G70" s="466">
        <v>0</v>
      </c>
      <c r="H70" s="466">
        <v>0</v>
      </c>
      <c r="I70" s="467">
        <v>0</v>
      </c>
      <c r="J70" s="467">
        <v>0</v>
      </c>
      <c r="K70" s="1669">
        <f>SUM(C70:J70)</f>
        <v>5132</v>
      </c>
      <c r="L70" s="466">
        <v>6250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4526</v>
      </c>
      <c r="D72" s="1667">
        <f t="shared" ref="D72:K72" si="9">SUM(D67:D71)</f>
        <v>606</v>
      </c>
      <c r="E72" s="1667">
        <f t="shared" si="9"/>
        <v>0</v>
      </c>
      <c r="F72" s="1667">
        <f t="shared" si="9"/>
        <v>0</v>
      </c>
      <c r="G72" s="1667">
        <f t="shared" si="9"/>
        <v>0</v>
      </c>
      <c r="H72" s="1667">
        <f t="shared" si="9"/>
        <v>0</v>
      </c>
      <c r="I72" s="1667">
        <f t="shared" si="9"/>
        <v>0</v>
      </c>
      <c r="J72" s="1667">
        <f t="shared" si="9"/>
        <v>0</v>
      </c>
      <c r="K72" s="1667">
        <f t="shared" si="9"/>
        <v>5132</v>
      </c>
      <c r="L72" s="1667">
        <f>SUM(L67:L71)</f>
        <v>6250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1527428</v>
      </c>
      <c r="D74" s="1674">
        <f t="shared" ref="D74:K74" si="10">SUM(D42,D47,D53,D57,D65,D72,D73)</f>
        <v>319604</v>
      </c>
      <c r="E74" s="1674">
        <f t="shared" si="10"/>
        <v>493933</v>
      </c>
      <c r="F74" s="1674">
        <f t="shared" si="10"/>
        <v>456450</v>
      </c>
      <c r="G74" s="1674">
        <f t="shared" si="10"/>
        <v>78263</v>
      </c>
      <c r="H74" s="1674">
        <f t="shared" si="10"/>
        <v>3269</v>
      </c>
      <c r="I74" s="1674">
        <f t="shared" si="10"/>
        <v>0</v>
      </c>
      <c r="J74" s="1674">
        <f t="shared" si="10"/>
        <v>0</v>
      </c>
      <c r="K74" s="1674">
        <f t="shared" si="10"/>
        <v>2878947</v>
      </c>
      <c r="L74" s="1674">
        <f>SUM(L42,L47,L53,L57,L65,L72,L73)</f>
        <v>2941230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271900</v>
      </c>
      <c r="F79" s="613"/>
      <c r="G79" s="613"/>
      <c r="H79" s="466">
        <v>18449</v>
      </c>
      <c r="I79" s="475"/>
      <c r="J79" s="475"/>
      <c r="K79" s="1668">
        <f t="shared" si="11"/>
        <v>290349</v>
      </c>
      <c r="L79" s="466">
        <v>293500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271900</v>
      </c>
      <c r="F84" s="613"/>
      <c r="G84" s="613"/>
      <c r="H84" s="1667">
        <f>SUM(H78:H83)</f>
        <v>18449</v>
      </c>
      <c r="I84" s="475"/>
      <c r="J84" s="475"/>
      <c r="K84" s="1667">
        <f>SUM(K78:K83)</f>
        <v>290349</v>
      </c>
      <c r="L84" s="1667">
        <f>SUM(L78:L83)</f>
        <v>293500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174834</v>
      </c>
      <c r="I86" s="475"/>
      <c r="J86" s="475"/>
      <c r="K86" s="1674">
        <f t="shared" ref="K86:K98" si="12">H86</f>
        <v>174834</v>
      </c>
      <c r="L86" s="527">
        <v>175000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174834</v>
      </c>
      <c r="I92" s="475"/>
      <c r="J92" s="475"/>
      <c r="K92" s="1674">
        <f t="shared" si="12"/>
        <v>174834</v>
      </c>
      <c r="L92" s="1667">
        <f>SUM(L85:L91)</f>
        <v>175000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271900</v>
      </c>
      <c r="F102" s="613"/>
      <c r="G102" s="613"/>
      <c r="H102" s="1674">
        <f>SUM(H84,H92,H100,H101)</f>
        <v>193283</v>
      </c>
      <c r="I102" s="475"/>
      <c r="J102" s="475"/>
      <c r="K102" s="1674">
        <f>SUM(K84,K92,K100,K101)</f>
        <v>465183</v>
      </c>
      <c r="L102" s="1674">
        <f>SUM(L84,L92,L100,L101)</f>
        <v>468500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7153692</v>
      </c>
      <c r="D114" s="1667">
        <f t="shared" ref="D114:K114" si="13">SUM(D33,D74,D75,D102,D112,D113)</f>
        <v>1121815</v>
      </c>
      <c r="E114" s="1667">
        <f t="shared" si="13"/>
        <v>882473</v>
      </c>
      <c r="F114" s="1667">
        <f t="shared" si="13"/>
        <v>810020</v>
      </c>
      <c r="G114" s="1667">
        <f t="shared" si="13"/>
        <v>134997</v>
      </c>
      <c r="H114" s="1667">
        <f>SUM(H33,H74,H75,H102,H112,H113)</f>
        <v>196552</v>
      </c>
      <c r="I114" s="1667">
        <f t="shared" si="13"/>
        <v>0</v>
      </c>
      <c r="J114" s="1667">
        <f t="shared" si="13"/>
        <v>0</v>
      </c>
      <c r="K114" s="1667">
        <f t="shared" si="13"/>
        <v>10299549</v>
      </c>
      <c r="L114" s="1667">
        <f>SUM(L33,L74,L75,L102,L112,L113)</f>
        <v>10509320</v>
      </c>
    </row>
    <row r="115" spans="1:14" ht="13.5" thickTop="1" x14ac:dyDescent="0.2">
      <c r="A115" s="2282" t="s">
        <v>996</v>
      </c>
      <c r="B115" s="2283"/>
      <c r="C115" s="615"/>
      <c r="D115" s="615"/>
      <c r="E115" s="615"/>
      <c r="F115" s="615"/>
      <c r="G115" s="615"/>
      <c r="H115" s="615"/>
      <c r="I115" s="615"/>
      <c r="J115" s="615"/>
      <c r="K115" s="1681">
        <f>'Revenues 9-14'!C268-'Expenditures 15-22'!K114</f>
        <v>220307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87" t="s">
        <v>296</v>
      </c>
      <c r="B117" s="228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2058</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43075</v>
      </c>
      <c r="H123" s="466">
        <v>0</v>
      </c>
      <c r="I123" s="467">
        <v>0</v>
      </c>
      <c r="J123" s="467">
        <v>0</v>
      </c>
      <c r="K123" s="1667">
        <f>SUM(C123:J123)</f>
        <v>43075</v>
      </c>
      <c r="L123" s="466">
        <v>85000</v>
      </c>
    </row>
    <row r="124" spans="1:14" ht="14.25" thickTop="1" thickBot="1" x14ac:dyDescent="0.25">
      <c r="A124" s="1501" t="s">
        <v>197</v>
      </c>
      <c r="B124" s="611">
        <v>2540</v>
      </c>
      <c r="C124" s="466">
        <v>399172</v>
      </c>
      <c r="D124" s="466">
        <v>77632</v>
      </c>
      <c r="E124" s="466">
        <v>124123</v>
      </c>
      <c r="F124" s="466">
        <v>380234</v>
      </c>
      <c r="G124" s="466">
        <v>297060</v>
      </c>
      <c r="H124" s="466">
        <v>0</v>
      </c>
      <c r="I124" s="467">
        <v>0</v>
      </c>
      <c r="J124" s="467">
        <v>0</v>
      </c>
      <c r="K124" s="1667">
        <f>SUM(C124:J124)</f>
        <v>1278221</v>
      </c>
      <c r="L124" s="466">
        <v>1318150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399172</v>
      </c>
      <c r="D127" s="1667">
        <f t="shared" ref="D127:L127" si="14">SUM(D122:D126)</f>
        <v>77632</v>
      </c>
      <c r="E127" s="1667">
        <f t="shared" si="14"/>
        <v>124123</v>
      </c>
      <c r="F127" s="1667">
        <f t="shared" si="14"/>
        <v>380234</v>
      </c>
      <c r="G127" s="1667">
        <f t="shared" si="14"/>
        <v>340135</v>
      </c>
      <c r="H127" s="1667">
        <f t="shared" si="14"/>
        <v>0</v>
      </c>
      <c r="I127" s="1667">
        <f t="shared" si="14"/>
        <v>0</v>
      </c>
      <c r="J127" s="1667">
        <f t="shared" si="14"/>
        <v>0</v>
      </c>
      <c r="K127" s="1667">
        <f t="shared" si="14"/>
        <v>1321296</v>
      </c>
      <c r="L127" s="1667">
        <f t="shared" si="14"/>
        <v>1403150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399172</v>
      </c>
      <c r="D129" s="1674">
        <f t="shared" ref="D129:L129" si="15">SUM(D120,D127,D128)</f>
        <v>77632</v>
      </c>
      <c r="E129" s="1674">
        <f t="shared" si="15"/>
        <v>124123</v>
      </c>
      <c r="F129" s="1674">
        <f t="shared" si="15"/>
        <v>380234</v>
      </c>
      <c r="G129" s="1674">
        <f t="shared" si="15"/>
        <v>340135</v>
      </c>
      <c r="H129" s="1674">
        <f t="shared" si="15"/>
        <v>0</v>
      </c>
      <c r="I129" s="1674">
        <f t="shared" si="15"/>
        <v>0</v>
      </c>
      <c r="J129" s="1674">
        <f t="shared" si="15"/>
        <v>0</v>
      </c>
      <c r="K129" s="1674">
        <f t="shared" si="15"/>
        <v>1321296</v>
      </c>
      <c r="L129" s="1674">
        <f t="shared" si="15"/>
        <v>1403150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1843</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99" t="s">
        <v>620</v>
      </c>
      <c r="B151" s="2279"/>
      <c r="C151" s="1667">
        <f>SUM(C129,C130,C139,C149,C150)</f>
        <v>399172</v>
      </c>
      <c r="D151" s="1667">
        <f t="shared" ref="D151:K151" si="16">SUM(D129,D130,D139,D149,D150)</f>
        <v>77632</v>
      </c>
      <c r="E151" s="1667">
        <f t="shared" si="16"/>
        <v>124123</v>
      </c>
      <c r="F151" s="1667">
        <f t="shared" si="16"/>
        <v>380234</v>
      </c>
      <c r="G151" s="1667">
        <f t="shared" si="16"/>
        <v>340135</v>
      </c>
      <c r="H151" s="1667">
        <f t="shared" si="16"/>
        <v>0</v>
      </c>
      <c r="I151" s="1667">
        <f t="shared" si="16"/>
        <v>0</v>
      </c>
      <c r="J151" s="1667">
        <f t="shared" si="16"/>
        <v>0</v>
      </c>
      <c r="K151" s="1667">
        <f t="shared" si="16"/>
        <v>1321296</v>
      </c>
      <c r="L151" s="1667">
        <f>SUM(L129,L130,L139,L149,L150)</f>
        <v>1403150</v>
      </c>
    </row>
    <row r="152" spans="1:14" ht="12.75" customHeight="1" thickTop="1" x14ac:dyDescent="0.2">
      <c r="A152" s="2302" t="s">
        <v>1178</v>
      </c>
      <c r="B152" s="2303"/>
      <c r="C152" s="615"/>
      <c r="D152" s="615"/>
      <c r="E152" s="615"/>
      <c r="F152" s="615"/>
      <c r="G152" s="615"/>
      <c r="H152" s="615"/>
      <c r="I152" s="615"/>
      <c r="J152" s="613"/>
      <c r="K152" s="1681">
        <f>'Revenues 9-14'!D268-'Expenditures 15-22'!K151</f>
        <v>389915</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87" t="s">
        <v>621</v>
      </c>
      <c r="B154" s="228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1844</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1843</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1845</v>
      </c>
      <c r="C158" s="613"/>
      <c r="D158" s="613"/>
      <c r="E158" s="613"/>
      <c r="F158" s="613"/>
      <c r="G158" s="613"/>
      <c r="H158" s="467">
        <v>0</v>
      </c>
      <c r="I158" s="613"/>
      <c r="J158" s="613"/>
      <c r="K158" s="1668">
        <f>H158</f>
        <v>0</v>
      </c>
      <c r="L158" s="467">
        <v>0</v>
      </c>
      <c r="M158" s="616"/>
      <c r="N158" s="616"/>
    </row>
    <row r="159" spans="1:14" s="617" customFormat="1" ht="12" x14ac:dyDescent="0.2">
      <c r="A159" s="1823" t="s">
        <v>1846</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1847</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98576</v>
      </c>
      <c r="I169" s="613"/>
      <c r="J169" s="613"/>
      <c r="K169" s="1668">
        <f>SUM(C169:H169)</f>
        <v>98576</v>
      </c>
      <c r="L169" s="653">
        <v>100000</v>
      </c>
    </row>
    <row r="170" spans="1:14" ht="33.75" customHeight="1" x14ac:dyDescent="0.2">
      <c r="A170" s="666" t="s">
        <v>1670</v>
      </c>
      <c r="B170" s="668" t="s">
        <v>31</v>
      </c>
      <c r="C170" s="613"/>
      <c r="D170" s="613"/>
      <c r="E170" s="613"/>
      <c r="F170" s="613"/>
      <c r="G170" s="613"/>
      <c r="H170" s="566">
        <v>497400</v>
      </c>
      <c r="I170" s="613"/>
      <c r="J170" s="613"/>
      <c r="K170" s="1668">
        <f>SUM(C170:J170)</f>
        <v>497400</v>
      </c>
      <c r="L170" s="566">
        <v>500000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595976</v>
      </c>
      <c r="I172" s="635"/>
      <c r="J172" s="613"/>
      <c r="K172" s="1674">
        <f>SUM(K168,K169,K170,K171)</f>
        <v>595976</v>
      </c>
      <c r="L172" s="1674">
        <f>SUM(L168,L169,L170,L171)</f>
        <v>600000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595976</v>
      </c>
      <c r="I174" s="635"/>
      <c r="J174" s="613"/>
      <c r="K174" s="1674">
        <f>SUM(K160,K172,K173)</f>
        <v>595976</v>
      </c>
      <c r="L174" s="1674">
        <f>SUM(L160,L172,L173)</f>
        <v>600000</v>
      </c>
    </row>
    <row r="175" spans="1:14" ht="13.5" thickTop="1" x14ac:dyDescent="0.2">
      <c r="A175" s="2282" t="s">
        <v>996</v>
      </c>
      <c r="B175" s="2283"/>
      <c r="C175" s="613"/>
      <c r="D175" s="613"/>
      <c r="E175" s="613"/>
      <c r="F175" s="613"/>
      <c r="G175" s="613"/>
      <c r="H175" s="615"/>
      <c r="I175" s="613"/>
      <c r="J175" s="613"/>
      <c r="K175" s="1681">
        <f>'Revenues 9-14'!E268-'Expenditures 15-22'!K174</f>
        <v>14755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2058</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246111</v>
      </c>
      <c r="D182" s="466">
        <v>36175</v>
      </c>
      <c r="E182" s="466">
        <v>511518</v>
      </c>
      <c r="F182" s="466">
        <v>106884</v>
      </c>
      <c r="G182" s="466">
        <v>30627</v>
      </c>
      <c r="H182" s="466">
        <v>0</v>
      </c>
      <c r="I182" s="467">
        <v>0</v>
      </c>
      <c r="J182" s="467">
        <v>0</v>
      </c>
      <c r="K182" s="1668">
        <f>SUM(C182:J182)</f>
        <v>931315</v>
      </c>
      <c r="L182" s="466">
        <v>975675</v>
      </c>
    </row>
    <row r="183" spans="1:14" ht="12.75" customHeight="1" thickBot="1" x14ac:dyDescent="0.25">
      <c r="A183" s="1506" t="s">
        <v>980</v>
      </c>
      <c r="B183" s="674">
        <v>2900</v>
      </c>
      <c r="C183" s="570">
        <v>22500</v>
      </c>
      <c r="D183" s="570">
        <v>1430</v>
      </c>
      <c r="E183" s="570">
        <v>0</v>
      </c>
      <c r="F183" s="570">
        <v>0</v>
      </c>
      <c r="G183" s="570">
        <v>0</v>
      </c>
      <c r="H183" s="570">
        <v>0</v>
      </c>
      <c r="I183" s="529">
        <v>0</v>
      </c>
      <c r="J183" s="529">
        <v>0</v>
      </c>
      <c r="K183" s="1674">
        <f>SUM(C183:J183)</f>
        <v>23930</v>
      </c>
      <c r="L183" s="570">
        <v>24050</v>
      </c>
    </row>
    <row r="184" spans="1:14" ht="12.75" customHeight="1" thickTop="1" thickBot="1" x14ac:dyDescent="0.25">
      <c r="A184" s="1688" t="s">
        <v>811</v>
      </c>
      <c r="B184" s="1666" t="s">
        <v>569</v>
      </c>
      <c r="C184" s="1674">
        <f>SUM(C180,C182,C183)</f>
        <v>268611</v>
      </c>
      <c r="D184" s="1674">
        <f t="shared" ref="D184:J184" si="17">SUM(D180,D182,D183)</f>
        <v>37605</v>
      </c>
      <c r="E184" s="1674">
        <f t="shared" si="17"/>
        <v>511518</v>
      </c>
      <c r="F184" s="1674">
        <f t="shared" si="17"/>
        <v>106884</v>
      </c>
      <c r="G184" s="1674">
        <f t="shared" si="17"/>
        <v>30627</v>
      </c>
      <c r="H184" s="1674">
        <f t="shared" si="17"/>
        <v>0</v>
      </c>
      <c r="I184" s="1674">
        <f t="shared" si="17"/>
        <v>0</v>
      </c>
      <c r="J184" s="1674">
        <f t="shared" si="17"/>
        <v>0</v>
      </c>
      <c r="K184" s="1674">
        <f>SUM(K180,K182,K183)</f>
        <v>955245</v>
      </c>
      <c r="L184" s="1674">
        <f>SUM(L180, L182:L183)</f>
        <v>999725</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8000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8000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268611</v>
      </c>
      <c r="D210" s="1667">
        <f>SUM(D184,D185)</f>
        <v>37605</v>
      </c>
      <c r="E210" s="1667">
        <f>SUM(E184,E185,E196)</f>
        <v>511518</v>
      </c>
      <c r="F210" s="1667">
        <f>SUM(F184,F185)</f>
        <v>106884</v>
      </c>
      <c r="G210" s="1667">
        <f>SUM(G184,G185)</f>
        <v>30627</v>
      </c>
      <c r="H210" s="1667">
        <f>SUM(H184,H185,H196,H208,H209)</f>
        <v>0</v>
      </c>
      <c r="I210" s="1667">
        <f>SUM(I184,I185)</f>
        <v>0</v>
      </c>
      <c r="J210" s="1667">
        <f>SUM(J184,J185)</f>
        <v>0</v>
      </c>
      <c r="K210" s="1668">
        <f>SUM(K184,K185,K196,K208,K209)</f>
        <v>955245</v>
      </c>
      <c r="L210" s="1667">
        <f>SUM(L184,L185,L196,L208,L209)</f>
        <v>1007725</v>
      </c>
    </row>
    <row r="211" spans="1:14" ht="13.5" thickTop="1" x14ac:dyDescent="0.2">
      <c r="A211" s="2282" t="s">
        <v>996</v>
      </c>
      <c r="B211" s="2283"/>
      <c r="C211" s="615"/>
      <c r="D211" s="615"/>
      <c r="E211" s="615"/>
      <c r="F211" s="615"/>
      <c r="G211" s="615"/>
      <c r="H211" s="615"/>
      <c r="I211" s="613"/>
      <c r="J211" s="613"/>
      <c r="K211" s="1681">
        <f>'Revenues 9-14'!F268-'Expenditures 15-22'!K210</f>
        <v>86439</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04" t="s">
        <v>965</v>
      </c>
      <c r="B213" s="230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56635</v>
      </c>
      <c r="E215" s="613"/>
      <c r="F215" s="613"/>
      <c r="G215" s="613"/>
      <c r="H215" s="613"/>
      <c r="I215" s="613"/>
      <c r="J215" s="613"/>
      <c r="K215" s="1668">
        <f>D215</f>
        <v>56635</v>
      </c>
      <c r="L215" s="466">
        <v>57235</v>
      </c>
    </row>
    <row r="216" spans="1:14" x14ac:dyDescent="0.2">
      <c r="A216" s="1501" t="s">
        <v>163</v>
      </c>
      <c r="B216" s="611" t="s">
        <v>967</v>
      </c>
      <c r="C216" s="613"/>
      <c r="D216" s="467">
        <v>5766</v>
      </c>
      <c r="E216" s="613"/>
      <c r="F216" s="613"/>
      <c r="G216" s="613"/>
      <c r="H216" s="613"/>
      <c r="I216" s="613"/>
      <c r="J216" s="613"/>
      <c r="K216" s="1668">
        <f t="shared" ref="K216:K228" si="19">D216</f>
        <v>5766</v>
      </c>
      <c r="L216" s="466">
        <v>6750</v>
      </c>
    </row>
    <row r="217" spans="1:14" x14ac:dyDescent="0.2">
      <c r="A217" s="1501" t="s">
        <v>164</v>
      </c>
      <c r="B217" s="611">
        <v>1200</v>
      </c>
      <c r="C217" s="613"/>
      <c r="D217" s="466">
        <v>77232</v>
      </c>
      <c r="E217" s="613"/>
      <c r="F217" s="613"/>
      <c r="G217" s="613"/>
      <c r="H217" s="613"/>
      <c r="I217" s="613"/>
      <c r="J217" s="613"/>
      <c r="K217" s="1668">
        <f t="shared" si="19"/>
        <v>77232</v>
      </c>
      <c r="L217" s="466">
        <v>84260</v>
      </c>
    </row>
    <row r="218" spans="1:14" x14ac:dyDescent="0.2">
      <c r="A218" s="1501" t="s">
        <v>278</v>
      </c>
      <c r="B218" s="611" t="s">
        <v>968</v>
      </c>
      <c r="C218" s="613"/>
      <c r="D218" s="467">
        <v>3191</v>
      </c>
      <c r="E218" s="613"/>
      <c r="F218" s="613"/>
      <c r="G218" s="613"/>
      <c r="H218" s="613"/>
      <c r="I218" s="613"/>
      <c r="J218" s="613"/>
      <c r="K218" s="1668">
        <f t="shared" si="19"/>
        <v>3191</v>
      </c>
      <c r="L218" s="466">
        <v>3550</v>
      </c>
    </row>
    <row r="219" spans="1:14" x14ac:dyDescent="0.2">
      <c r="A219" s="1501" t="s">
        <v>279</v>
      </c>
      <c r="B219" s="611">
        <v>1250</v>
      </c>
      <c r="C219" s="613"/>
      <c r="D219" s="466">
        <v>12416</v>
      </c>
      <c r="E219" s="613"/>
      <c r="F219" s="613"/>
      <c r="G219" s="613"/>
      <c r="H219" s="613"/>
      <c r="I219" s="613"/>
      <c r="J219" s="613"/>
      <c r="K219" s="1668">
        <f t="shared" si="19"/>
        <v>12416</v>
      </c>
      <c r="L219" s="466">
        <v>14100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3469</v>
      </c>
      <c r="E222" s="613"/>
      <c r="F222" s="613"/>
      <c r="G222" s="613"/>
      <c r="H222" s="613"/>
      <c r="I222" s="613"/>
      <c r="J222" s="613"/>
      <c r="K222" s="1668">
        <f t="shared" si="19"/>
        <v>3469</v>
      </c>
      <c r="L222" s="466">
        <v>3510</v>
      </c>
    </row>
    <row r="223" spans="1:14" x14ac:dyDescent="0.2">
      <c r="A223" s="1501" t="s">
        <v>963</v>
      </c>
      <c r="B223" s="611">
        <v>1500</v>
      </c>
      <c r="C223" s="613"/>
      <c r="D223" s="466">
        <v>13165</v>
      </c>
      <c r="E223" s="613"/>
      <c r="F223" s="613"/>
      <c r="G223" s="613"/>
      <c r="H223" s="613"/>
      <c r="I223" s="613"/>
      <c r="J223" s="613"/>
      <c r="K223" s="1668">
        <f t="shared" si="19"/>
        <v>13165</v>
      </c>
      <c r="L223" s="466">
        <v>13800</v>
      </c>
    </row>
    <row r="224" spans="1:14" x14ac:dyDescent="0.2">
      <c r="A224" s="1501" t="s">
        <v>964</v>
      </c>
      <c r="B224" s="611">
        <v>1600</v>
      </c>
      <c r="C224" s="613"/>
      <c r="D224" s="466">
        <v>755</v>
      </c>
      <c r="E224" s="613"/>
      <c r="F224" s="613"/>
      <c r="G224" s="613"/>
      <c r="H224" s="613"/>
      <c r="I224" s="613"/>
      <c r="J224" s="613"/>
      <c r="K224" s="1668">
        <f t="shared" si="19"/>
        <v>755</v>
      </c>
      <c r="L224" s="466">
        <v>1025</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1109</v>
      </c>
      <c r="E226" s="613"/>
      <c r="F226" s="613"/>
      <c r="G226" s="613"/>
      <c r="H226" s="613"/>
      <c r="I226" s="613"/>
      <c r="J226" s="613"/>
      <c r="K226" s="1668">
        <f t="shared" si="19"/>
        <v>1109</v>
      </c>
      <c r="L226" s="466">
        <v>1200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173738</v>
      </c>
      <c r="E229" s="613"/>
      <c r="F229" s="613"/>
      <c r="G229" s="613"/>
      <c r="H229" s="613"/>
      <c r="I229" s="613"/>
      <c r="J229" s="613"/>
      <c r="K229" s="1667">
        <f>SUM(K215:K228)</f>
        <v>173738</v>
      </c>
      <c r="L229" s="1667">
        <f>SUM(L215:L228)</f>
        <v>185430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5500</v>
      </c>
      <c r="E233" s="613"/>
      <c r="F233" s="613"/>
      <c r="G233" s="613"/>
      <c r="H233" s="613"/>
      <c r="I233" s="613"/>
      <c r="J233" s="613"/>
      <c r="K233" s="1668">
        <f t="shared" si="20"/>
        <v>5500</v>
      </c>
      <c r="L233" s="466">
        <v>6150</v>
      </c>
    </row>
    <row r="234" spans="1:12" x14ac:dyDescent="0.2">
      <c r="A234" s="1501" t="s">
        <v>198</v>
      </c>
      <c r="B234" s="611">
        <v>2130</v>
      </c>
      <c r="C234" s="613"/>
      <c r="D234" s="466">
        <v>7649</v>
      </c>
      <c r="E234" s="613"/>
      <c r="F234" s="613"/>
      <c r="G234" s="613"/>
      <c r="H234" s="613"/>
      <c r="I234" s="613"/>
      <c r="J234" s="613"/>
      <c r="K234" s="1668">
        <f t="shared" si="20"/>
        <v>7649</v>
      </c>
      <c r="L234" s="466">
        <v>8200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1146</v>
      </c>
      <c r="E236" s="613"/>
      <c r="F236" s="613"/>
      <c r="G236" s="613"/>
      <c r="H236" s="613"/>
      <c r="I236" s="613"/>
      <c r="J236" s="613"/>
      <c r="K236" s="1668">
        <f t="shared" si="20"/>
        <v>1146</v>
      </c>
      <c r="L236" s="466">
        <v>1500</v>
      </c>
    </row>
    <row r="237" spans="1:12" x14ac:dyDescent="0.2">
      <c r="A237" s="1501" t="s">
        <v>165</v>
      </c>
      <c r="B237" s="611">
        <v>2190</v>
      </c>
      <c r="C237" s="613"/>
      <c r="D237" s="466">
        <v>79</v>
      </c>
      <c r="E237" s="613"/>
      <c r="F237" s="613"/>
      <c r="G237" s="613"/>
      <c r="H237" s="613"/>
      <c r="I237" s="613"/>
      <c r="J237" s="613"/>
      <c r="K237" s="1668">
        <f t="shared" si="20"/>
        <v>79</v>
      </c>
      <c r="L237" s="466">
        <v>300</v>
      </c>
    </row>
    <row r="238" spans="1:12" ht="12.75" customHeight="1" thickBot="1" x14ac:dyDescent="0.25">
      <c r="A238" s="1665" t="s">
        <v>560</v>
      </c>
      <c r="B238" s="1672" t="s">
        <v>716</v>
      </c>
      <c r="C238" s="613"/>
      <c r="D238" s="1667">
        <f>SUM(D232:D237)</f>
        <v>14374</v>
      </c>
      <c r="E238" s="613"/>
      <c r="F238" s="613"/>
      <c r="G238" s="613"/>
      <c r="H238" s="613"/>
      <c r="I238" s="613"/>
      <c r="J238" s="613"/>
      <c r="K238" s="1667">
        <f>SUM(K232:K237)</f>
        <v>14374</v>
      </c>
      <c r="L238" s="1667">
        <f>SUM(L232:L237)</f>
        <v>16150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212</v>
      </c>
      <c r="E240" s="613"/>
      <c r="F240" s="613"/>
      <c r="G240" s="613"/>
      <c r="H240" s="613"/>
      <c r="I240" s="613"/>
      <c r="J240" s="613"/>
      <c r="K240" s="1669">
        <f>D240</f>
        <v>212</v>
      </c>
      <c r="L240" s="479">
        <v>125</v>
      </c>
    </row>
    <row r="241" spans="1:12" x14ac:dyDescent="0.2">
      <c r="A241" s="1501" t="s">
        <v>815</v>
      </c>
      <c r="B241" s="611">
        <v>2220</v>
      </c>
      <c r="C241" s="613"/>
      <c r="D241" s="466">
        <v>31583</v>
      </c>
      <c r="E241" s="613"/>
      <c r="F241" s="613"/>
      <c r="G241" s="613"/>
      <c r="H241" s="613"/>
      <c r="I241" s="613"/>
      <c r="J241" s="613"/>
      <c r="K241" s="1669">
        <f>D241</f>
        <v>31583</v>
      </c>
      <c r="L241" s="466">
        <v>32500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31795</v>
      </c>
      <c r="E243" s="613"/>
      <c r="F243" s="613"/>
      <c r="G243" s="613"/>
      <c r="H243" s="613"/>
      <c r="I243" s="613"/>
      <c r="J243" s="613"/>
      <c r="K243" s="1667">
        <f>SUM(K240:K242)</f>
        <v>31795</v>
      </c>
      <c r="L243" s="1667">
        <f>SUM(L240:L242)</f>
        <v>32625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11649</v>
      </c>
      <c r="E245" s="613"/>
      <c r="F245" s="613"/>
      <c r="G245" s="613"/>
      <c r="H245" s="613"/>
      <c r="I245" s="613"/>
      <c r="J245" s="613"/>
      <c r="K245" s="1669">
        <f>D245</f>
        <v>11649</v>
      </c>
      <c r="L245" s="479">
        <v>32000</v>
      </c>
    </row>
    <row r="246" spans="1:12" x14ac:dyDescent="0.2">
      <c r="A246" s="1501" t="s">
        <v>818</v>
      </c>
      <c r="B246" s="611">
        <v>2320</v>
      </c>
      <c r="C246" s="613"/>
      <c r="D246" s="466">
        <v>1522</v>
      </c>
      <c r="E246" s="613"/>
      <c r="F246" s="613"/>
      <c r="G246" s="613"/>
      <c r="H246" s="613"/>
      <c r="I246" s="613"/>
      <c r="J246" s="613"/>
      <c r="K246" s="1669">
        <f t="shared" ref="K246:K256" si="21">D246</f>
        <v>1522</v>
      </c>
      <c r="L246" s="466">
        <v>1600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1803</v>
      </c>
      <c r="B249" s="680" t="s">
        <v>282</v>
      </c>
      <c r="C249" s="613"/>
      <c r="D249" s="473">
        <v>0</v>
      </c>
      <c r="E249" s="613"/>
      <c r="F249" s="613"/>
      <c r="G249" s="613"/>
      <c r="H249" s="613"/>
      <c r="I249" s="613"/>
      <c r="J249" s="613"/>
      <c r="K249" s="1669">
        <f t="shared" si="21"/>
        <v>0</v>
      </c>
      <c r="L249" s="466">
        <v>0</v>
      </c>
    </row>
    <row r="250" spans="1:12" x14ac:dyDescent="0.2">
      <c r="A250" s="1502" t="s">
        <v>1804</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16135</v>
      </c>
      <c r="E254" s="613"/>
      <c r="F254" s="613"/>
      <c r="G254" s="613"/>
      <c r="H254" s="613"/>
      <c r="I254" s="613"/>
      <c r="J254" s="613"/>
      <c r="K254" s="1669">
        <f t="shared" si="21"/>
        <v>16135</v>
      </c>
      <c r="L254" s="466">
        <v>16500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29306</v>
      </c>
      <c r="E257" s="613"/>
      <c r="F257" s="613"/>
      <c r="G257" s="613"/>
      <c r="H257" s="613"/>
      <c r="I257" s="613"/>
      <c r="J257" s="613"/>
      <c r="K257" s="1667">
        <f>SUM(K245:K256)</f>
        <v>29306</v>
      </c>
      <c r="L257" s="1667">
        <f>SUM(L245:L256)</f>
        <v>50100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33257</v>
      </c>
      <c r="E259" s="613"/>
      <c r="F259" s="613"/>
      <c r="G259" s="613"/>
      <c r="H259" s="613"/>
      <c r="I259" s="613"/>
      <c r="J259" s="613"/>
      <c r="K259" s="1669">
        <f>D259</f>
        <v>33257</v>
      </c>
      <c r="L259" s="479">
        <v>35500</v>
      </c>
    </row>
    <row r="260" spans="1:14" s="594" customFormat="1" x14ac:dyDescent="0.2">
      <c r="A260" s="1519" t="s">
        <v>1802</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33257</v>
      </c>
      <c r="E261" s="613"/>
      <c r="F261" s="613"/>
      <c r="G261" s="613"/>
      <c r="H261" s="613"/>
      <c r="I261" s="613"/>
      <c r="J261" s="613"/>
      <c r="K261" s="1667">
        <f>SUM(K259:K260)</f>
        <v>33257</v>
      </c>
      <c r="L261" s="1667">
        <f>SUM(L259:L260)</f>
        <v>35500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10739</v>
      </c>
      <c r="E264" s="613"/>
      <c r="F264" s="613"/>
      <c r="G264" s="613"/>
      <c r="H264" s="613"/>
      <c r="I264" s="613"/>
      <c r="J264" s="613"/>
      <c r="K264" s="1669">
        <f t="shared" ref="K264:K269" si="22">D264</f>
        <v>10739</v>
      </c>
      <c r="L264" s="466">
        <v>11000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70619</v>
      </c>
      <c r="E266" s="613"/>
      <c r="F266" s="613"/>
      <c r="G266" s="613"/>
      <c r="H266" s="613"/>
      <c r="I266" s="613"/>
      <c r="J266" s="613"/>
      <c r="K266" s="1669">
        <f t="shared" si="22"/>
        <v>70619</v>
      </c>
      <c r="L266" s="466">
        <v>72600</v>
      </c>
    </row>
    <row r="267" spans="1:14" x14ac:dyDescent="0.2">
      <c r="A267" s="1501" t="s">
        <v>953</v>
      </c>
      <c r="B267" s="611">
        <v>2550</v>
      </c>
      <c r="C267" s="613"/>
      <c r="D267" s="466">
        <v>43556</v>
      </c>
      <c r="E267" s="613"/>
      <c r="F267" s="613"/>
      <c r="G267" s="613"/>
      <c r="H267" s="613"/>
      <c r="I267" s="613"/>
      <c r="J267" s="613"/>
      <c r="K267" s="1669">
        <f t="shared" si="22"/>
        <v>43556</v>
      </c>
      <c r="L267" s="466">
        <v>46075</v>
      </c>
    </row>
    <row r="268" spans="1:14" x14ac:dyDescent="0.2">
      <c r="A268" s="1501" t="s">
        <v>100</v>
      </c>
      <c r="B268" s="611">
        <v>2560</v>
      </c>
      <c r="C268" s="613"/>
      <c r="D268" s="466">
        <v>26914</v>
      </c>
      <c r="E268" s="613"/>
      <c r="F268" s="613"/>
      <c r="G268" s="613"/>
      <c r="H268" s="613"/>
      <c r="I268" s="613"/>
      <c r="J268" s="613"/>
      <c r="K268" s="1669">
        <f t="shared" si="22"/>
        <v>26914</v>
      </c>
      <c r="L268" s="466">
        <v>28500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151828</v>
      </c>
      <c r="E270" s="613"/>
      <c r="F270" s="613"/>
      <c r="G270" s="613"/>
      <c r="H270" s="613"/>
      <c r="I270" s="613"/>
      <c r="J270" s="613"/>
      <c r="K270" s="1667">
        <f>SUM(K263:K269)</f>
        <v>151828</v>
      </c>
      <c r="L270" s="1667">
        <f>SUM(L263:L269)</f>
        <v>158175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66</v>
      </c>
      <c r="E275" s="613"/>
      <c r="F275" s="613"/>
      <c r="G275" s="613"/>
      <c r="H275" s="613"/>
      <c r="I275" s="613"/>
      <c r="J275" s="613"/>
      <c r="K275" s="1669">
        <f>D275</f>
        <v>66</v>
      </c>
      <c r="L275" s="466">
        <v>100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66</v>
      </c>
      <c r="E277" s="613"/>
      <c r="F277" s="613"/>
      <c r="G277" s="613"/>
      <c r="H277" s="613"/>
      <c r="I277" s="613"/>
      <c r="J277" s="613"/>
      <c r="K277" s="1667">
        <f>SUM(K272:K276)</f>
        <v>66</v>
      </c>
      <c r="L277" s="1667">
        <f>SUM(L272:L276)</f>
        <v>100</v>
      </c>
    </row>
    <row r="278" spans="1:12" ht="13.5" customHeight="1" thickTop="1" x14ac:dyDescent="0.2">
      <c r="A278" s="1507" t="s">
        <v>980</v>
      </c>
      <c r="B278" s="652" t="s">
        <v>574</v>
      </c>
      <c r="C278" s="613"/>
      <c r="D278" s="653">
        <v>326</v>
      </c>
      <c r="E278" s="613"/>
      <c r="F278" s="613"/>
      <c r="G278" s="613"/>
      <c r="H278" s="613"/>
      <c r="I278" s="613"/>
      <c r="J278" s="613"/>
      <c r="K278" s="1682">
        <f>D278</f>
        <v>326</v>
      </c>
      <c r="L278" s="653">
        <v>325</v>
      </c>
    </row>
    <row r="279" spans="1:12" ht="12.75" customHeight="1" thickBot="1" x14ac:dyDescent="0.25">
      <c r="A279" s="1695" t="s">
        <v>811</v>
      </c>
      <c r="B279" s="1678">
        <v>2000</v>
      </c>
      <c r="C279" s="613"/>
      <c r="D279" s="1674">
        <f>SUM(D238,D243,D257,D261,D270,D277,D278)</f>
        <v>260952</v>
      </c>
      <c r="E279" s="613"/>
      <c r="F279" s="613"/>
      <c r="G279" s="613"/>
      <c r="H279" s="613"/>
      <c r="I279" s="613"/>
      <c r="J279" s="613"/>
      <c r="K279" s="1674">
        <f>SUM(K238,K243,K257,K261,K270,K277,K278)</f>
        <v>260952</v>
      </c>
      <c r="L279" s="1674">
        <f>SUM(L238,L243,L257,L261,L270,L277,L278)</f>
        <v>292975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1843</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300" t="s">
        <v>505</v>
      </c>
      <c r="B295" s="2301"/>
      <c r="C295" s="613"/>
      <c r="D295" s="1667">
        <f>SUM(D229,D279,D280,D285)</f>
        <v>434690</v>
      </c>
      <c r="E295" s="613"/>
      <c r="F295" s="613"/>
      <c r="G295" s="613"/>
      <c r="H295" s="1667">
        <f>H293</f>
        <v>0</v>
      </c>
      <c r="I295" s="613"/>
      <c r="J295" s="613"/>
      <c r="K295" s="1667">
        <f>SUM(K229,K279,K280,K285,K293,K294)</f>
        <v>434690</v>
      </c>
      <c r="L295" s="1667">
        <f>SUM(L229,L279,L280,L285,L293,L294)</f>
        <v>478405</v>
      </c>
    </row>
    <row r="296" spans="1:14" ht="13.5" thickTop="1" x14ac:dyDescent="0.2">
      <c r="A296" s="2282" t="s">
        <v>996</v>
      </c>
      <c r="B296" s="2283"/>
      <c r="C296" s="613"/>
      <c r="D296" s="615"/>
      <c r="E296" s="613"/>
      <c r="F296" s="613"/>
      <c r="G296" s="613"/>
      <c r="H296" s="684"/>
      <c r="I296" s="613"/>
      <c r="J296" s="613"/>
      <c r="K296" s="1681">
        <f>'Revenues 9-14'!G268-'Expenditures 15-22'!K295</f>
        <v>93410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92" t="s">
        <v>143</v>
      </c>
      <c r="B298" s="228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1848</v>
      </c>
      <c r="B306" s="687" t="s">
        <v>1843</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97" t="s">
        <v>277</v>
      </c>
      <c r="B312" s="2298"/>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93" t="s">
        <v>996</v>
      </c>
      <c r="B313" s="2294"/>
      <c r="C313" s="623"/>
      <c r="D313" s="623"/>
      <c r="E313" s="623"/>
      <c r="F313" s="623"/>
      <c r="G313" s="623"/>
      <c r="H313" s="623"/>
      <c r="I313" s="623"/>
      <c r="J313" s="623"/>
      <c r="K313" s="1682">
        <f>'Revenues 9-14'!H268-'Expenditures 15-22'!K312</f>
        <v>160890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06" t="s">
        <v>149</v>
      </c>
      <c r="B315" s="230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08" t="s">
        <v>898</v>
      </c>
      <c r="B317" s="230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41203</v>
      </c>
      <c r="F319" s="467">
        <v>0</v>
      </c>
      <c r="G319" s="467">
        <v>0</v>
      </c>
      <c r="H319" s="467">
        <v>0</v>
      </c>
      <c r="I319" s="467">
        <v>0</v>
      </c>
      <c r="J319" s="467">
        <v>0</v>
      </c>
      <c r="K319" s="1668">
        <f>SUM(C319:J319)</f>
        <v>41203</v>
      </c>
      <c r="L319" s="467">
        <v>50000</v>
      </c>
      <c r="M319" s="662"/>
      <c r="N319" s="662"/>
    </row>
    <row r="320" spans="1:14" s="671" customFormat="1" x14ac:dyDescent="0.2">
      <c r="A320" s="1520" t="s">
        <v>1803</v>
      </c>
      <c r="B320" s="695" t="s">
        <v>282</v>
      </c>
      <c r="C320" s="467">
        <v>0</v>
      </c>
      <c r="D320" s="467">
        <v>0</v>
      </c>
      <c r="E320" s="467">
        <v>58238</v>
      </c>
      <c r="F320" s="467">
        <v>0</v>
      </c>
      <c r="G320" s="467">
        <v>0</v>
      </c>
      <c r="H320" s="467">
        <v>0</v>
      </c>
      <c r="I320" s="467">
        <v>0</v>
      </c>
      <c r="J320" s="467">
        <v>0</v>
      </c>
      <c r="K320" s="1668">
        <f t="shared" ref="K320:K327" si="24">SUM(C320:J320)</f>
        <v>58238</v>
      </c>
      <c r="L320" s="467">
        <v>60000</v>
      </c>
      <c r="M320" s="662"/>
      <c r="N320" s="662"/>
    </row>
    <row r="321" spans="1:14" s="671" customFormat="1" x14ac:dyDescent="0.2">
      <c r="A321" s="1516" t="s">
        <v>300</v>
      </c>
      <c r="B321" s="694" t="s">
        <v>283</v>
      </c>
      <c r="C321" s="467">
        <v>0</v>
      </c>
      <c r="D321" s="467">
        <v>0</v>
      </c>
      <c r="E321" s="467">
        <v>706</v>
      </c>
      <c r="F321" s="467">
        <v>0</v>
      </c>
      <c r="G321" s="467">
        <v>0</v>
      </c>
      <c r="H321" s="467">
        <v>0</v>
      </c>
      <c r="I321" s="467">
        <v>0</v>
      </c>
      <c r="J321" s="467">
        <v>0</v>
      </c>
      <c r="K321" s="1668">
        <f t="shared" si="24"/>
        <v>706</v>
      </c>
      <c r="L321" s="467">
        <v>3000</v>
      </c>
      <c r="M321" s="662"/>
      <c r="N321" s="662"/>
    </row>
    <row r="322" spans="1:14" s="671" customFormat="1" x14ac:dyDescent="0.2">
      <c r="A322" s="1516" t="s">
        <v>238</v>
      </c>
      <c r="B322" s="694" t="s">
        <v>284</v>
      </c>
      <c r="C322" s="467">
        <v>0</v>
      </c>
      <c r="D322" s="467">
        <v>0</v>
      </c>
      <c r="E322" s="467">
        <v>81226</v>
      </c>
      <c r="F322" s="467">
        <v>0</v>
      </c>
      <c r="G322" s="467">
        <v>0</v>
      </c>
      <c r="H322" s="467">
        <v>0</v>
      </c>
      <c r="I322" s="467">
        <v>0</v>
      </c>
      <c r="J322" s="467">
        <v>0</v>
      </c>
      <c r="K322" s="1668">
        <f t="shared" si="24"/>
        <v>81226</v>
      </c>
      <c r="L322" s="467">
        <v>81000</v>
      </c>
      <c r="M322" s="662"/>
      <c r="N322" s="662"/>
    </row>
    <row r="323" spans="1:14" s="671" customFormat="1" x14ac:dyDescent="0.2">
      <c r="A323" s="1516" t="s">
        <v>702</v>
      </c>
      <c r="B323" s="694" t="s">
        <v>285</v>
      </c>
      <c r="C323" s="467">
        <v>0</v>
      </c>
      <c r="D323" s="467">
        <v>0</v>
      </c>
      <c r="E323" s="467">
        <v>59570</v>
      </c>
      <c r="F323" s="467">
        <v>0</v>
      </c>
      <c r="G323" s="467">
        <v>0</v>
      </c>
      <c r="H323" s="467">
        <v>0</v>
      </c>
      <c r="I323" s="467">
        <v>0</v>
      </c>
      <c r="J323" s="467">
        <v>0</v>
      </c>
      <c r="K323" s="1668">
        <f t="shared" si="24"/>
        <v>59570</v>
      </c>
      <c r="L323" s="467">
        <v>60000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301242</v>
      </c>
      <c r="D325" s="467">
        <v>7794</v>
      </c>
      <c r="E325" s="467">
        <v>16052</v>
      </c>
      <c r="F325" s="467">
        <v>440</v>
      </c>
      <c r="G325" s="467">
        <v>0</v>
      </c>
      <c r="H325" s="467">
        <v>0</v>
      </c>
      <c r="I325" s="467">
        <v>0</v>
      </c>
      <c r="J325" s="467">
        <v>0</v>
      </c>
      <c r="K325" s="1668">
        <f t="shared" si="24"/>
        <v>325528</v>
      </c>
      <c r="L325" s="467">
        <v>325000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34636</v>
      </c>
      <c r="F327" s="467">
        <v>0</v>
      </c>
      <c r="G327" s="467">
        <v>0</v>
      </c>
      <c r="H327" s="467">
        <v>0</v>
      </c>
      <c r="I327" s="467">
        <v>0</v>
      </c>
      <c r="J327" s="467">
        <v>0</v>
      </c>
      <c r="K327" s="1668">
        <f t="shared" si="24"/>
        <v>34636</v>
      </c>
      <c r="L327" s="467">
        <v>36000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301242</v>
      </c>
      <c r="D330" s="1667">
        <f t="shared" ref="D330:J330" si="25">SUM(D319:D329)</f>
        <v>7794</v>
      </c>
      <c r="E330" s="1667">
        <f t="shared" si="25"/>
        <v>291631</v>
      </c>
      <c r="F330" s="1667">
        <f t="shared" si="25"/>
        <v>440</v>
      </c>
      <c r="G330" s="1667">
        <f t="shared" si="25"/>
        <v>0</v>
      </c>
      <c r="H330" s="1667">
        <f t="shared" si="25"/>
        <v>0</v>
      </c>
      <c r="I330" s="1667">
        <f t="shared" si="25"/>
        <v>0</v>
      </c>
      <c r="J330" s="1667">
        <f t="shared" si="25"/>
        <v>0</v>
      </c>
      <c r="K330" s="1667">
        <f>SUM(K319:K329)</f>
        <v>601107</v>
      </c>
      <c r="L330" s="1667">
        <f>SUM(L319:L329)</f>
        <v>615000</v>
      </c>
      <c r="M330" s="662"/>
      <c r="N330" s="662"/>
    </row>
    <row r="331" spans="1:14" s="671" customFormat="1" ht="12.75" customHeight="1" thickTop="1" x14ac:dyDescent="0.2">
      <c r="A331" s="1828" t="s">
        <v>1849</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1843</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1845</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1850</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301242</v>
      </c>
      <c r="D342" s="1667">
        <f>SUM(D330)</f>
        <v>7794</v>
      </c>
      <c r="E342" s="1667">
        <f>SUM(E330)</f>
        <v>291631</v>
      </c>
      <c r="F342" s="1667">
        <f>SUM(F330)</f>
        <v>440</v>
      </c>
      <c r="G342" s="1667">
        <f>SUM(G330)</f>
        <v>0</v>
      </c>
      <c r="H342" s="1667">
        <f>SUM(H330,H334,H340)</f>
        <v>0</v>
      </c>
      <c r="I342" s="1667">
        <f>SUM(I330)</f>
        <v>0</v>
      </c>
      <c r="J342" s="1667">
        <f>SUM(J330)</f>
        <v>0</v>
      </c>
      <c r="K342" s="1667">
        <f>SUM(K330,K334,K340)</f>
        <v>601107</v>
      </c>
      <c r="L342" s="1674">
        <f>SUM(L330,L340,L341)</f>
        <v>615000</v>
      </c>
    </row>
    <row r="343" spans="1:14" ht="12.75" customHeight="1" thickTop="1" x14ac:dyDescent="0.2">
      <c r="A343" s="2295" t="s">
        <v>996</v>
      </c>
      <c r="B343" s="2296"/>
      <c r="C343" s="613"/>
      <c r="D343" s="613"/>
      <c r="E343" s="613"/>
      <c r="F343" s="613"/>
      <c r="G343" s="613"/>
      <c r="H343" s="613"/>
      <c r="I343" s="613"/>
      <c r="J343" s="613"/>
      <c r="K343" s="1681">
        <f>'Revenues 9-14'!J268-'Expenditures 15-22'!K342</f>
        <v>45705</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85" t="s">
        <v>966</v>
      </c>
      <c r="B345" s="228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143988</v>
      </c>
      <c r="F348" s="466">
        <v>0</v>
      </c>
      <c r="G348" s="466">
        <v>1347053</v>
      </c>
      <c r="H348" s="466">
        <v>0</v>
      </c>
      <c r="I348" s="467">
        <v>0</v>
      </c>
      <c r="J348" s="467">
        <v>0</v>
      </c>
      <c r="K348" s="1668">
        <f>SUM(C348:J348)</f>
        <v>1491041</v>
      </c>
      <c r="L348" s="466">
        <v>1555000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143988</v>
      </c>
      <c r="F350" s="1667">
        <f t="shared" si="26"/>
        <v>0</v>
      </c>
      <c r="G350" s="1667">
        <f t="shared" si="26"/>
        <v>1347053</v>
      </c>
      <c r="H350" s="1667">
        <f t="shared" si="26"/>
        <v>0</v>
      </c>
      <c r="I350" s="1667">
        <f t="shared" si="26"/>
        <v>0</v>
      </c>
      <c r="J350" s="1667">
        <f t="shared" si="26"/>
        <v>0</v>
      </c>
      <c r="K350" s="1667">
        <f t="shared" si="26"/>
        <v>1491041</v>
      </c>
      <c r="L350" s="1667">
        <f t="shared" si="26"/>
        <v>1555000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143988</v>
      </c>
      <c r="F352" s="1667">
        <f t="shared" si="27"/>
        <v>0</v>
      </c>
      <c r="G352" s="1667">
        <f t="shared" si="27"/>
        <v>1347053</v>
      </c>
      <c r="H352" s="1667">
        <f t="shared" si="27"/>
        <v>0</v>
      </c>
      <c r="I352" s="1667">
        <f t="shared" si="27"/>
        <v>0</v>
      </c>
      <c r="J352" s="1667">
        <f t="shared" si="27"/>
        <v>0</v>
      </c>
      <c r="K352" s="1667">
        <f t="shared" si="27"/>
        <v>1491041</v>
      </c>
      <c r="L352" s="1667">
        <f t="shared" si="27"/>
        <v>1555000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1851</v>
      </c>
      <c r="B354" s="680" t="s">
        <v>1843</v>
      </c>
      <c r="C354" s="613"/>
      <c r="D354" s="613"/>
      <c r="E354" s="613"/>
      <c r="F354" s="613"/>
      <c r="G354" s="613"/>
      <c r="H354" s="473">
        <v>0</v>
      </c>
      <c r="I354" s="698"/>
      <c r="J354" s="613"/>
      <c r="K354" s="1696">
        <f>H354</f>
        <v>0</v>
      </c>
      <c r="L354" s="471">
        <v>0</v>
      </c>
    </row>
    <row r="355" spans="1:14" ht="12.75" customHeight="1" x14ac:dyDescent="0.2">
      <c r="A355" s="1510" t="s">
        <v>1852</v>
      </c>
      <c r="B355" s="687" t="s">
        <v>1845</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143988</v>
      </c>
      <c r="F367" s="1667">
        <f t="shared" si="28"/>
        <v>0</v>
      </c>
      <c r="G367" s="1667">
        <f t="shared" si="28"/>
        <v>1347053</v>
      </c>
      <c r="H367" s="1667">
        <f t="shared" si="28"/>
        <v>0</v>
      </c>
      <c r="I367" s="1667">
        <f t="shared" si="28"/>
        <v>0</v>
      </c>
      <c r="J367" s="1667">
        <f t="shared" si="28"/>
        <v>0</v>
      </c>
      <c r="K367" s="1667">
        <f t="shared" si="28"/>
        <v>1491041</v>
      </c>
      <c r="L367" s="1667">
        <f t="shared" si="28"/>
        <v>1555000</v>
      </c>
    </row>
    <row r="368" spans="1:14" ht="13.5" thickTop="1" x14ac:dyDescent="0.2">
      <c r="A368" s="2282" t="s">
        <v>996</v>
      </c>
      <c r="B368" s="2283"/>
      <c r="C368" s="651"/>
      <c r="D368" s="651"/>
      <c r="E368" s="623"/>
      <c r="F368" s="623"/>
      <c r="G368" s="623"/>
      <c r="H368" s="623"/>
      <c r="I368" s="623"/>
      <c r="J368" s="620"/>
      <c r="K368" s="1668">
        <f>'Revenues 9-14'!K268-'Expenditures 15-22'!K367</f>
        <v>-1378562</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purl.org/dc/terms/"/>
    <ds:schemaRef ds:uri="http://schemas.microsoft.com/sharepoint/v3"/>
    <ds:schemaRef ds:uri="http://www.w3.org/XML/1998/namespace"/>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4d435f69-8686-490b-bd6d-b153bf22ab50"/>
    <ds:schemaRef ds:uri="d21dc803-237d-4c68-8692-8d731fd29118"/>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Finding 2019-001</vt:lpstr>
      <vt:lpstr>SF&amp;QC Sec-2</vt:lpstr>
      <vt:lpstr>SF&amp;QC Sec-3</vt:lpstr>
      <vt:lpstr>Finding 2019-002</vt:lpstr>
      <vt:lpstr>SSPAF</vt:lpstr>
      <vt:lpstr>CAP 2019-001</vt:lpstr>
      <vt:lpstr>CAP 2019-002</vt:lpstr>
      <vt:lpstr>' SEFA'!Print_Area</vt:lpstr>
      <vt:lpstr>'Finding 2019-002'!Print_Area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2019-11-01T21:03:40Z</cp:lastPrinted>
  <dcterms:created xsi:type="dcterms:W3CDTF">2003-10-29T19:06:34Z</dcterms:created>
  <dcterms:modified xsi:type="dcterms:W3CDTF">2019-12-17T20:03:13Z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