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22" i="181" l="1"/>
  <c r="E4" i="7" l="1"/>
  <c r="E21" i="181"/>
  <c r="F21" i="181" s="1"/>
  <c r="G21" i="181" s="1"/>
  <c r="E20" i="181"/>
  <c r="F20" i="181" s="1"/>
  <c r="G20" i="181" s="1"/>
  <c r="E19" i="181"/>
  <c r="E18" i="181"/>
  <c r="F18" i="181" s="1"/>
  <c r="G18" i="181" s="1"/>
  <c r="F19" i="181" l="1"/>
  <c r="G19" i="181" s="1"/>
  <c r="C11" i="3"/>
  <c r="D8" i="29"/>
  <c r="E39" i="3" l="1"/>
  <c r="C9" i="4" l="1"/>
  <c r="D37" i="29" l="1"/>
  <c r="C37" i="29"/>
  <c r="M19" i="3"/>
  <c r="C4" i="3" l="1"/>
  <c r="F4" i="3"/>
  <c r="J4" i="3"/>
  <c r="K4" i="3"/>
  <c r="I13" i="11"/>
  <c r="I12" i="11"/>
  <c r="I8" i="11"/>
  <c r="D13" i="11"/>
  <c r="D12" i="11"/>
  <c r="E182" i="29" l="1"/>
  <c r="J19" i="12" l="1"/>
  <c r="J34" i="8" l="1"/>
  <c r="D267" i="29" l="1"/>
  <c r="D268" i="29"/>
  <c r="D266" i="29"/>
  <c r="D264" i="29"/>
  <c r="D259" i="29"/>
  <c r="D245" i="29"/>
  <c r="D241" i="29"/>
  <c r="D240" i="29"/>
  <c r="D237" i="29"/>
  <c r="D234" i="29"/>
  <c r="D233" i="29"/>
  <c r="D232" i="29"/>
  <c r="D219" i="29"/>
  <c r="D217" i="29"/>
  <c r="D216" i="29"/>
  <c r="D182" i="29"/>
  <c r="D124" i="29"/>
  <c r="E124" i="29"/>
  <c r="C124" i="29"/>
  <c r="D14" i="29"/>
  <c r="E61" i="29"/>
  <c r="D63" i="29"/>
  <c r="D61" i="29"/>
  <c r="D60" i="29"/>
  <c r="D55" i="29"/>
  <c r="D50" i="29"/>
  <c r="D49" i="29"/>
  <c r="D45" i="29"/>
  <c r="D44" i="29"/>
  <c r="D41" i="29"/>
  <c r="D38" i="29"/>
  <c r="D17" i="29"/>
  <c r="D7" i="29"/>
  <c r="D13" i="29"/>
  <c r="D10" i="29"/>
  <c r="D5" i="29"/>
  <c r="C63" i="29"/>
  <c r="C61" i="29"/>
  <c r="C55" i="29"/>
  <c r="C50" i="29"/>
  <c r="C49" i="29"/>
  <c r="C45" i="29"/>
  <c r="C44" i="29"/>
  <c r="C41" i="29"/>
  <c r="C38" i="29"/>
  <c r="C17" i="29"/>
  <c r="C14" i="29"/>
  <c r="C13" i="29"/>
  <c r="C10" i="29"/>
  <c r="C8" i="29"/>
  <c r="C7" i="29"/>
  <c r="C5" i="29"/>
  <c r="K5" i="5" l="1"/>
  <c r="J5" i="5"/>
  <c r="I5" i="5"/>
  <c r="G8" i="5"/>
  <c r="G5" i="5"/>
  <c r="F65" i="5"/>
  <c r="F5" i="5"/>
  <c r="E5" i="5"/>
  <c r="D5" i="5"/>
  <c r="C107" i="5"/>
  <c r="C200" i="5"/>
  <c r="C99" i="5"/>
  <c r="C84" i="5"/>
  <c r="C77" i="5"/>
  <c r="C69" i="5"/>
  <c r="C7" i="5"/>
  <c r="C6" i="5"/>
  <c r="C5" i="5"/>
  <c r="I4" i="3"/>
  <c r="G4" i="3"/>
  <c r="D4" i="3"/>
  <c r="C5" i="3"/>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G44" i="181" l="1"/>
  <c r="G43" i="181"/>
  <c r="G34" i="181"/>
  <c r="G30" i="181"/>
  <c r="G28" i="181"/>
  <c r="G26" i="181"/>
  <c r="D142" i="181"/>
  <c r="D80" i="36" l="1"/>
  <c r="B7797" i="106"/>
  <c r="E142" i="181"/>
  <c r="E17" i="181"/>
  <c r="F17" i="181" s="1"/>
  <c r="G17" i="181" l="1"/>
  <c r="G142" i="18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K96" i="29"/>
  <c r="B7003" i="106" s="1"/>
  <c r="D7003" i="106" s="1"/>
  <c r="K97" i="29"/>
  <c r="B7005" i="106" s="1"/>
  <c r="D7005" i="106" s="1"/>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0" i="106"/>
  <c r="D7010"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E27" i="108"/>
  <c r="G27" i="108"/>
  <c r="F31" i="108"/>
  <c r="F36" i="108"/>
  <c r="G28" i="108"/>
  <c r="D31" i="108"/>
  <c r="D36" i="108"/>
  <c r="E31" i="108"/>
  <c r="G31" i="108"/>
  <c r="E34" i="108"/>
  <c r="E36" i="108"/>
  <c r="G36" i="108"/>
  <c r="E37" i="108"/>
  <c r="G37" i="108"/>
  <c r="E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F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E33" i="108" l="1"/>
  <c r="G14" i="4"/>
  <c r="B2609" i="106" s="1"/>
  <c r="D2609" i="106" s="1"/>
  <c r="F72" i="34"/>
  <c r="G39" i="108"/>
  <c r="F46" i="34"/>
  <c r="F36" i="34"/>
  <c r="G35" i="108"/>
  <c r="H342" i="29"/>
  <c r="B7221" i="106" s="1"/>
  <c r="D7221" i="106" s="1"/>
  <c r="B2724" i="106"/>
  <c r="D2724" i="106" s="1"/>
  <c r="F50" i="34"/>
  <c r="F42" i="34"/>
  <c r="E35" i="108"/>
  <c r="B3647" i="106"/>
  <c r="D3647" i="106" s="1"/>
  <c r="B1124" i="106"/>
  <c r="D1124" i="106" s="1"/>
  <c r="B1274" i="106"/>
  <c r="D1274" i="106" s="1"/>
  <c r="H112" i="29"/>
  <c r="B7018" i="106" s="1"/>
  <c r="D7018" i="106" s="1"/>
  <c r="J22" i="37"/>
  <c r="D54" i="36"/>
  <c r="L5" i="11"/>
  <c r="B2056" i="106" s="1"/>
  <c r="D2056" i="106" s="1"/>
  <c r="D22" i="37"/>
  <c r="H33" i="118"/>
  <c r="L367" i="29"/>
  <c r="D6103" i="106"/>
  <c r="H76" i="4"/>
  <c r="B3298" i="106" s="1"/>
  <c r="D3298" i="106" s="1"/>
  <c r="B6289" i="106"/>
  <c r="D6289" i="106" s="1"/>
  <c r="G29" i="108"/>
  <c r="J210" i="29"/>
  <c r="B7072" i="106" s="1"/>
  <c r="D7072" i="106" s="1"/>
  <c r="L342" i="29"/>
  <c r="H365" i="29"/>
  <c r="B7242" i="106" s="1"/>
  <c r="D7242" i="106" s="1"/>
  <c r="K76" i="4"/>
  <c r="B3586" i="106" s="1"/>
  <c r="D3586" i="106" s="1"/>
  <c r="D69" i="36"/>
  <c r="C342" i="29"/>
  <c r="B7216" i="106" s="1"/>
  <c r="D7216" i="106" s="1"/>
  <c r="E29" i="108"/>
  <c r="F28" i="108"/>
  <c r="G30" i="108"/>
  <c r="F34" i="34"/>
  <c r="F27" i="108"/>
  <c r="C129" i="29"/>
  <c r="C151" i="29" s="1"/>
  <c r="B1226" i="106" s="1"/>
  <c r="D1226" i="106" s="1"/>
  <c r="F77" i="4"/>
  <c r="B3255" i="106" s="1"/>
  <c r="D3255" i="106" s="1"/>
  <c r="H28" i="118"/>
  <c r="G15" i="145"/>
  <c r="L13" i="11"/>
  <c r="B2060" i="106" s="1"/>
  <c r="D2060" i="106" s="1"/>
  <c r="D24" i="37"/>
  <c r="B4270" i="106" s="1"/>
  <c r="D4270" i="106" s="1"/>
  <c r="L22" i="37"/>
  <c r="D68" i="36"/>
  <c r="F19" i="7"/>
  <c r="B1807" i="106" s="1"/>
  <c r="D1807" i="106" s="1"/>
  <c r="I210" i="29"/>
  <c r="B7071" i="106" s="1"/>
  <c r="D7071" i="106" s="1"/>
  <c r="C352" i="29"/>
  <c r="B3621" i="106" s="1"/>
  <c r="D3621" i="106" s="1"/>
  <c r="J352" i="29"/>
  <c r="J367" i="29" s="1"/>
  <c r="B7245" i="106" s="1"/>
  <c r="D7245" i="106" s="1"/>
  <c r="K184" i="29"/>
  <c r="F13" i="4" s="1"/>
  <c r="B2596" i="106" s="1"/>
  <c r="D2596" i="106" s="1"/>
  <c r="G210" i="29"/>
  <c r="J77" i="4"/>
  <c r="B6262" i="106" s="1"/>
  <c r="D6262" i="106" s="1"/>
  <c r="J41" i="3"/>
  <c r="B6216" i="106" s="1"/>
  <c r="D621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4" i="106" l="1"/>
  <c r="B1328" i="106"/>
  <c r="D1328" i="106" s="1"/>
  <c r="B5770" i="106"/>
  <c r="D5770" i="106" s="1"/>
  <c r="K77" i="4"/>
  <c r="B3587" i="106" s="1"/>
  <c r="D3587" i="106" s="1"/>
  <c r="H77" i="4"/>
  <c r="B3299" i="106" s="1"/>
  <c r="D3299" i="106" s="1"/>
  <c r="K365" i="29"/>
  <c r="B7243" i="106" s="1"/>
  <c r="D7243" i="106" s="1"/>
  <c r="D51" i="36"/>
  <c r="D44" i="36"/>
  <c r="B1381" i="106"/>
  <c r="D1381" i="106" s="1"/>
  <c r="B1365" i="106"/>
  <c r="D1365" i="106" s="1"/>
  <c r="F65" i="34"/>
  <c r="F41" i="108"/>
  <c r="G43" i="108" s="1"/>
  <c r="B4435" i="106"/>
  <c r="D4435" i="106" s="1"/>
  <c r="D7256" i="106"/>
  <c r="D7251" i="106"/>
  <c r="L16" i="11"/>
  <c r="B2061" i="106" s="1"/>
  <c r="D2061" i="106" s="1"/>
  <c r="K28" i="118"/>
  <c r="O27" i="118" s="1"/>
  <c r="O29" i="118" s="1"/>
  <c r="L114" i="29"/>
  <c r="D7250" i="106"/>
  <c r="D41" i="108"/>
  <c r="E43" i="108" s="1"/>
  <c r="C114" i="29"/>
  <c r="B757" i="106" s="1"/>
  <c r="D757" i="106" s="1"/>
  <c r="K342" i="29"/>
  <c r="F13" i="34" s="1"/>
  <c r="N23" i="3"/>
  <c r="B284" i="106" s="1"/>
  <c r="D284"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3678" i="106" s="1"/>
  <c r="D3678" i="106" s="1"/>
  <c r="F24" i="37"/>
  <c r="B7224" i="106"/>
  <c r="D7224" i="106" s="1"/>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368" i="29"/>
  <c r="B3681" i="106" s="1"/>
  <c r="D3681" i="106" s="1"/>
  <c r="B6223" i="106"/>
  <c r="D6223" i="106" s="1"/>
  <c r="J20" i="4"/>
  <c r="J78" i="4" s="1"/>
  <c r="K17" i="4"/>
  <c r="B3575" i="106" s="1"/>
  <c r="D3575"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B6230" i="106"/>
  <c r="D6230"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175" i="34"/>
  <c r="F79" i="34"/>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<sst xmlns="http://schemas.openxmlformats.org/spreadsheetml/2006/main" count="5103" uniqueCount="2123">
  <si>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</si>
  <si>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</si>
  <si>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</si>
  <si>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</si>
  <si>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</si>
  <si>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</si>
  <si>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</si>
  <si>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</si>
  <si>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</si>
  <si>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</si>
  <si>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</si>
  <si>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</si>
  <si>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</si>
  <si>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</si>
  <si>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</si>
  <si>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</si>
  <si>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</si>
  <si>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</si>
  <si>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</si>
  <si>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</si>
  <si>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</si>
  <si>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</si>
  <si>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</si>
  <si>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</si>
  <si>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</si>
  <si>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</si>
  <si>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</si>
  <si>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</si>
  <si>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</si>
  <si>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</si>
  <si>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</si>
  <si>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</si>
  <si>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</si>
  <si>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</si>
  <si>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</si>
  <si>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</si>
  <si>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</si>
  <si>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</si>
  <si>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</si>
  <si>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</si>
  <si>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</si>
  <si>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</si>
  <si>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</si>
  <si>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</si>
  <si>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</si>
  <si>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</si>
  <si>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</si>
  <si>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</si>
  <si>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</si>
  <si>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</si>
  <si>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</si>
  <si>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</si>
  <si>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</si>
  <si>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</si>
  <si>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</si>
  <si>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</si>
  <si>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</si>
  <si>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</si>
  <si>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</si>
  <si>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</si>
  <si>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</si>
  <si>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</si>
  <si>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</si>
  <si>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</si>
  <si>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</si>
  <si>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</si>
  <si>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</si>
  <si>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</si>
  <si>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</si>
  <si>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</si>
  <si>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</si>
  <si>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</si>
  <si>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</si>
  <si>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</si>
  <si>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</si>
  <si>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</si>
  <si>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</si>
  <si>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</si>
  <si>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</si>
  <si>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</si>
  <si>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</si>
  <si>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</si>
  <si>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</si>
  <si>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</si>
  <si>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</si>
  <si>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</si>
  <si>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</si>
  <si>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</si>
  <si>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</si>
  <si>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</si>
  <si>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</si>
  <si>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</si>
  <si>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</si>
  <si>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</si>
  <si>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</si>
  <si>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</si>
  <si>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</si>
  <si>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</si>
  <si>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</si>
  <si>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</si>
  <si>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</si>
  <si>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</si>
  <si>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</si>
  <si>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</si>
  <si>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</si>
  <si>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</si>
  <si>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</si>
  <si>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</si>
  <si>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</si>
  <si>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</si>
  <si>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</si>
  <si>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</si>
  <si>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</si>
  <si>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</si>
  <si>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</si>
  <si>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</si>
  <si>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</si>
  <si>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</si>
  <si>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</si>
  <si>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</si>
  <si>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</si>
  <si>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</si>
  <si>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</si>
  <si>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</si>
  <si>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</si>
  <si>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</si>
  <si>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</si>
  <si>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</si>
  <si>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</si>
  <si>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</si>
  <si>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</si>
  <si>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</si>
  <si>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</si>
  <si>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</si>
  <si>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</si>
  <si>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</si>
  <si>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</si>
  <si>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</si>
  <si>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</si>
  <si>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</si>
  <si>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</si>
  <si>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</si>
  <si>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</si>
  <si>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</si>
  <si>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</si>
  <si>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</si>
  <si>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</si>
  <si>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</si>
  <si>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</si>
  <si>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</si>
  <si>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</si>
  <si>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</si>
  <si>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</si>
  <si>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</si>
  <si>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</si>
  <si>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</si>
  <si>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</si>
  <si>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</si>
  <si>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</si>
  <si>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</si>
  <si>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</si>
  <si>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</si>
  <si>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</si>
  <si>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</si>
  <si>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</si>
  <si>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</si>
  <si>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</si>
  <si>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</si>
  <si>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</si>
  <si>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</si>
  <si>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</si>
  <si>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</si>
  <si>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</si>
  <si>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</si>
  <si>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</si>
  <si>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</si>
  <si>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</si>
  <si>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</si>
  <si>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</si>
  <si>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</si>
  <si>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</si>
  <si>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</si>
  <si>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</si>
  <si>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</si>
  <si>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</si>
  <si>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</si>
  <si>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</si>
  <si>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</si>
  <si>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</si>
  <si>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</si>
  <si>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</si>
  <si>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</si>
  <si>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</si>
  <si>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</si>
  <si>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</si>
  <si>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</si>
  <si>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</si>
  <si>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</si>
  <si>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</si>
  <si>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</si>
  <si>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</si>
  <si>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</si>
  <si>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</si>
  <si>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</si>
  <si>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</si>
  <si>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</si>
  <si>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</si>
  <si>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</si>
  <si>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</si>
  <si>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</si>
  <si>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</si>
  <si>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</si>
  <si>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</si>
  <si>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</si>
  <si>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</si>
  <si>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</si>
  <si>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</si>
  <si>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</si>
  <si>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</si>
  <si>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</si>
  <si>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</si>
  <si>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</si>
  <si>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</si>
  <si>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</si>
  <si>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</si>
  <si>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</si>
  <si>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</si>
  <si>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</si>
  <si>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</si>
  <si>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</si>
  <si>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</si>
  <si>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</si>
  <si>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</si>
  <si>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</si>
  <si>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</si>
  <si>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</si>
  <si>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</si>
  <si>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</si>
  <si>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</si>
  <si>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</si>
  <si>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</si>
  <si>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</si>
  <si>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</si>
  <si>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</si>
  <si>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</si>
  <si>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</si>
  <si>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</si>
  <si>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</si>
  <si>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</si>
  <si>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</si>
  <si>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</si>
  <si>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</si>
  <si>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</si>
  <si>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</si>
  <si>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</si>
  <si>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</si>
  <si>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</si>
  <si>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</si>
  <si>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</si>
  <si>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</si>
  <si>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</si>
  <si>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</si>
  <si>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</si>
  <si>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</si>
  <si>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</si>
  <si>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</si>
  <si>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</si>
  <si>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</si>
  <si>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</si>
  <si>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</si>
  <si>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</si>
  <si>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</si>
  <si>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</si>
  <si>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</si>
  <si>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</si>
  <si>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</si>
  <si>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</si>
  <si>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</si>
  <si>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</si>
  <si>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</si>
  <si>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</si>
  <si>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</si>
  <si>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</si>
  <si>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</si>
  <si>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</si>
  <si>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</si>
  <si>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</si>
  <si>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</si>
  <si>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</si>
  <si>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</si>
  <si>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</si>
  <si>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</si>
  <si>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</si>
  <si>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</si>
  <si>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</si>
  <si>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</si>
  <si>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</si>
  <si>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</si>
  <si>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</si>
  <si>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</si>
  <si>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</si>
  <si>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</si>
  <si>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</si>
  <si>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</si>
  <si>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</si>
  <si>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</si>
  <si>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</si>
  <si>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</si>
  <si>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</si>
  <si>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</si>
  <si>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</si>
  <si>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</si>
  <si>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</si>
  <si>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</si>
  <si>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</si>
  <si>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</si>
  <si>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</si>
  <si>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</si>
  <si>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</si>
  <si>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</si>
  <si>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</si>
  <si>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</si>
  <si>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</si>
  <si>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</si>
  <si>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</si>
  <si>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</si>
  <si>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</si>
  <si>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</si>
  <si>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</si>
  <si>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</si>
  <si>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</si>
  <si>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</si>
  <si>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</si>
  <si>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</si>
  <si>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</si>
  <si>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</si>
  <si>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</si>
  <si>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</si>
  <si>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</si>
  <si>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</si>
  <si>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</si>
  <si>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</si>
  <si>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</si>
  <si>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</si>
  <si>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</si>
  <si>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</si>
  <si>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</si>
  <si>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</si>
  <si>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</si>
  <si>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</si>
  <si>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</si>
  <si>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</si>
  <si>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</si>
  <si>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</si>
  <si>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</si>
  <si>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</si>
  <si>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</si>
  <si>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</si>
  <si>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</si>
  <si>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</si>
  <si>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</si>
  <si>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</si>
  <si>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</si>
  <si>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</si>
  <si>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</si>
  <si>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</si>
  <si>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</si>
  <si>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</si>
  <si>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</si>
  <si>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</si>
  <si>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</si>
  <si>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</si>
  <si>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</si>
  <si>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</si>
  <si>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</si>
  <si>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</si>
  <si>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</si>
  <si>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</si>
  <si>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</si>
  <si>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</si>
  <si>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</si>
  <si>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</si>
  <si>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</si>
  <si>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</si>
  <si>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</si>
  <si>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</si>
  <si>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</si>
  <si>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</si>
  <si>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</si>
  <si>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</si>
  <si>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</si>
  <si>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</si>
  <si>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</si>
  <si>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</si>
  <si>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</si>
  <si>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</si>
  <si>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</si>
  <si>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</si>
  <si>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</si>
  <si>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</si>
  <si>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</si>
  <si>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</si>
  <si>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</si>
  <si>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</si>
  <si>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</si>
  <si>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</si>
  <si>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</si>
  <si>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</si>
  <si>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</si>
  <si>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</si>
  <si>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</si>
  <si>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</si>
  <si>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</si>
  <si>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</si>
  <si>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</si>
  <si>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</si>
  <si>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</si>
  <si>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</si>
  <si>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</si>
  <si>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</si>
  <si>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</si>
  <si>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</si>
  <si>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</si>
  <si>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</si>
  <si>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</si>
  <si>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</si>
  <si>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</si>
  <si>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</si>
  <si>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</si>
  <si>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</si>
  <si>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</si>
  <si>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</si>
  <si>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</si>
  <si>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</si>
  <si>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</si>
  <si>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</si>
  <si>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</si>
  <si>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</si>
  <si>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</si>
  <si>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</si>
  <si>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</si>
  <si>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</si>
  <si>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</si>
  <si>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</si>
  <si>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</si>
  <si>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</si>
  <si>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</si>
  <si>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</si>
  <si>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</si>
  <si>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</si>
  <si>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</si>
  <si>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</si>
  <si>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</si>
  <si>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</si>
  <si>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</si>
  <si>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</si>
  <si>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</si>
  <si>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</si>
  <si>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</si>
  <si>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</si>
  <si>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</si>
  <si>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</si>
  <si>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</si>
  <si>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</si>
  <si>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</si>
  <si>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</si>
  <si>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</si>
  <si>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</si>
  <si>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</si>
  <si>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</si>
  <si>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</si>
  <si>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</si>
  <si>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</si>
  <si>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</si>
  <si>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</si>
  <si>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</si>
  <si>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</si>
  <si>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</si>
  <si>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</si>
  <si>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</si>
  <si>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</si>
  <si>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</si>
  <si>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</si>
  <si>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</si>
  <si>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</si>
  <si>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</si>
  <si>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</si>
  <si>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</si>
  <si>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</si>
  <si>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</si>
  <si>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</si>
  <si>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</si>
  <si>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</si>
  <si>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</si>
  <si>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</si>
  <si>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</si>
  <si>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</si>
  <si>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</si>
  <si>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</si>
  <si>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</si>
  <si>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</si>
  <si>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</si>
  <si>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</si>
  <si>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</si>
  <si>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</si>
  <si>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</si>
  <si>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</si>
  <si>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</si>
  <si>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</si>
  <si>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</si>
  <si>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</si>
  <si>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</si>
  <si>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</si>
  <si>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</si>
  <si>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</si>
  <si>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</si>
  <si>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</si>
  <si>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</si>
  <si>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</si>
  <si>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</si>
  <si>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</si>
  <si>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</si>
  <si>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</si>
  <si>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</si>
  <si>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</si>
  <si>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</si>
  <si>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</si>
  <si>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</si>
  <si>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</si>
  <si>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</si>
  <si>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</si>
  <si>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</si>
  <si>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</si>
  <si>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</si>
  <si>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</si>
  <si>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</si>
  <si>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</si>
  <si>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</si>
  <si>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</si>
  <si>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</si>
  <si>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</si>
  <si>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</si>
  <si>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</si>
  <si>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</si>
  <si>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</si>
  <si>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</si>
  <si>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</si>
  <si>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</si>
  <si>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</si>
  <si>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</si>
  <si>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</si>
  <si>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</si>
  <si>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</si>
  <si>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</si>
  <si>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</si>
  <si>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</si>
  <si>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</si>
  <si>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</si>
  <si>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</si>
  <si>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</si>
  <si>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</si>
  <si>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</si>
  <si>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</si>
  <si>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</si>
  <si>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</si>
  <si>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</si>
  <si>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</si>
  <si>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</si>
  <si>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</si>
  <si>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</si>
  <si>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</si>
  <si>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</si>
  <si>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</si>
  <si>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</si>
  <si>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</si>
  <si>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</si>
  <si>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</si>
  <si>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</si>
  <si>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</si>
  <si>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</si>
  <si>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</si>
  <si>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</si>
  <si>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</si>
  <si>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</si>
  <si>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</si>
  <si>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</si>
  <si>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</si>
  <si>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</si>
  <si>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</si>
  <si>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</si>
  <si>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</si>
  <si>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</si>
  <si>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</si>
  <si>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</si>
  <si>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</si>
  <si>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</si>
  <si>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</si>
  <si>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</si>
  <si>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</si>
  <si>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</si>
  <si>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</si>
  <si>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</si>
  <si>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</si>
  <si>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</si>
  <si>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</si>
  <si>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</si>
  <si>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</si>
  <si>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</si>
  <si>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</si>
  <si>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</si>
  <si>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</si>
  <si>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</si>
  <si>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</si>
  <si>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</si>
  <si>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</si>
  <si>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</si>
  <si>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</si>
  <si>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</si>
  <si>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</si>
  <si>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</si>
  <si>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</si>
  <si>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</si>
  <si>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</si>
  <si>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</si>
  <si>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</si>
  <si>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</si>
  <si>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</si>
  <si>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</si>
  <si>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</si>
  <si>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</si>
  <si>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</si>
  <si>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</si>
  <si>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</si>
  <si>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</si>
  <si>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</si>
  <si>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</si>
  <si>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</si>
  <si>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</si>
  <si>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</si>
  <si>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</si>
  <si>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</si>
  <si>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</si>
  <si>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</si>
  <si>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</si>
  <si>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</si>
  <si>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</si>
  <si>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</si>
  <si>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</si>
  <si>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</si>
  <si>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</si>
  <si>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</si>
  <si>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</si>
  <si>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</si>
  <si>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</si>
  <si>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</si>
  <si>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</si>
  <si>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</si>
  <si>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</si>
  <si>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</si>
  <si>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</si>
  <si>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</si>
  <si>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</si>
  <si>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</si>
  <si>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</si>
  <si>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</si>
  <si>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</si>
  <si>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</si>
  <si>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</si>
  <si>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</si>
  <si>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</si>
  <si>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</si>
  <si>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</si>
  <si>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</si>
  <si>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</si>
  <si>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</si>
  <si>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</si>
  <si>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</si>
  <si>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</si>
  <si>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</si>
  <si>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</si>
  <si>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</si>
  <si>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</si>
  <si>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</si>
  <si>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</si>
  <si>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</si>
  <si>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</si>
  <si>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</si>
  <si>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</si>
  <si>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</si>
  <si>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</si>
  <si>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</si>
  <si>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</si>
  <si>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</si>
  <si>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</si>
  <si>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</si>
  <si>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</si>
  <si>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</si>
  <si>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</si>
  <si>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</si>
  <si>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</si>
  <si>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</si>
  <si>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</si>
  <si>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</si>
  <si>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</si>
  <si>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</si>
  <si>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</si>
  <si>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</si>
  <si>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</si>
  <si>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</si>
  <si>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</si>
  <si>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</si>
  <si>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</si>
  <si>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</si>
  <si>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</si>
  <si>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</si>
  <si>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</si>
  <si>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</si>
  <si>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</si>
  <si>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</si>
  <si>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</si>
  <si>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</si>
  <si>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</si>
  <si>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</si>
  <si>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</si>
  <si>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</si>
  <si>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</si>
  <si>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</si>
  <si>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</si>
  <si>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</si>
  <si>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</si>
  <si>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</si>
  <si>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</si>
  <si>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</si>
  <si>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</si>
  <si>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</si>
  <si>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</si>
  <si>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</si>
  <si>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</si>
  <si>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</si>
  <si>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</si>
  <si>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</si>
  <si>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</si>
  <si>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</si>
  <si>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</si>
  <si>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</si>
  <si>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</si>
  <si>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</si>
  <si>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</si>
  <si>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</si>
  <si>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</si>
  <si>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</si>
  <si>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</si>
  <si>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</si>
  <si>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</si>
  <si>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</si>
  <si>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</si>
  <si>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</si>
  <si>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</si>
  <si>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</si>
  <si>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</si>
  <si>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</si>
  <si>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</si>
  <si>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</si>
  <si>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</si>
  <si>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</si>
  <si>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</si>
  <si>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</si>
  <si>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</si>
  <si>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</si>
  <si>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</si>
  <si>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</si>
  <si>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</si>
  <si>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</si>
  <si>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</si>
  <si>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</si>
  <si>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</si>
  <si>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</si>
  <si>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</si>
  <si>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</si>
  <si>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</si>
  <si>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</si>
  <si>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</si>
  <si>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</si>
  <si>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</si>
  <si>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</si>
  <si>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</si>
  <si>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</si>
  <si>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</si>
  <si>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</si>
  <si>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</si>
  <si>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</si>
  <si>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</si>
  <si>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</si>
  <si>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</si>
  <si>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</si>
  <si>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</si>
  <si>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</si>
  <si>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</si>
  <si>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</si>
  <si>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</si>
  <si>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</si>
  <si>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</si>
  <si>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</si>
  <si>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</si>
  <si>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</si>
  <si>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</si>
  <si>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</si>
  <si>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</si>
  <si>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</si>
  <si>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</si>
  <si>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</si>
  <si>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</si>
  <si>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</si>
  <si>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</si>
  <si>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</si>
  <si>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</si>
  <si>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</si>
  <si>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</si>
  <si>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</si>
  <si>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</si>
  <si>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</si>
  <si>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</si>
  <si>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</si>
  <si>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</si>
  <si>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</si>
  <si>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</si>
  <si>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</si>
  <si>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</si>
  <si>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</si>
  <si>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</si>
  <si>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</si>
  <si>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</si>
  <si>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</si>
  <si>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</si>
  <si>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</si>
  <si>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</si>
  <si>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</si>
  <si>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</si>
  <si>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</si>
  <si>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</si>
  <si>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</si>
  <si>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</si>
  <si>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</si>
  <si>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</si>
  <si>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</si>
  <si>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</si>
  <si>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</si>
  <si>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</si>
  <si>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</si>
  <si>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</si>
  <si>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</si>
  <si>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</si>
  <si>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</si>
  <si>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</si>
  <si>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</si>
  <si>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</si>
  <si>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</si>
  <si>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</si>
  <si>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</si>
  <si>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</si>
  <si>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</si>
  <si>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</si>
  <si>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</si>
  <si>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</si>
  <si>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</si>
  <si>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</si>
  <si>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</si>
  <si>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</si>
  <si>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</si>
  <si>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</si>
  <si>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</si>
  <si>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</si>
  <si>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</si>
  <si>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</si>
  <si>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</si>
  <si>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</si>
  <si>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</si>
  <si>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</si>
  <si>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</si>
  <si>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</si>
  <si>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</si>
  <si>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</si>
  <si>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</si>
  <si>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</si>
  <si>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</si>
  <si>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</si>
  <si>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</si>
  <si>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</si>
  <si>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</si>
  <si>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</si>
  <si>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</si>
  <si>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</si>
  <si>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</si>
  <si>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</si>
  <si>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</si>
  <si>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</si>
  <si>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</si>
  <si>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</si>
  <si>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</si>
  <si>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</si>
  <si>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</si>
  <si>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</si>
  <si>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</si>
  <si>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</si>
  <si>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</si>
  <si>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</si>
  <si>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</si>
  <si>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</si>
  <si>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</si>
  <si>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</si>
  <si>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</si>
  <si>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</si>
  <si>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</si>
  <si>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</si>
  <si>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</si>
  <si>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</si>
  <si>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</si>
  <si>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</si>
  <si>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</si>
  <si>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</si>
  <si>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</si>
  <si>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</si>
  <si>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</si>
  <si>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</si>
  <si>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</si>
  <si>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</si>
  <si>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</si>
  <si>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</si>
  <si>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</si>
  <si>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</si>
  <si>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</si>
  <si>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</si>
  <si>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</si>
  <si>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</si>
  <si>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</si>
  <si>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</si>
  <si>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</si>
  <si>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</si>
  <si>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</si>
  <si>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</si>
  <si>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</si>
  <si>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</si>
  <si>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</si>
  <si>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</si>
  <si>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</si>
  <si>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</si>
  <si>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</si>
  <si>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</si>
  <si>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</si>
  <si>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</si>
  <si>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</si>
  <si>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</si>
  <si>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</si>
  <si>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</si>
  <si>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</si>
  <si>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</si>
  <si>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</si>
  <si>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</si>
  <si>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</si>
  <si>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</si>
  <si>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</si>
  <si>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</si>
  <si>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</si>
  <si>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</si>
  <si>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</si>
  <si>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</si>
  <si>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</si>
  <si>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</si>
  <si>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</si>
  <si>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</si>
  <si>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</si>
  <si>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</si>
  <si>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</si>
  <si>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</si>
  <si>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</si>
  <si>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</si>
  <si>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</si>
  <si>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</si>
  <si>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</si>
  <si>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</si>
  <si>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</si>
  <si>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</si>
  <si>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</si>
  <si>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</si>
  <si>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</si>
  <si>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</si>
  <si>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</si>
  <si>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</si>
  <si>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</si>
  <si>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</si>
  <si>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</si>
  <si>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</si>
  <si>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</si>
  <si>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</si>
  <si>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</si>
  <si>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</si>
  <si>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</si>
  <si>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</si>
  <si>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</si>
  <si>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</si>
  <si>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</si>
  <si>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</si>
  <si>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</si>
  <si>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</si>
  <si>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</si>
  <si>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</si>
  <si>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</si>
  <si>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</si>
  <si>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</si>
  <si>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</si>
  <si>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</si>
  <si>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</si>
  <si>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</si>
  <si>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</si>
  <si>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</si>
  <si>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</si>
  <si>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</si>
  <si>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</si>
  <si>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</si>
  <si>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</si>
  <si>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</si>
  <si>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</si>
  <si>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</si>
  <si>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</si>
  <si>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</si>
  <si>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</si>
  <si>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</si>
  <si>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</si>
  <si>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</si>
  <si>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</si>
  <si>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</si>
  <si>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</si>
  <si>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</si>
  <si>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</si>
  <si>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</si>
  <si>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</si>
  <si>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</si>
  <si>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</si>
  <si>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</si>
  <si>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</si>
  <si>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</si>
  <si>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</si>
  <si>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</si>
  <si>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</si>
  <si>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</si>
  <si>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</si>
  <si>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</si>
  <si>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</si>
  <si>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</si>
  <si>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</si>
  <si>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</si>
  <si>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</si>
  <si>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</si>
  <si>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</si>
  <si>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</si>
  <si>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</si>
  <si>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</si>
  <si>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</si>
  <si>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</si>
  <si>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</si>
  <si>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</si>
  <si>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</si>
  <si>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</si>
  <si>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</si>
  <si>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</si>
  <si>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</si>
  <si>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</si>
  <si>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</si>
  <si>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</si>
  <si>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</si>
  <si>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</si>
  <si>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</si>
  <si>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</si>
  <si>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</si>
  <si>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</si>
  <si>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</si>
  <si>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</si>
  <si>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</si>
  <si>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</si>
  <si>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</si>
  <si>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</si>
  <si>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</si>
  <si>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</si>
  <si>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</si>
  <si>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</si>
  <si>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</si>
  <si>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</si>
  <si>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</si>
  <si>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</si>
  <si>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</si>
  <si>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</si>
  <si>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</si>
  <si>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</si>
  <si>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</si>
  <si>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</si>
  <si>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</si>
  <si>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</si>
  <si>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</si>
  <si>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</si>
  <si>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</si>
  <si>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</si>
  <si>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</si>
  <si>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</si>
  <si>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</si>
  <si>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</si>
  <si>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</si>
  <si>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</si>
  <si>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</si>
  <si>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</si>
  <si>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</si>
  <si>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</si>
  <si>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</si>
  <si>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</si>
  <si>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</si>
  <si>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</si>
  <si>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</si>
  <si>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</si>
  <si>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</si>
  <si>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</si>
  <si>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</si>
  <si>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</si>
  <si>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</si>
  <si>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</si>
  <si>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</si>
  <si>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</si>
  <si>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</si>
  <si>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</si>
  <si>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</si>
  <si>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</si>
  <si>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</si>
  <si>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</si>
  <si>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</si>
  <si>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</si>
  <si>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</si>
  <si>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</si>
  <si>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</si>
  <si>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</si>
  <si>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</si>
  <si>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</si>
  <si>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</si>
  <si>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</si>
  <si>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</si>
  <si>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</si>
  <si>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</si>
  <si>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</si>
  <si>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</si>
  <si>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</si>
  <si>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</si>
  <si>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</si>
  <si>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</si>
  <si>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</si>
  <si>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</si>
  <si>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</si>
  <si>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</si>
  <si>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</si>
  <si>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</si>
  <si>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</si>
  <si>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</si>
  <si>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</si>
  <si>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</si>
  <si>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</si>
  <si>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</si>
  <si>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</si>
  <si>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</si>
  <si>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</si>
  <si>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</si>
  <si>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</si>
  <si>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</si>
  <si>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</si>
  <si>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</si>
  <si>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</si>
  <si>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</si>
  <si>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</si>
  <si>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</si>
  <si>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</si>
  <si>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</si>
  <si>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</si>
  <si>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</si>
  <si>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</si>
  <si>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</si>
  <si>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</si>
  <si>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</si>
  <si>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</si>
  <si>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</si>
  <si>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</si>
  <si>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</si>
  <si>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</si>
  <si>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</si>
  <si>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</si>
  <si>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</si>
  <si>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</si>
  <si>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</si>
  <si>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</si>
  <si>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</si>
  <si>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</si>
  <si>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</si>
  <si>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</si>
  <si>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</si>
  <si>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</si>
  <si>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</si>
  <si>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</si>
  <si>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</si>
  <si>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</si>
  <si>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</si>
  <si>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</si>
  <si>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</si>
  <si>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</si>
  <si>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</si>
  <si>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</si>
  <si>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</si>
  <si>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</si>
  <si>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</si>
  <si>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</si>
  <si>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</si>
  <si>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</si>
  <si>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</si>
  <si>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</si>
  <si>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</si>
  <si>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</si>
  <si>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</si>
  <si>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</si>
  <si>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</si>
  <si>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</si>
  <si>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</si>
  <si>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</si>
  <si>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</si>
  <si>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</si>
  <si>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</si>
  <si>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</si>
  <si>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</si>
  <si>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</si>
  <si>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</si>
  <si>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</si>
  <si>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</si>
  <si>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</si>
  <si>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</si>
  <si>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</si>
  <si>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</si>
  <si>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</si>
  <si>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</si>
  <si>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</si>
  <si>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</si>
  <si>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</si>
  <si>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</si>
  <si>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</si>
  <si>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</si>
  <si>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</si>
  <si>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</si>
  <si>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</si>
  <si>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</si>
  <si>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</si>
  <si>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</si>
  <si>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</si>
  <si>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</si>
  <si>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</si>
  <si>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</si>
  <si>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</si>
  <si>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</si>
  <si>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</si>
  <si>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</si>
  <si>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</si>
  <si>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</si>
  <si>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</si>
  <si>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</si>
  <si>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</si>
  <si>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</si>
  <si>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</si>
  <si>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</si>
  <si>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</si>
  <si>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</si>
  <si>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</si>
  <si>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</si>
  <si>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</si>
  <si>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</si>
  <si>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</si>
  <si>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</si>
  <si>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</si>
  <si>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</si>
  <si>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</si>
  <si>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</si>
  <si>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</si>
  <si>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</si>
  <si>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</si>
  <si>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</si>
  <si>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</si>
  <si>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</si>
  <si>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</si>
  <si>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</si>
  <si>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</si>
  <si>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</si>
  <si>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</si>
  <si>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</si>
  <si>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</si>
  <si>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</si>
  <si>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</si>
  <si>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</si>
  <si>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</si>
  <si>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</si>
  <si>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</si>
  <si>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</si>
  <si>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</si>
  <si>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</si>
  <si>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</si>
  <si>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</si>
  <si>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</si>
  <si>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</si>
  <si>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</si>
  <si>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</si>
  <si>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</si>
  <si>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</si>
  <si>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</si>
  <si>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</si>
  <si>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</si>
  <si>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</si>
  <si>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</si>
  <si>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</si>
  <si>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</si>
  <si>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</si>
  <si>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</si>
  <si>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</si>
  <si>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</si>
  <si>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</si>
  <si>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</si>
  <si>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</si>
  <si>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</si>
  <si>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</si>
  <si>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</si>
  <si>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</si>
  <si>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</si>
  <si>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</si>
  <si>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</si>
  <si>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</si>
  <si>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</si>
  <si>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</si>
  <si>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</si>
  <si>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</si>
  <si>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</si>
  <si>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</si>
  <si>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</si>
  <si>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</si>
  <si>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</si>
  <si>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</si>
  <si>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</si>
  <si>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</si>
  <si>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</si>
  <si>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</si>
  <si>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</si>
  <si>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</si>
  <si>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</si>
  <si>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</si>
  <si>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</si>
  <si>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</si>
  <si>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</si>
  <si>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</si>
  <si>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</si>
  <si>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</si>
  <si>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</si>
  <si>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</si>
  <si>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</si>
  <si>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</si>
  <si>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</si>
  <si>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</si>
  <si>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</si>
  <si>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</si>
  <si>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</si>
  <si>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</si>
  <si>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</si>
  <si>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</si>
  <si>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</si>
  <si>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</si>
  <si>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</si>
  <si>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</si>
  <si>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</si>
  <si>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</si>
  <si>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</si>
  <si>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</si>
  <si>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</si>
  <si>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</si>
  <si>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</si>
  <si>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</si>
  <si>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</si>
  <si>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</si>
  <si>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</si>
  <si>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</si>
  <si>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</si>
  <si>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</si>
  <si>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</si>
  <si>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</si>
  <si>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</si>
  <si>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</si>
  <si>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</si>
  <si>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</si>
  <si>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</si>
  <si>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</si>
  <si>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</si>
  <si>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</si>
  <si>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</si>
  <si>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</si>
  <si>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</si>
  <si>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</si>
  <si>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</si>
  <si>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</si>
  <si>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</si>
  <si>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</si>
  <si>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</si>
  <si>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</si>
  <si>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</si>
  <si>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</si>
  <si>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</si>
  <si>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</si>
  <si>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</si>
  <si>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</si>
  <si>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</si>
  <si>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</si>
  <si>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</si>
  <si>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</si>
  <si>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</si>
  <si>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</si>
  <si>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</si>
  <si>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</si>
  <si>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</si>
  <si>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</si>
  <si>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</si>
  <si>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</si>
  <si>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</si>
  <si>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</si>
  <si>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</si>
  <si>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</si>
  <si>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</si>
  <si>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</si>
  <si>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</si>
  <si>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</si>
  <si>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</si>
  <si>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</si>
  <si>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</si>
  <si>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</si>
  <si>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</si>
  <si>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</si>
  <si>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</si>
  <si>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</si>
  <si>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</si>
  <si>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</si>
  <si>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</si>
  <si>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</si>
  <si>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</si>
  <si>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</si>
  <si>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</si>
  <si>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</si>
  <si>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</si>
  <si>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</si>
  <si>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</si>
  <si>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</si>
  <si>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</si>
  <si>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</si>
  <si>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</si>
  <si>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</si>
  <si>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</si>
  <si>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</si>
  <si>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</si>
  <si>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</si>
  <si>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</si>
  <si>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</si>
  <si>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</si>
  <si>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</si>
  <si>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</si>
  <si>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</si>
  <si>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</si>
  <si>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</si>
  <si>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</si>
  <si>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</si>
  <si>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</si>
  <si>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</si>
  <si>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</si>
  <si>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</si>
  <si>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</si>
  <si>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</si>
  <si>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</si>
  <si>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</si>
  <si>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</si>
  <si>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</si>
  <si>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</si>
  <si>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</si>
  <si>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</si>
  <si>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</si>
  <si>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</si>
  <si>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</si>
  <si>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</si>
  <si>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</si>
  <si>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</si>
  <si>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</si>
  <si>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</si>
  <si>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</si>
  <si>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</si>
  <si>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</si>
  <si>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</si>
  <si>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</si>
  <si>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</si>
  <si>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</si>
  <si>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</si>
  <si>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</si>
  <si>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</si>
  <si>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</si>
  <si>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</si>
  <si>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</si>
  <si>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</si>
  <si>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</si>
  <si>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</si>
  <si>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</si>
  <si>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</si>
  <si>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</si>
  <si>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</si>
  <si>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</si>
  <si>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</si>
  <si>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</si>
  <si>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</si>
  <si>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</si>
  <si>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</si>
  <si>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</si>
  <si>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</si>
  <si>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</si>
  <si>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</si>
  <si>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</si>
  <si>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</si>
  <si>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</si>
  <si>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</si>
  <si>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</si>
  <si>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</si>
  <si>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</si>
  <si>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</si>
  <si>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</si>
  <si>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</si>
  <si>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</si>
  <si>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</si>
  <si>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</si>
  <si>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</si>
  <si>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</si>
  <si>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</si>
  <si>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</si>
  <si>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</si>
  <si>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</si>
  <si>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</si>
  <si>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</si>
  <si>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</si>
  <si>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</si>
  <si>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</si>
  <si>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</si>
  <si>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</si>
  <si>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</si>
  <si>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</si>
  <si>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</si>
  <si>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</si>
  <si>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</si>
  <si>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</si>
  <si>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</si>
  <si>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</si>
  <si>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</si>
  <si>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</si>
  <si>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</si>
  <si>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</si>
  <si>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</si>
  <si>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</si>
  <si>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</si>
  <si>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</si>
  <si>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</si>
  <si>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</si>
  <si>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</si>
  <si>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</si>
  <si>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</si>
  <si>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</si>
  <si>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</si>
  <si>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</si>
  <si>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</si>
  <si>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</si>
  <si>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</si>
  <si>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</si>
  <si>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</si>
  <si>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</si>
  <si>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</si>
  <si>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</si>
  <si>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</si>
  <si>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</si>
  <si>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</si>
  <si>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</si>
  <si>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</si>
  <si>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</si>
  <si>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</si>
  <si>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</si>
  <si>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</si>
  <si>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</si>
  <si>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</si>
  <si>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</si>
  <si>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</si>
  <si>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</si>
  <si>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</si>
  <si>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</si>
  <si>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</si>
  <si>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</si>
  <si>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</si>
  <si>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</si>
  <si>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</si>
  <si>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</si>
  <si>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</si>
  <si>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</si>
  <si>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</si>
  <si>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</si>
  <si>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</si>
  <si>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</si>
  <si>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</si>
  <si>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</si>
  <si>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</si>
  <si>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</si>
  <si>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</si>
  <si>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</si>
  <si>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</si>
  <si>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</si>
  <si>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</si>
  <si>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</si>
  <si>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</si>
  <si>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</si>
  <si>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</si>
  <si>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</si>
  <si>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</si>
  <si>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</si>
  <si>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</si>
  <si>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</si>
  <si>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</si>
  <si>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</si>
  <si>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</si>
  <si>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</si>
  <si>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</si>
  <si>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</si>
  <si>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</si>
  <si>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</si>
  <si>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</si>
  <si>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</si>
  <si>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</si>
  <si>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</si>
  <si>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</si>
  <si>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</si>
  <si>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</si>
  <si>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</si>
  <si>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</si>
  <si>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</si>
  <si>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</si>
  <si>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</si>
  <si>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</si>
  <si>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</si>
  <si>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</si>
  <si>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</si>
  <si>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</si>
  <si>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</si>
  <si>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</si>
  <si>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</si>
  <si>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</si>
  <si>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</si>
  <si>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</si>
  <si>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</si>
  <si>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</si>
  <si>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</si>
  <si>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</si>
  <si>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</si>
  <si>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</si>
  <si>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</si>
  <si>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</si>
  <si>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</si>
  <si>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</si>
  <si>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</si>
  <si>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</si>
  <si>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</si>
  <si>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</si>
  <si>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</si>
  <si>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</si>
  <si>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</si>
  <si>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</si>
  <si>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</si>
  <si>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</si>
  <si>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</si>
  <si>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</si>
  <si>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</si>
  <si>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</si>
  <si>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</si>
  <si>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</si>
  <si>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</si>
  <si>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</si>
  <si>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</si>
  <si>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</si>
  <si>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</si>
  <si>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</si>
  <si>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</si>
  <si>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</si>
  <si>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</si>
  <si>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</si>
  <si>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</si>
  <si>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</si>
  <si>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</si>
  <si>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</si>
  <si>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</si>
  <si>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</si>
  <si>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</si>
  <si>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</si>
  <si>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</si>
  <si>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</si>
  <si>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</si>
  <si>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</si>
  <si>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</si>
  <si>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</si>
  <si>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</si>
  <si>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</si>
  <si>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</si>
  <si>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</si>
  <si>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</si>
  <si>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</si>
  <si>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</si>
  <si>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</si>
  <si>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</si>
  <si>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</si>
  <si>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</si>
  <si>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</si>
  <si>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</si>
  <si>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</si>
  <si>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</si>
  <si>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</si>
  <si>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</si>
  <si>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</si>
  <si>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</si>
  <si>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</si>
  <si>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</si>
  <si>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</si>
  <si>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</si>
  <si>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</si>
  <si>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</si>
  <si>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</si>
  <si>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</si>
  <si>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</si>
  <si>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</si>
  <si>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</si>
  <si>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</si>
  <si>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</si>
  <si>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</si>
  <si>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</si>
  <si>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</si>
  <si>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</si>
  <si>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</si>
  <si>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</si>
  <si>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</si>
  <si>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</si>
  <si>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</si>
  <si>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</si>
  <si>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</si>
  <si>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</si>
  <si>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</si>
  <si>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</si>
  <si>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</si>
  <si>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</si>
  <si>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</si>
  <si>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</si>
  <si>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</si>
  <si>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</si>
  <si>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</si>
  <si>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</si>
  <si>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</si>
  <si>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</si>
  <si>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</si>
  <si>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</si>
  <si>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</si>
  <si>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</si>
  <si>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</si>
  <si>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</si>
  <si>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</si>
  <si>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</si>
  <si>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</si>
  <si>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</si>
  <si>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</si>
  <si>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</si>
  <si>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</si>
  <si>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</si>
  <si>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</si>
  <si>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</si>
  <si>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</si>
  <si>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</si>
  <si>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</si>
  <si>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</si>
  <si>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</si>
  <si>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</si>
  <si>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</si>
  <si>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</si>
  <si>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</si>
  <si>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</si>
  <si>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</si>
  <si>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</si>
  <si>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</si>
  <si>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</si>
  <si>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</si>
  <si>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</si>
  <si>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</si>
  <si>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</si>
  <si>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</si>
  <si>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</si>
  <si>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</si>
  <si>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</si>
  <si>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</si>
  <si>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</si>
  <si>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</si>
  <si>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</si>
  <si>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</si>
  <si>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</si>
  <si>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</si>
  <si>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</si>
  <si>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</si>
  <si>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</si>
  <si>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</si>
  <si>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</si>
  <si>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</si>
  <si>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</si>
  <si>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</si>
  <si>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</si>
  <si>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</si>
  <si>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</si>
  <si>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</si>
  <si>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</si>
  <si>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</si>
  <si>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</si>
  <si>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</si>
  <si>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</si>
  <si>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</si>
  <si>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</si>
  <si>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</si>
  <si>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</si>
  <si>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</si>
  <si>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</si>
  <si>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</si>
  <si>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</si>
  <si>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</si>
  <si>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</si>
  <si>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</si>
  <si>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</si>
  <si>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</si>
  <si>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</si>
  <si>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</si>
  <si>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</si>
  <si>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</si>
  <si>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</si>
  <si>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</si>
  <si>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</si>
  <si>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</si>
  <si>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</si>
  <si>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</si>
  <si>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</si>
  <si>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</si>
  <si>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</si>
  <si>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</si>
  <si>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</si>
  <si>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</si>
  <si>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</si>
  <si>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</si>
  <si>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</si>
  <si>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</si>
  <si>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</si>
  <si>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</si>
  <si>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</si>
  <si>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</si>
  <si>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</si>
  <si>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</si>
  <si>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</si>
  <si>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</si>
  <si>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</si>
  <si>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</si>
  <si>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</si>
  <si>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</si>
  <si>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</si>
  <si>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</si>
  <si>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</si>
  <si>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</si>
  <si>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</si>
  <si>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</si>
  <si>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</si>
  <si>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</si>
  <si>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</si>
  <si>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</si>
  <si>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</si>
  <si>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</si>
  <si>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</si>
  <si>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</si>
  <si>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</si>
  <si>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</si>
  <si>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</si>
  <si>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</si>
  <si>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</si>
  <si>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</si>
  <si>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</si>
  <si>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</si>
  <si>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</si>
  <si>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</si>
  <si>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</si>
  <si>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</si>
  <si>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</si>
  <si>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</si>
  <si>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</si>
  <si>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</si>
  <si>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</si>
  <si>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</si>
  <si>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</si>
  <si>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</si>
  <si>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</si>
  <si>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</si>
  <si>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</si>
  <si>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</si>
  <si>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</si>
  <si>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</si>
  <si>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</si>
  <si>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</si>
  <si>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</si>
  <si>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</si>
  <si>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</si>
  <si>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</si>
  <si>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</si>
  <si>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</si>
  <si>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</si>
  <si>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</si>
  <si>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</si>
  <si>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</si>
  <si>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</si>
  <si>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</si>
  <si>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</si>
  <si>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</si>
  <si>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</si>
  <si>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</si>
  <si>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</si>
  <si>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</si>
  <si>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</si>
  <si>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</si>
  <si>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</si>
  <si>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</si>
  <si>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</si>
  <si>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</si>
  <si>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</si>
  <si>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</si>
  <si>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</si>
  <si>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</si>
  <si>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</si>
  <si>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</si>
  <si>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</si>
  <si>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</si>
  <si>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</si>
  <si>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</si>
  <si>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</si>
  <si>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</si>
  <si>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</si>
  <si>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</si>
  <si>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</si>
  <si>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</si>
  <si>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</si>
  <si>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</si>
  <si>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</si>
  <si>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</si>
  <si>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</si>
  <si>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</si>
  <si>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</si>
  <si>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</si>
  <si>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</si>
  <si>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</si>
  <si>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</si>
  <si>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</si>
  <si>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</si>
  <si>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</si>
  <si>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</si>
  <si>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</si>
  <si>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</si>
  <si>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</si>
  <si>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</si>
  <si>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</si>
  <si>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</si>
  <si>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</si>
  <si>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</si>
  <si>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</si>
  <si>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</si>
  <si>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</si>
  <si>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</si>
  <si>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</si>
  <si>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</si>
  <si>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</si>
  <si>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</si>
  <si>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</si>
  <si>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</si>
  <si>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</si>
  <si>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</si>
  <si>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</si>
  <si>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</si>
  <si>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</si>
  <si>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</si>
  <si>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</si>
  <si>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</si>
  <si>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</si>
  <si>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</si>
  <si>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</si>
  <si>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</si>
  <si>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</si>
  <si>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</si>
  <si>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</si>
  <si>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</si>
  <si>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</si>
  <si>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</si>
  <si>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</si>
  <si>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</si>
  <si>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</si>
  <si>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</si>
  <si>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</si>
  <si>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</si>
  <si>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</si>
  <si>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</si>
  <si>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</si>
  <si>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</si>
  <si>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</si>
  <si>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</si>
  <si>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</si>
  <si>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</si>
  <si>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</si>
  <si>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</si>
  <si>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</si>
  <si>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</si>
  <si>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</si>
  <si>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</si>
  <si>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</si>
  <si>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</si>
  <si>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</si>
  <si>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</si>
  <si>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</si>
  <si>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</si>
  <si>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</si>
  <si>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</si>
  <si>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</si>
  <si>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</si>
  <si>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</si>
  <si>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</si>
  <si>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</si>
  <si>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</si>
  <si>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</si>
  <si>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</si>
  <si>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</si>
  <si>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</si>
  <si>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</si>
  <si>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</si>
  <si>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</si>
  <si>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</si>
  <si>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</si>
  <si>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</si>
  <si>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</si>
  <si>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</si>
  <si>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</si>
  <si>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</si>
  <si>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</si>
  <si>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</si>
  <si>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</si>
  <si>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</si>
  <si>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</si>
  <si>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</si>
  <si>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</si>
  <si>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</si>
  <si>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</si>
  <si>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</si>
  <si>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</si>
  <si>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</si>
  <si>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</si>
  <si>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</si>
  <si>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</si>
  <si>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2008 General Obligation Bonds</t>
  </si>
  <si>
    <t>2011 Life Safety Bonds</t>
  </si>
  <si>
    <t>2016 General Obligation Bonds</t>
  </si>
  <si>
    <t>2019 General Obligation Bonds</t>
  </si>
  <si>
    <t>X</t>
  </si>
  <si>
    <t>Adverse due to regulatory basis of accounting.</t>
  </si>
  <si>
    <t>Fulton, Knox, and Warren</t>
  </si>
  <si>
    <t>Abingdon</t>
  </si>
  <si>
    <t>mcurry@atown276.net</t>
  </si>
  <si>
    <t>Michael Curry</t>
  </si>
  <si>
    <t>Ginoli &amp; Company Ltd</t>
  </si>
  <si>
    <t>Mark D. Reinken</t>
  </si>
  <si>
    <t>Peoria</t>
  </si>
  <si>
    <t>61614-8303</t>
  </si>
  <si>
    <t>(309) 671-2350</t>
  </si>
  <si>
    <t>(309) 462-2301</t>
  </si>
  <si>
    <t>(309) 462-3870</t>
  </si>
  <si>
    <t>(309) 671-5459</t>
  </si>
  <si>
    <t>066-005055</t>
  </si>
  <si>
    <t>mreinken@ginolicpa.com</t>
  </si>
  <si>
    <t>61410-1285</t>
  </si>
  <si>
    <t>ISDLAF</t>
  </si>
  <si>
    <t>IASA JOB BANK-other school districts</t>
  </si>
  <si>
    <t>Knox-Warren Counties Special Education</t>
  </si>
  <si>
    <t>Delabar Vocational Education System</t>
  </si>
  <si>
    <t>Page 12, Line 168, Educational - $1,340 (PSAT), $750 (State Library Grant)</t>
  </si>
  <si>
    <t>Page 11, Line 107, Educational - $23,343 (Miscellaneous), $33,778 (E Rate)</t>
  </si>
  <si>
    <t>Page 15, Line 41, Educational - $518,344 (Technology expenses)</t>
  </si>
  <si>
    <t xml:space="preserve">Page 10, Line 74, Educational - $120 (Miscellaneous); Operations - $2,530 (Insurance reimbursement), $274 (Miscellaneous); </t>
  </si>
  <si>
    <t xml:space="preserve">    Transportation - $6,082 (Bus reimbursement)</t>
  </si>
  <si>
    <t>Page 18, Line 171, Debt Service - $30,500 (Bond issuance fees)</t>
  </si>
  <si>
    <t>Page 19, Line 238, IMRF/SS - $11,876 - (Technology Benefits)</t>
  </si>
  <si>
    <t>Page 16, Line 73, Educational - $2,000 (Homeless Liaison Grant)</t>
  </si>
  <si>
    <t>Page 20, Line 278, IMRF/SS - (Homeless Liaison Benefits)</t>
  </si>
  <si>
    <t>OBM-SUPORT SERVICES-PURCHASED SERVICES</t>
  </si>
  <si>
    <t>20-2540-300</t>
  </si>
  <si>
    <t>CONSTELLATION NEW ENERGY</t>
  </si>
  <si>
    <t>TRANS-SUPPORT SERVICES-PURCHASED SERVICES</t>
  </si>
  <si>
    <t>40-2550-400</t>
  </si>
  <si>
    <t>HERR PETROLEUM</t>
  </si>
  <si>
    <t>TORT-SUPPORT SERVICES-PURCHASED SERVICES</t>
  </si>
  <si>
    <t>ILL COUNTIES RISK MGMT</t>
  </si>
  <si>
    <t>ED FUND-SUPPORT SERVICES-PURCHASED SERVICES</t>
  </si>
  <si>
    <t>10-2560-300</t>
  </si>
  <si>
    <t>PRAIRIE FARMS</t>
  </si>
  <si>
    <t>Internal controls are enhanced when the responsibilities for the authorizing, approving, executing, and recording transactions are separated among employees.  The segregation of these responsibilities also decreases the possibility of fraud, inefficiencies, and/or errors.</t>
  </si>
  <si>
    <t>Most of the accounting functions, including those related to cash transactions, payroll, and the general ledger, are controlled by a single individual.  Consequently there is an inadequate segregation of duties.</t>
  </si>
  <si>
    <t>None</t>
  </si>
  <si>
    <t>This type of weakness is inherent in school districts with a small number of employees in the business office and may be eliminated only by employing additional staff and segregating duties.  This action is not practical in the circumstances.</t>
  </si>
  <si>
    <t>Ginoli &amp; Company LTD</t>
  </si>
  <si>
    <t>Due to the size of the District and the number of office employees, corrective action is not practical in the circumstances.</t>
  </si>
  <si>
    <t>10-2100-300</t>
  </si>
  <si>
    <t>MEDIACOM</t>
  </si>
  <si>
    <t>80-2300-600</t>
  </si>
  <si>
    <t>507 N Monroe Street Ste #3</t>
  </si>
  <si>
    <t>7625 N. University Street, Suite A</t>
  </si>
  <si>
    <t>IL</t>
  </si>
  <si>
    <t>Abingdon-Avon CUSD 276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</si>
</sst>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2">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horizontal="left" vertical="top" wrapText="1"/>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D6BA8E01-282B-47BE-A74E-9AD73A3D93D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2"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21" t="s">
        <v>405</v>
      </c>
      <c r="J1" s="2022"/>
      <c r="K1" s="2022"/>
      <c r="L1" s="2022"/>
      <c r="M1" s="2022"/>
      <c r="N1" s="2022"/>
      <c r="O1" s="2022"/>
      <c r="P1" s="2022"/>
      <c r="Q1" s="2022"/>
      <c r="R1" s="2022"/>
      <c r="S1" s="2022"/>
    </row>
    <row r="2" spans="1:28" ht="12" customHeight="1" x14ac:dyDescent="0.2">
      <c r="A2" s="47" t="s">
        <v>1991</v>
      </c>
      <c r="D2" s="48"/>
      <c r="I2" s="2023" t="s">
        <v>979</v>
      </c>
      <c r="J2" s="2022"/>
      <c r="K2" s="2022"/>
      <c r="L2" s="2022"/>
      <c r="M2" s="2022"/>
      <c r="N2" s="2022"/>
      <c r="O2" s="2022"/>
      <c r="P2" s="2022"/>
      <c r="Q2" s="2022"/>
      <c r="R2" s="2022"/>
      <c r="S2" s="2022"/>
    </row>
    <row r="3" spans="1:28" ht="12" customHeight="1" x14ac:dyDescent="0.2">
      <c r="A3" s="155" t="s">
        <v>1943</v>
      </c>
      <c r="B3" s="156"/>
      <c r="C3" s="156"/>
      <c r="D3" s="157"/>
      <c r="I3" s="2023" t="s">
        <v>52</v>
      </c>
      <c r="J3" s="2022"/>
      <c r="K3" s="2022"/>
      <c r="L3" s="2022"/>
      <c r="M3" s="2022"/>
      <c r="N3" s="2022"/>
      <c r="O3" s="2022"/>
      <c r="P3" s="2022"/>
      <c r="Q3" s="2022"/>
      <c r="R3" s="2022"/>
      <c r="S3" s="2022"/>
    </row>
    <row r="4" spans="1:28" ht="12" customHeight="1" x14ac:dyDescent="0.2">
      <c r="A4" s="37"/>
      <c r="I4" s="2023" t="s">
        <v>524</v>
      </c>
      <c r="J4" s="2022"/>
      <c r="K4" s="2022"/>
      <c r="L4" s="2022"/>
      <c r="M4" s="2022"/>
      <c r="N4" s="2022"/>
      <c r="O4" s="2022"/>
      <c r="P4" s="2022"/>
      <c r="Q4" s="2022"/>
      <c r="R4" s="2022"/>
      <c r="S4" s="2022"/>
    </row>
    <row r="5" spans="1:28" ht="14.1" customHeight="1" x14ac:dyDescent="0.2">
      <c r="B5" s="104" t="s">
        <v>2069</v>
      </c>
      <c r="C5" s="26" t="s">
        <v>910</v>
      </c>
      <c r="D5" s="84"/>
      <c r="E5" s="84"/>
      <c r="H5" s="38"/>
      <c r="I5" s="2030" t="s">
        <v>680</v>
      </c>
      <c r="J5" s="1975"/>
      <c r="K5" s="1975"/>
      <c r="L5" s="1975"/>
      <c r="M5" s="1975"/>
      <c r="N5" s="1975"/>
      <c r="O5" s="1975"/>
      <c r="P5" s="1975"/>
      <c r="Q5" s="1975"/>
      <c r="R5" s="1975"/>
      <c r="S5" s="1975"/>
    </row>
    <row r="6" spans="1:28" ht="14.1" customHeight="1" x14ac:dyDescent="0.2">
      <c r="B6" s="104"/>
      <c r="C6" s="26" t="s">
        <v>911</v>
      </c>
      <c r="D6" s="84"/>
      <c r="E6" s="84"/>
      <c r="I6" s="2029" t="s">
        <v>883</v>
      </c>
      <c r="J6" s="1975"/>
      <c r="K6" s="1975"/>
      <c r="L6" s="1975"/>
      <c r="M6" s="1975"/>
      <c r="N6" s="1975"/>
      <c r="O6" s="1975"/>
      <c r="P6" s="1975"/>
      <c r="Q6" s="1975"/>
      <c r="R6" s="1975"/>
      <c r="S6" s="1975"/>
    </row>
    <row r="7" spans="1:28" ht="12.2" customHeight="1" x14ac:dyDescent="0.2">
      <c r="I7" s="2024">
        <v>43646</v>
      </c>
      <c r="J7" s="2025"/>
      <c r="K7" s="2025"/>
      <c r="L7" s="2025"/>
      <c r="M7" s="2025"/>
      <c r="N7" s="2025"/>
      <c r="O7" s="2025"/>
      <c r="P7" s="2025"/>
      <c r="Q7" s="2025"/>
      <c r="R7" s="2025"/>
      <c r="S7" s="202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6" t="s">
        <v>674</v>
      </c>
      <c r="J9" s="2027"/>
      <c r="K9" s="2027"/>
      <c r="L9" s="2027"/>
      <c r="M9" s="2027"/>
      <c r="N9" s="2027"/>
      <c r="O9" s="2027"/>
      <c r="P9" s="2027"/>
      <c r="Q9" s="2027"/>
      <c r="R9" s="2027"/>
      <c r="S9" s="2028"/>
      <c r="T9" s="1971" t="s">
        <v>533</v>
      </c>
      <c r="U9" s="1972"/>
      <c r="V9" s="1972"/>
      <c r="W9" s="1972"/>
      <c r="X9" s="1972"/>
      <c r="Y9" s="1972"/>
      <c r="Z9" s="1972"/>
      <c r="AA9" s="1973"/>
    </row>
    <row r="10" spans="1:28" ht="13.5" customHeight="1" x14ac:dyDescent="0.2">
      <c r="A10" s="1980" t="s">
        <v>675</v>
      </c>
      <c r="B10" s="1981"/>
      <c r="C10" s="1981"/>
      <c r="D10" s="1981"/>
      <c r="E10" s="1981"/>
      <c r="F10" s="1981"/>
      <c r="G10" s="1981"/>
      <c r="H10" s="1982"/>
      <c r="I10" s="29"/>
      <c r="J10" s="30"/>
      <c r="K10" s="28"/>
      <c r="R10" s="30"/>
      <c r="S10" s="30"/>
      <c r="T10" s="1974"/>
      <c r="U10" s="1975"/>
      <c r="V10" s="1975"/>
      <c r="W10" s="1975"/>
      <c r="X10" s="1975"/>
      <c r="Y10" s="1975"/>
      <c r="Z10" s="1975"/>
      <c r="AA10" s="1976"/>
    </row>
    <row r="11" spans="1:28" ht="14.25" customHeight="1" x14ac:dyDescent="0.2">
      <c r="A11" s="1983" t="s">
        <v>955</v>
      </c>
      <c r="B11" s="1984"/>
      <c r="C11" s="1984"/>
      <c r="D11" s="1984"/>
      <c r="E11" s="1984"/>
      <c r="F11" s="1984"/>
      <c r="G11" s="1984"/>
      <c r="H11" s="1985"/>
      <c r="I11" s="27"/>
      <c r="J11" s="74"/>
      <c r="K11" s="27"/>
      <c r="O11" s="148" t="s">
        <v>2069</v>
      </c>
      <c r="P11" s="100" t="s">
        <v>201</v>
      </c>
      <c r="Q11" s="30"/>
      <c r="R11" s="28"/>
      <c r="S11" s="27"/>
      <c r="T11" s="1977"/>
      <c r="U11" s="1978"/>
      <c r="V11" s="1978"/>
      <c r="W11" s="1978"/>
      <c r="X11" s="1978"/>
      <c r="Y11" s="1978"/>
      <c r="Z11" s="1978"/>
      <c r="AA11" s="197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1">
        <v>33048276026</v>
      </c>
      <c r="B13" s="1992"/>
      <c r="C13" s="1992"/>
      <c r="D13" s="1992"/>
      <c r="E13" s="1992"/>
      <c r="F13" s="1992"/>
      <c r="G13" s="1992"/>
      <c r="H13" s="1993"/>
      <c r="I13" s="31"/>
      <c r="J13" s="30"/>
      <c r="K13" s="28"/>
      <c r="L13" s="30"/>
      <c r="M13" s="30"/>
      <c r="N13" s="30"/>
      <c r="O13" s="30"/>
      <c r="P13" s="30"/>
      <c r="Q13" s="30"/>
      <c r="R13" s="30"/>
      <c r="S13" s="30"/>
      <c r="T13" s="1996" t="s">
        <v>2075</v>
      </c>
      <c r="U13" s="1997"/>
      <c r="V13" s="1997"/>
      <c r="W13" s="1997"/>
      <c r="X13" s="1997"/>
      <c r="Y13" s="1998"/>
      <c r="Z13" s="1998"/>
      <c r="AA13" s="199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9" t="s">
        <v>2071</v>
      </c>
      <c r="B15" s="1994"/>
      <c r="C15" s="1994"/>
      <c r="D15" s="1994"/>
      <c r="E15" s="1994"/>
      <c r="F15" s="1994"/>
      <c r="G15" s="1994"/>
      <c r="H15" s="1995"/>
      <c r="T15" s="1957" t="s">
        <v>2076</v>
      </c>
      <c r="U15" s="1958"/>
      <c r="V15" s="1958"/>
      <c r="W15" s="1958"/>
      <c r="X15" s="1958"/>
      <c r="Y15" s="2000"/>
      <c r="Z15" s="2000"/>
      <c r="AA15" s="200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9" t="s">
        <v>2122</v>
      </c>
      <c r="B17" s="2019"/>
      <c r="C17" s="2019"/>
      <c r="D17" s="2019"/>
      <c r="E17" s="2019"/>
      <c r="F17" s="2019"/>
      <c r="G17" s="2019"/>
      <c r="H17" s="2020"/>
      <c r="T17" s="2006" t="s">
        <v>2120</v>
      </c>
      <c r="U17" s="2007"/>
      <c r="V17" s="2007"/>
      <c r="W17" s="2007"/>
      <c r="X17" s="2007"/>
      <c r="Y17" s="2007"/>
      <c r="Z17" s="2007"/>
      <c r="AA17" s="2008"/>
    </row>
    <row r="18" spans="1:27" ht="13.5" customHeight="1" x14ac:dyDescent="0.2">
      <c r="A18" s="85" t="s">
        <v>530</v>
      </c>
      <c r="B18" s="76"/>
      <c r="C18" s="72"/>
      <c r="D18" s="76"/>
      <c r="E18" s="76"/>
      <c r="F18" s="76"/>
      <c r="G18" s="76"/>
      <c r="H18" s="56"/>
      <c r="I18" s="2016" t="s">
        <v>676</v>
      </c>
      <c r="J18" s="2017"/>
      <c r="K18" s="2017"/>
      <c r="L18" s="2017"/>
      <c r="M18" s="2017"/>
      <c r="N18" s="2017"/>
      <c r="O18" s="2017"/>
      <c r="P18" s="2017"/>
      <c r="Q18" s="2017"/>
      <c r="R18" s="2017"/>
      <c r="S18" s="2018"/>
      <c r="T18" s="85" t="s">
        <v>711</v>
      </c>
      <c r="U18" s="51"/>
      <c r="V18" s="72"/>
      <c r="W18" s="50"/>
      <c r="X18" s="85" t="s">
        <v>266</v>
      </c>
      <c r="Y18" s="81"/>
      <c r="Z18" s="159" t="s">
        <v>677</v>
      </c>
      <c r="AA18" s="46"/>
    </row>
    <row r="19" spans="1:27" ht="13.5" customHeight="1" x14ac:dyDescent="0.2">
      <c r="A19" s="1989" t="s">
        <v>2119</v>
      </c>
      <c r="B19" s="1990"/>
      <c r="C19" s="1990"/>
      <c r="D19" s="1990"/>
      <c r="E19" s="1990"/>
      <c r="F19" s="1990"/>
      <c r="G19" s="1990"/>
      <c r="H19" s="1988"/>
      <c r="I19" s="30"/>
      <c r="J19" s="99"/>
      <c r="K19" s="40"/>
      <c r="L19" s="38"/>
      <c r="M19" s="112" t="s">
        <v>315</v>
      </c>
      <c r="P19" s="27"/>
      <c r="Q19" s="27"/>
      <c r="R19" s="27"/>
      <c r="S19" s="31"/>
      <c r="T19" s="1989" t="s">
        <v>2077</v>
      </c>
      <c r="U19" s="1987"/>
      <c r="V19" s="1987"/>
      <c r="W19" s="1988"/>
      <c r="X19" s="2004" t="s">
        <v>2121</v>
      </c>
      <c r="Y19" s="2005"/>
      <c r="Z19" s="2002" t="s">
        <v>2078</v>
      </c>
      <c r="AA19" s="200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6" t="s">
        <v>2072</v>
      </c>
      <c r="B21" s="1987"/>
      <c r="C21" s="1987"/>
      <c r="D21" s="1987"/>
      <c r="E21" s="1987"/>
      <c r="F21" s="1987"/>
      <c r="G21" s="1987"/>
      <c r="H21" s="1988"/>
      <c r="I21" s="2012" t="s">
        <v>678</v>
      </c>
      <c r="J21" s="1975"/>
      <c r="K21" s="1975"/>
      <c r="L21" s="1975"/>
      <c r="M21" s="1975"/>
      <c r="N21" s="1975"/>
      <c r="O21" s="1975"/>
      <c r="P21" s="1975"/>
      <c r="Q21" s="1975"/>
      <c r="R21" s="1975"/>
      <c r="S21" s="1976"/>
      <c r="T21" s="1954" t="s">
        <v>2079</v>
      </c>
      <c r="U21" s="1955"/>
      <c r="V21" s="1955"/>
      <c r="W21" s="1955"/>
      <c r="X21" s="1968" t="s">
        <v>2082</v>
      </c>
      <c r="Y21" s="1969"/>
      <c r="Z21" s="1969"/>
      <c r="AA21" s="1970"/>
    </row>
    <row r="22" spans="1:27" ht="13.5" customHeight="1" x14ac:dyDescent="0.2">
      <c r="A22" s="87" t="s">
        <v>531</v>
      </c>
      <c r="B22" s="59"/>
      <c r="C22" s="59"/>
      <c r="D22" s="59"/>
      <c r="E22" s="59"/>
      <c r="F22" s="59"/>
      <c r="G22" s="59"/>
      <c r="H22" s="60"/>
      <c r="I22" s="2013" t="s">
        <v>1429</v>
      </c>
      <c r="J22" s="2014"/>
      <c r="K22" s="2014"/>
      <c r="L22" s="2014"/>
      <c r="M22" s="2014"/>
      <c r="N22" s="2014"/>
      <c r="O22" s="2014"/>
      <c r="P22" s="2014"/>
      <c r="Q22" s="2014"/>
      <c r="R22" s="2014"/>
      <c r="S22" s="2015"/>
      <c r="T22" s="85" t="s">
        <v>1516</v>
      </c>
      <c r="U22" s="51"/>
      <c r="V22" s="72"/>
      <c r="W22" s="51"/>
      <c r="X22" s="160" t="s">
        <v>1318</v>
      </c>
      <c r="Z22" s="45"/>
      <c r="AA22" s="46"/>
    </row>
    <row r="23" spans="1:27" ht="13.5" customHeight="1" x14ac:dyDescent="0.2">
      <c r="A23" s="2009" t="s">
        <v>2073</v>
      </c>
      <c r="B23" s="2010"/>
      <c r="C23" s="2010"/>
      <c r="D23" s="2010"/>
      <c r="E23" s="2010"/>
      <c r="F23" s="2010"/>
      <c r="G23" s="2010"/>
      <c r="H23" s="2011"/>
      <c r="T23" s="1949" t="s">
        <v>2083</v>
      </c>
      <c r="U23" s="1950"/>
      <c r="V23" s="1950"/>
      <c r="W23" s="1950"/>
      <c r="X23" s="1965">
        <v>44530</v>
      </c>
      <c r="Y23" s="1966"/>
      <c r="Z23" s="1966"/>
      <c r="AA23" s="1967"/>
    </row>
    <row r="24" spans="1:27" ht="14.1" customHeight="1" x14ac:dyDescent="0.2">
      <c r="A24" s="88" t="s">
        <v>677</v>
      </c>
      <c r="B24" s="49"/>
      <c r="C24" s="49"/>
      <c r="D24" s="49"/>
      <c r="E24" s="49"/>
      <c r="F24" s="49"/>
      <c r="G24" s="49"/>
      <c r="H24" s="61"/>
      <c r="J24" s="2051">
        <f>IF(B5="x",IF(AUDITCHECK!D29="AFR form Incomplete.","",IF(AUDITCHECK!D29="Deficit reduction plan is required.","School District must complete a deficit reduction plan in the 2019-2020 Budget",)),"")</f>
        <v>0</v>
      </c>
      <c r="K24" s="2051"/>
      <c r="L24" s="2051"/>
      <c r="M24" s="2051"/>
      <c r="N24" s="2051"/>
      <c r="O24" s="2051"/>
      <c r="P24" s="2051"/>
      <c r="Q24" s="2051"/>
      <c r="R24" s="2051"/>
      <c r="S24" s="2052"/>
      <c r="T24" s="105" t="s">
        <v>531</v>
      </c>
      <c r="U24" s="106"/>
      <c r="V24" s="106"/>
      <c r="W24" s="106"/>
      <c r="X24" s="107"/>
      <c r="Y24" s="107"/>
      <c r="Z24" s="107"/>
      <c r="AA24" s="108"/>
    </row>
    <row r="25" spans="1:27" ht="14.1" customHeight="1" x14ac:dyDescent="0.2">
      <c r="A25" s="1986" t="s">
        <v>2085</v>
      </c>
      <c r="B25" s="1987"/>
      <c r="C25" s="1987"/>
      <c r="D25" s="1987"/>
      <c r="E25" s="1987"/>
      <c r="F25" s="1987"/>
      <c r="G25" s="1987"/>
      <c r="H25" s="1988"/>
      <c r="I25" s="113"/>
      <c r="J25" s="2053"/>
      <c r="K25" s="2053"/>
      <c r="L25" s="2053"/>
      <c r="M25" s="2053"/>
      <c r="N25" s="2053"/>
      <c r="O25" s="2053"/>
      <c r="P25" s="2053"/>
      <c r="Q25" s="2053"/>
      <c r="R25" s="2053"/>
      <c r="S25" s="2054"/>
      <c r="T25" s="1946" t="s">
        <v>2084</v>
      </c>
      <c r="U25" s="1947"/>
      <c r="V25" s="1947"/>
      <c r="W25" s="1947"/>
      <c r="X25" s="1947"/>
      <c r="Y25" s="1947"/>
      <c r="Z25" s="1947"/>
      <c r="AA25" s="194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17"/>
      <c r="K27" s="2017"/>
      <c r="L27" s="2017"/>
      <c r="M27" s="2017"/>
      <c r="N27" s="2017"/>
      <c r="O27" s="2017"/>
      <c r="P27" s="2017"/>
      <c r="Q27" s="2017"/>
      <c r="R27" s="2017"/>
      <c r="S27" s="201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2069</v>
      </c>
      <c r="M29" s="40" t="s">
        <v>99</v>
      </c>
      <c r="N29" s="32" t="s">
        <v>1523</v>
      </c>
      <c r="O29" s="32"/>
      <c r="P29" s="32"/>
      <c r="Q29" s="32"/>
      <c r="R29" s="32"/>
      <c r="S29" s="123"/>
      <c r="T29" s="6"/>
      <c r="U29" s="6"/>
      <c r="V29" s="6"/>
      <c r="W29" s="6"/>
      <c r="X29" s="6"/>
      <c r="Y29" s="6"/>
      <c r="Z29" s="6"/>
      <c r="AA29" s="132"/>
    </row>
    <row r="30" spans="1:27" ht="13.5" customHeight="1" x14ac:dyDescent="0.2">
      <c r="A30" s="153"/>
      <c r="B30" s="136" t="s">
        <v>2069</v>
      </c>
      <c r="C30" s="124" t="s">
        <v>1164</v>
      </c>
      <c r="D30" s="28"/>
      <c r="E30" s="28"/>
      <c r="F30" s="140"/>
      <c r="G30" s="114"/>
      <c r="H30" s="114"/>
      <c r="I30" s="54"/>
      <c r="J30" s="102"/>
      <c r="K30" s="28" t="s">
        <v>576</v>
      </c>
      <c r="L30" s="148" t="s">
        <v>2069</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2069</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2069</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0"/>
      <c r="Q35" s="1987"/>
      <c r="R35" s="198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9" t="s">
        <v>2074</v>
      </c>
      <c r="B38" s="2019"/>
      <c r="C38" s="2019"/>
      <c r="D38" s="2019"/>
      <c r="E38" s="2019"/>
      <c r="F38" s="1987"/>
      <c r="G38" s="1987"/>
      <c r="H38" s="1988"/>
      <c r="I38" s="2038"/>
      <c r="J38" s="1958"/>
      <c r="K38" s="1958"/>
      <c r="L38" s="1958"/>
      <c r="M38" s="1958"/>
      <c r="N38" s="1958"/>
      <c r="O38" s="1958"/>
      <c r="P38" s="1959"/>
      <c r="Q38" s="1959"/>
      <c r="R38" s="1959"/>
      <c r="S38" s="1960"/>
      <c r="T38" s="1957"/>
      <c r="U38" s="1958"/>
      <c r="V38" s="1958"/>
      <c r="W38" s="1958"/>
      <c r="X38" s="1959"/>
      <c r="Y38" s="1959"/>
      <c r="Z38" s="1959"/>
      <c r="AA38" s="1960"/>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2073</v>
      </c>
      <c r="B40" s="2046"/>
      <c r="C40" s="2047"/>
      <c r="D40" s="2047"/>
      <c r="E40" s="2047"/>
      <c r="F40" s="2048"/>
      <c r="G40" s="2048"/>
      <c r="H40" s="2049"/>
      <c r="I40" s="1961"/>
      <c r="J40" s="1963"/>
      <c r="K40" s="1963"/>
      <c r="L40" s="1963"/>
      <c r="M40" s="1963"/>
      <c r="N40" s="1963"/>
      <c r="O40" s="1963"/>
      <c r="P40" s="1963"/>
      <c r="Q40" s="1963"/>
      <c r="R40" s="1963"/>
      <c r="S40" s="1964"/>
      <c r="T40" s="1961"/>
      <c r="U40" s="1962"/>
      <c r="V40" s="1963"/>
      <c r="W40" s="1963"/>
      <c r="X40" s="1963"/>
      <c r="Y40" s="1963"/>
      <c r="Z40" s="1963"/>
      <c r="AA40" s="196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5" t="s">
        <v>2080</v>
      </c>
      <c r="B42" s="2036"/>
      <c r="C42" s="2037"/>
      <c r="D42" s="2050" t="s">
        <v>2081</v>
      </c>
      <c r="E42" s="2036"/>
      <c r="F42" s="2036"/>
      <c r="G42" s="2036"/>
      <c r="H42" s="2037"/>
      <c r="I42" s="1956"/>
      <c r="J42" s="1952"/>
      <c r="K42" s="1952"/>
      <c r="L42" s="1952"/>
      <c r="M42" s="1952"/>
      <c r="N42" s="1952"/>
      <c r="O42" s="1953"/>
      <c r="P42" s="1951"/>
      <c r="Q42" s="1952"/>
      <c r="R42" s="1952"/>
      <c r="S42" s="1953"/>
      <c r="T42" s="1956"/>
      <c r="U42" s="1952"/>
      <c r="V42" s="1952"/>
      <c r="W42" s="1953"/>
      <c r="X42" s="1951"/>
      <c r="Y42" s="1952"/>
      <c r="Z42" s="1952"/>
      <c r="AA42" s="195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9"/>
      <c r="B44" s="2040"/>
      <c r="C44" s="2040"/>
      <c r="D44" s="2040"/>
      <c r="E44" s="2040"/>
      <c r="F44" s="2040"/>
      <c r="G44" s="2040"/>
      <c r="H44" s="2041"/>
      <c r="I44" s="2031"/>
      <c r="J44" s="2033"/>
      <c r="K44" s="2033"/>
      <c r="L44" s="2033"/>
      <c r="M44" s="2033"/>
      <c r="N44" s="2033"/>
      <c r="O44" s="2033"/>
      <c r="P44" s="2033"/>
      <c r="Q44" s="2033"/>
      <c r="R44" s="2033"/>
      <c r="S44" s="2034"/>
      <c r="T44" s="2031"/>
      <c r="U44" s="2032"/>
      <c r="V44" s="2032"/>
      <c r="W44" s="2032"/>
      <c r="X44" s="2032"/>
      <c r="Y44" s="2032"/>
      <c r="Z44" s="2033"/>
      <c r="AA44" s="203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114" sqref="C114:D114"/>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8" t="s">
        <v>1802</v>
      </c>
      <c r="B2" s="1528" t="s">
        <v>1949</v>
      </c>
      <c r="C2" s="714" t="s">
        <v>1950</v>
      </c>
      <c r="D2" s="714" t="s">
        <v>1951</v>
      </c>
      <c r="E2" s="714" t="s">
        <v>1952</v>
      </c>
      <c r="F2" s="714" t="s">
        <v>1953</v>
      </c>
    </row>
    <row r="3" spans="1:6" ht="12" customHeight="1" x14ac:dyDescent="0.2">
      <c r="A3" s="2189"/>
      <c r="B3" s="1525"/>
      <c r="C3" s="1526"/>
      <c r="D3" s="1527" t="s">
        <v>256</v>
      </c>
      <c r="E3" s="1526"/>
      <c r="F3" s="1527" t="s">
        <v>257</v>
      </c>
    </row>
    <row r="4" spans="1:6" ht="13.7" customHeight="1" x14ac:dyDescent="0.2">
      <c r="A4" s="715" t="s">
        <v>1155</v>
      </c>
      <c r="B4" s="1749">
        <f>'Revenues 9-14'!C5</f>
        <v>1607068</v>
      </c>
      <c r="C4" s="1524">
        <v>154603</v>
      </c>
      <c r="D4" s="1752">
        <f>B4-C4</f>
        <v>1452465</v>
      </c>
      <c r="E4" s="1524">
        <f>3283139-6429</f>
        <v>3276710</v>
      </c>
      <c r="F4" s="1752">
        <f>E4-C4</f>
        <v>3122107</v>
      </c>
    </row>
    <row r="5" spans="1:6" ht="13.7" customHeight="1" x14ac:dyDescent="0.2">
      <c r="A5" s="715" t="s">
        <v>870</v>
      </c>
      <c r="B5" s="1750">
        <f>'Revenues 9-14'!D5</f>
        <v>247250</v>
      </c>
      <c r="C5" s="585">
        <v>23878</v>
      </c>
      <c r="D5" s="1753">
        <f t="shared" ref="D5:D18" si="0">B5-C5</f>
        <v>223372</v>
      </c>
      <c r="E5" s="585">
        <v>505098</v>
      </c>
      <c r="F5" s="1753">
        <f>E5-C5</f>
        <v>481220</v>
      </c>
    </row>
    <row r="6" spans="1:6" ht="13.7" customHeight="1" x14ac:dyDescent="0.2">
      <c r="A6" s="715" t="s">
        <v>411</v>
      </c>
      <c r="B6" s="1750">
        <f>'Revenues 9-14'!E5</f>
        <v>88635</v>
      </c>
      <c r="C6" s="585">
        <v>8170</v>
      </c>
      <c r="D6" s="1753">
        <f t="shared" si="0"/>
        <v>80465</v>
      </c>
      <c r="E6" s="585">
        <v>172845</v>
      </c>
      <c r="F6" s="1753">
        <f t="shared" ref="F6:F18" si="1">E6-C6</f>
        <v>164675</v>
      </c>
    </row>
    <row r="7" spans="1:6" ht="13.7" customHeight="1" x14ac:dyDescent="0.2">
      <c r="A7" s="715" t="s">
        <v>155</v>
      </c>
      <c r="B7" s="1750">
        <f>'Revenues 9-14'!F5</f>
        <v>222525</v>
      </c>
      <c r="C7" s="585">
        <v>21490</v>
      </c>
      <c r="D7" s="1753">
        <f t="shared" si="0"/>
        <v>201035</v>
      </c>
      <c r="E7" s="585">
        <v>454588</v>
      </c>
      <c r="F7" s="1753">
        <f t="shared" si="1"/>
        <v>433098</v>
      </c>
    </row>
    <row r="8" spans="1:6" ht="13.7" customHeight="1" x14ac:dyDescent="0.2">
      <c r="A8" s="715" t="s">
        <v>1179</v>
      </c>
      <c r="B8" s="1750">
        <f>'Revenues 9-14'!G5</f>
        <v>58149</v>
      </c>
      <c r="C8" s="585">
        <v>1229</v>
      </c>
      <c r="D8" s="1753">
        <f t="shared" si="0"/>
        <v>56920</v>
      </c>
      <c r="E8" s="585">
        <v>26063</v>
      </c>
      <c r="F8" s="1753">
        <f t="shared" si="1"/>
        <v>24834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24645</v>
      </c>
      <c r="C10" s="585">
        <v>2388</v>
      </c>
      <c r="D10" s="1753">
        <f t="shared" si="0"/>
        <v>22257</v>
      </c>
      <c r="E10" s="585">
        <v>50510</v>
      </c>
      <c r="F10" s="1753">
        <f t="shared" si="1"/>
        <v>48122</v>
      </c>
    </row>
    <row r="11" spans="1:6" x14ac:dyDescent="0.2">
      <c r="A11" s="715" t="s">
        <v>409</v>
      </c>
      <c r="B11" s="1750">
        <f>'Revenues 9-14'!J5</f>
        <v>143894</v>
      </c>
      <c r="C11" s="585">
        <v>15600</v>
      </c>
      <c r="D11" s="1753">
        <f t="shared" si="0"/>
        <v>128294</v>
      </c>
      <c r="E11" s="585">
        <v>330031</v>
      </c>
      <c r="F11" s="1753">
        <f t="shared" si="1"/>
        <v>314431</v>
      </c>
    </row>
    <row r="12" spans="1:6" ht="13.7" customHeight="1" x14ac:dyDescent="0.2">
      <c r="A12" s="715" t="s">
        <v>157</v>
      </c>
      <c r="B12" s="1750">
        <f>'Revenues 9-14'!K5</f>
        <v>24645</v>
      </c>
      <c r="C12" s="585">
        <v>2388</v>
      </c>
      <c r="D12" s="1753">
        <f t="shared" si="0"/>
        <v>22257</v>
      </c>
      <c r="E12" s="585">
        <v>50510</v>
      </c>
      <c r="F12" s="1753">
        <f t="shared" si="1"/>
        <v>48122</v>
      </c>
    </row>
    <row r="13" spans="1:6" ht="13.7" customHeight="1" x14ac:dyDescent="0.2">
      <c r="A13" s="715" t="s">
        <v>936</v>
      </c>
      <c r="B13" s="1750">
        <f>SUM('Revenues 9-14'!C6:D6)</f>
        <v>24645</v>
      </c>
      <c r="C13" s="585">
        <v>2388</v>
      </c>
      <c r="D13" s="1753">
        <f t="shared" si="0"/>
        <v>22257</v>
      </c>
      <c r="E13" s="585">
        <v>50510</v>
      </c>
      <c r="F13" s="1753">
        <f t="shared" si="1"/>
        <v>48122</v>
      </c>
    </row>
    <row r="14" spans="1:6" ht="13.7" customHeight="1" x14ac:dyDescent="0.2">
      <c r="A14" s="715" t="s">
        <v>410</v>
      </c>
      <c r="B14" s="1750">
        <f>SUM('Revenues 9-14'!C7:D7,'Revenues 9-14'!F7:H7)</f>
        <v>19711</v>
      </c>
      <c r="C14" s="585">
        <v>1910</v>
      </c>
      <c r="D14" s="1753">
        <f t="shared" si="0"/>
        <v>17801</v>
      </c>
      <c r="E14" s="585">
        <v>40408</v>
      </c>
      <c r="F14" s="1753">
        <f t="shared" si="1"/>
        <v>38498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70788</v>
      </c>
      <c r="C16" s="585">
        <v>8273</v>
      </c>
      <c r="D16" s="1753">
        <f t="shared" si="0"/>
        <v>62515</v>
      </c>
      <c r="E16" s="585">
        <v>175067</v>
      </c>
      <c r="F16" s="1753">
        <f t="shared" si="1"/>
        <v>166794</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2531955</v>
      </c>
      <c r="C19" s="1751">
        <f>SUM(C4:C18)</f>
        <v>242317</v>
      </c>
      <c r="D19" s="1751">
        <f>SUM(D4:D18)</f>
        <v>2289638</v>
      </c>
      <c r="E19" s="1751">
        <f>SUM(E4:E18)</f>
        <v>5132340</v>
      </c>
      <c r="F19" s="1751">
        <f>SUM(F4:F18)</f>
        <v>4890023</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2" colorId="8" zoomScale="110" zoomScaleNormal="110" workbookViewId="0">
      <selection activeCell="C114" sqref="C114:D114"/>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5"/>
      <c r="C1" s="721"/>
    </row>
    <row r="2" spans="1:7" ht="33.75" x14ac:dyDescent="0.2">
      <c r="A2" s="2203" t="s">
        <v>1802</v>
      </c>
      <c r="B2" s="2204"/>
      <c r="C2" s="1884" t="s">
        <v>1954</v>
      </c>
      <c r="D2" s="723" t="s">
        <v>1955</v>
      </c>
      <c r="E2" s="723" t="s">
        <v>1956</v>
      </c>
      <c r="F2" s="1884" t="s">
        <v>1957</v>
      </c>
    </row>
    <row r="3" spans="1:7" ht="15.75" customHeight="1" x14ac:dyDescent="0.2">
      <c r="A3" s="2207" t="s">
        <v>1114</v>
      </c>
      <c r="B3" s="2208"/>
      <c r="C3" s="2196"/>
      <c r="D3" s="2197"/>
      <c r="E3" s="2197"/>
      <c r="F3" s="2198"/>
    </row>
    <row r="4" spans="1:7" ht="12.75" customHeight="1" thickBot="1" x14ac:dyDescent="0.25">
      <c r="A4" s="2205" t="s">
        <v>630</v>
      </c>
      <c r="B4" s="2206"/>
      <c r="C4" s="581"/>
      <c r="D4" s="581"/>
      <c r="E4" s="581"/>
      <c r="F4" s="1755">
        <f>SUM(C4+D4)-E4</f>
        <v>0</v>
      </c>
    </row>
    <row r="5" spans="1:7" ht="15.75" customHeight="1" thickTop="1" x14ac:dyDescent="0.2">
      <c r="A5" s="2190" t="s">
        <v>1110</v>
      </c>
      <c r="B5" s="2191"/>
      <c r="C5" s="2199"/>
      <c r="D5" s="2200"/>
      <c r="E5" s="2200"/>
      <c r="F5" s="2201"/>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2" t="s">
        <v>631</v>
      </c>
      <c r="B15" s="2193"/>
      <c r="C15" s="1755">
        <f>SUM(C6:C14)</f>
        <v>0</v>
      </c>
      <c r="D15" s="1755">
        <f>SUM(D6:D14)</f>
        <v>0</v>
      </c>
      <c r="E15" s="1755">
        <f>SUM(E6:E14)</f>
        <v>0</v>
      </c>
      <c r="F15" s="1755">
        <f>SUM(F6:F14)</f>
        <v>0</v>
      </c>
      <c r="G15" s="552"/>
    </row>
    <row r="16" spans="1:7" s="202" customFormat="1" ht="15.75" customHeight="1" thickTop="1" x14ac:dyDescent="0.2">
      <c r="A16" s="2202" t="s">
        <v>1111</v>
      </c>
      <c r="B16" s="2191"/>
      <c r="C16" s="2199"/>
      <c r="D16" s="2200"/>
      <c r="E16" s="2200"/>
      <c r="F16" s="2201"/>
    </row>
    <row r="17" spans="1:11" ht="12.75" customHeight="1" thickBot="1" x14ac:dyDescent="0.25">
      <c r="A17" s="2215" t="s">
        <v>64</v>
      </c>
      <c r="B17" s="2216"/>
      <c r="C17" s="726"/>
      <c r="D17" s="585"/>
      <c r="E17" s="726"/>
      <c r="F17" s="1755">
        <f>SUM(C17+D17)-E17</f>
        <v>0</v>
      </c>
    </row>
    <row r="18" spans="1:11" ht="12.75" customHeight="1" thickTop="1" thickBot="1" x14ac:dyDescent="0.25">
      <c r="A18" s="2215" t="s">
        <v>6</v>
      </c>
      <c r="B18" s="2216"/>
      <c r="C18" s="726"/>
      <c r="D18" s="585"/>
      <c r="E18" s="726"/>
      <c r="F18" s="1755">
        <f>SUM(C18+D18)-E18</f>
        <v>0</v>
      </c>
    </row>
    <row r="19" spans="1:11" ht="12.75" customHeight="1" thickTop="1" thickBot="1" x14ac:dyDescent="0.25">
      <c r="A19" s="2215" t="s">
        <v>388</v>
      </c>
      <c r="B19" s="2216"/>
      <c r="C19" s="726"/>
      <c r="D19" s="585"/>
      <c r="E19" s="726"/>
      <c r="F19" s="1755">
        <f>SUM(C19+D19)-E19</f>
        <v>0</v>
      </c>
    </row>
    <row r="20" spans="1:11" ht="12.75" customHeight="1" thickTop="1" thickBot="1" x14ac:dyDescent="0.25">
      <c r="A20" s="2215" t="s">
        <v>448</v>
      </c>
      <c r="B20" s="2216"/>
      <c r="C20" s="726"/>
      <c r="D20" s="585"/>
      <c r="E20" s="726"/>
      <c r="F20" s="1755">
        <f>SUM(C20+D20)-E20</f>
        <v>0</v>
      </c>
    </row>
    <row r="21" spans="1:11" ht="14.25" thickTop="1" thickBot="1" x14ac:dyDescent="0.25">
      <c r="A21" s="2192" t="s">
        <v>632</v>
      </c>
      <c r="B21" s="2193"/>
      <c r="C21" s="1755">
        <f>SUM(C17:C20)</f>
        <v>0</v>
      </c>
      <c r="D21" s="1755">
        <f>SUM(D17:D20)</f>
        <v>0</v>
      </c>
      <c r="E21" s="1755">
        <f>SUM(E17:E20)</f>
        <v>0</v>
      </c>
      <c r="F21" s="1755">
        <f>SUM(F17:F20)</f>
        <v>0</v>
      </c>
      <c r="G21" s="552"/>
    </row>
    <row r="22" spans="1:11" ht="15.75" customHeight="1" thickTop="1" x14ac:dyDescent="0.2">
      <c r="A22" s="2217" t="s">
        <v>1112</v>
      </c>
      <c r="B22" s="2191"/>
      <c r="C22" s="2199"/>
      <c r="D22" s="2200"/>
      <c r="E22" s="2200"/>
      <c r="F22" s="2201"/>
    </row>
    <row r="23" spans="1:11" ht="13.5" thickBot="1" x14ac:dyDescent="0.25">
      <c r="A23" s="2205" t="s">
        <v>633</v>
      </c>
      <c r="B23" s="2206"/>
      <c r="C23" s="581"/>
      <c r="D23" s="581"/>
      <c r="E23" s="581"/>
      <c r="F23" s="1755">
        <f>SUM(C23+D23)-E23</f>
        <v>0</v>
      </c>
      <c r="G23" s="552"/>
    </row>
    <row r="24" spans="1:11" ht="15.75" customHeight="1" thickTop="1" x14ac:dyDescent="0.2">
      <c r="A24" s="2217" t="s">
        <v>1113</v>
      </c>
      <c r="B24" s="2191"/>
      <c r="C24" s="2199"/>
      <c r="D24" s="2200"/>
      <c r="E24" s="2200"/>
      <c r="F24" s="2201"/>
    </row>
    <row r="25" spans="1:11" ht="13.5" thickBot="1" x14ac:dyDescent="0.25">
      <c r="A25" s="2205" t="s">
        <v>634</v>
      </c>
      <c r="B25" s="2206"/>
      <c r="C25" s="581"/>
      <c r="D25" s="581"/>
      <c r="E25" s="581"/>
      <c r="F25" s="1755">
        <f>SUM(C25+D25)-E25</f>
        <v>0</v>
      </c>
      <c r="G25" s="552"/>
    </row>
    <row r="26" spans="1:11" ht="15.75" customHeight="1" thickTop="1" x14ac:dyDescent="0.2">
      <c r="A26" s="2190" t="s">
        <v>657</v>
      </c>
      <c r="B26" s="2191"/>
      <c r="C26" s="727"/>
      <c r="D26" s="727"/>
      <c r="E26" s="727"/>
      <c r="F26" s="728"/>
    </row>
    <row r="27" spans="1:11" ht="13.5" thickBot="1" x14ac:dyDescent="0.25">
      <c r="A27" s="2192" t="s">
        <v>1070</v>
      </c>
      <c r="B27" s="2193"/>
      <c r="C27" s="585"/>
      <c r="D27" s="585"/>
      <c r="E27" s="585"/>
      <c r="F27" s="1755">
        <f>SUM(C27+D27)-E27</f>
        <v>0</v>
      </c>
      <c r="G27" s="552"/>
    </row>
    <row r="28" spans="1:11" ht="7.5" customHeight="1" thickTop="1" x14ac:dyDescent="0.2">
      <c r="A28" s="593"/>
    </row>
    <row r="29" spans="1:11" ht="23.25" customHeight="1" x14ac:dyDescent="0.2">
      <c r="A29" s="2218" t="s">
        <v>582</v>
      </c>
      <c r="B29" s="2195"/>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2065</v>
      </c>
      <c r="B31" s="733">
        <v>39477</v>
      </c>
      <c r="C31" s="734">
        <v>789993</v>
      </c>
      <c r="D31" s="735">
        <v>4</v>
      </c>
      <c r="E31" s="734">
        <v>264739</v>
      </c>
      <c r="F31" s="734"/>
      <c r="G31" s="734"/>
      <c r="H31" s="734">
        <v>264739</v>
      </c>
      <c r="I31" s="1756">
        <f>((E31+F31)-H31)+G31</f>
        <v>0</v>
      </c>
      <c r="J31" s="734"/>
      <c r="K31" s="736"/>
    </row>
    <row r="32" spans="1:11" ht="12" customHeight="1" x14ac:dyDescent="0.2">
      <c r="A32" s="732" t="s">
        <v>2066</v>
      </c>
      <c r="B32" s="733">
        <v>40575</v>
      </c>
      <c r="C32" s="734">
        <v>400000</v>
      </c>
      <c r="D32" s="735">
        <v>4</v>
      </c>
      <c r="E32" s="734">
        <v>60000</v>
      </c>
      <c r="F32" s="734"/>
      <c r="G32" s="734"/>
      <c r="H32" s="734">
        <v>60000</v>
      </c>
      <c r="I32" s="1756">
        <f>((E32+F32)-H32)+G32</f>
        <v>0</v>
      </c>
      <c r="J32" s="734"/>
      <c r="K32" s="736"/>
    </row>
    <row r="33" spans="1:11" ht="12" customHeight="1" x14ac:dyDescent="0.2">
      <c r="A33" s="732" t="s">
        <v>2067</v>
      </c>
      <c r="B33" s="733">
        <v>42429</v>
      </c>
      <c r="C33" s="734">
        <v>500000</v>
      </c>
      <c r="D33" s="735">
        <v>1</v>
      </c>
      <c r="E33" s="734">
        <v>171000</v>
      </c>
      <c r="F33" s="734"/>
      <c r="G33" s="734"/>
      <c r="H33" s="734">
        <v>171000</v>
      </c>
      <c r="I33" s="1756">
        <f t="shared" ref="I33:I48" si="1">((E33+F33)-H33)+G33</f>
        <v>0</v>
      </c>
      <c r="J33" s="734"/>
      <c r="K33" s="736"/>
    </row>
    <row r="34" spans="1:11" ht="12" customHeight="1" x14ac:dyDescent="0.2">
      <c r="A34" s="732" t="s">
        <v>2068</v>
      </c>
      <c r="B34" s="733">
        <v>43525</v>
      </c>
      <c r="C34" s="734"/>
      <c r="D34" s="735">
        <v>4</v>
      </c>
      <c r="E34" s="734"/>
      <c r="F34" s="734">
        <v>1500000</v>
      </c>
      <c r="G34" s="734"/>
      <c r="H34" s="734"/>
      <c r="I34" s="1756">
        <f t="shared" si="1"/>
        <v>1500000</v>
      </c>
      <c r="J34" s="734">
        <f>1500000-8523</f>
        <v>1491477</v>
      </c>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1689993</v>
      </c>
      <c r="D49" s="745"/>
      <c r="E49" s="1756">
        <f t="shared" ref="E49:J49" si="2">SUM(E31:E48)</f>
        <v>495739</v>
      </c>
      <c r="F49" s="1756">
        <f t="shared" si="2"/>
        <v>1500000</v>
      </c>
      <c r="G49" s="1756">
        <f t="shared" si="2"/>
        <v>0</v>
      </c>
      <c r="H49" s="1756">
        <f t="shared" si="2"/>
        <v>495739</v>
      </c>
      <c r="I49" s="1756">
        <f t="shared" si="2"/>
        <v>1500000</v>
      </c>
      <c r="J49" s="1756">
        <f t="shared" si="2"/>
        <v>1491477</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9" t="s">
        <v>584</v>
      </c>
      <c r="C52" s="2210"/>
      <c r="D52" s="2210"/>
      <c r="E52" s="749" t="s">
        <v>845</v>
      </c>
      <c r="F52" s="2211"/>
      <c r="G52" s="2212"/>
      <c r="H52" s="736"/>
      <c r="I52" s="736"/>
      <c r="J52" s="746"/>
    </row>
    <row r="53" spans="1:11" ht="11.25" customHeight="1" x14ac:dyDescent="0.2">
      <c r="A53" s="750" t="s">
        <v>913</v>
      </c>
      <c r="B53" s="751" t="s">
        <v>951</v>
      </c>
      <c r="C53" s="746"/>
      <c r="D53" s="737"/>
      <c r="E53" s="749" t="s">
        <v>497</v>
      </c>
      <c r="F53" s="2213"/>
      <c r="G53" s="2214"/>
      <c r="H53" s="736"/>
      <c r="I53" s="736"/>
      <c r="J53" s="746"/>
    </row>
    <row r="54" spans="1:11" ht="11.25" customHeight="1" x14ac:dyDescent="0.2">
      <c r="A54" s="752" t="s">
        <v>914</v>
      </c>
      <c r="B54" s="747" t="s">
        <v>952</v>
      </c>
      <c r="C54" s="746"/>
      <c r="D54" s="737"/>
      <c r="E54" s="749" t="s">
        <v>498</v>
      </c>
      <c r="F54" s="2213"/>
      <c r="G54" s="221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C114" sqref="C114:D11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3" t="s">
        <v>856</v>
      </c>
      <c r="B1" s="2244"/>
      <c r="C1" s="2244"/>
      <c r="D1" s="2244"/>
      <c r="E1" s="2244"/>
      <c r="F1" s="2244"/>
      <c r="G1" s="2245"/>
      <c r="H1" s="1530"/>
      <c r="I1" s="760"/>
      <c r="J1" s="433"/>
    </row>
    <row r="2" spans="1:11" ht="26.25" x14ac:dyDescent="0.2">
      <c r="A2" s="2222" t="s">
        <v>1677</v>
      </c>
      <c r="B2" s="2223"/>
      <c r="C2" s="2223"/>
      <c r="D2" s="2223"/>
      <c r="E2" s="2224"/>
      <c r="F2" s="761" t="s">
        <v>904</v>
      </c>
      <c r="G2" s="762" t="s">
        <v>1674</v>
      </c>
      <c r="H2" s="762" t="s">
        <v>410</v>
      </c>
      <c r="I2" s="762" t="s">
        <v>1158</v>
      </c>
      <c r="J2" s="762" t="s">
        <v>1812</v>
      </c>
      <c r="K2" s="762" t="s">
        <v>138</v>
      </c>
    </row>
    <row r="3" spans="1:11" x14ac:dyDescent="0.2">
      <c r="A3" s="2225" t="s">
        <v>1962</v>
      </c>
      <c r="B3" s="2226"/>
      <c r="C3" s="2226"/>
      <c r="D3" s="2226"/>
      <c r="E3" s="2227"/>
      <c r="F3" s="763"/>
      <c r="G3" s="764"/>
      <c r="H3" s="764"/>
      <c r="I3" s="764"/>
      <c r="J3" s="765">
        <v>409344</v>
      </c>
      <c r="K3" s="765"/>
    </row>
    <row r="4" spans="1:11" x14ac:dyDescent="0.2">
      <c r="A4" s="2228" t="s">
        <v>369</v>
      </c>
      <c r="B4" s="2229"/>
      <c r="C4" s="2229"/>
      <c r="D4" s="2229"/>
      <c r="E4" s="2210"/>
      <c r="F4" s="766"/>
      <c r="G4" s="767"/>
      <c r="H4" s="768"/>
      <c r="I4" s="767"/>
      <c r="J4" s="769"/>
      <c r="K4" s="769"/>
    </row>
    <row r="5" spans="1:11" x14ac:dyDescent="0.2">
      <c r="A5" s="2246" t="s">
        <v>1069</v>
      </c>
      <c r="B5" s="2219"/>
      <c r="C5" s="2219"/>
      <c r="D5" s="2219"/>
      <c r="E5" s="2247"/>
      <c r="F5" s="770" t="s">
        <v>848</v>
      </c>
      <c r="G5" s="771"/>
      <c r="H5" s="764">
        <v>19711</v>
      </c>
      <c r="I5" s="772"/>
      <c r="J5" s="773"/>
      <c r="K5" s="773"/>
    </row>
    <row r="6" spans="1:11" x14ac:dyDescent="0.2">
      <c r="A6" s="774" t="s">
        <v>720</v>
      </c>
      <c r="B6" s="775"/>
      <c r="C6" s="775"/>
      <c r="D6" s="775"/>
      <c r="E6" s="776"/>
      <c r="F6" s="777" t="s">
        <v>849</v>
      </c>
      <c r="G6" s="764"/>
      <c r="H6" s="764"/>
      <c r="I6" s="764"/>
      <c r="J6" s="765">
        <v>2024</v>
      </c>
      <c r="K6" s="765"/>
    </row>
    <row r="7" spans="1:11" x14ac:dyDescent="0.2">
      <c r="A7" s="778" t="s">
        <v>246</v>
      </c>
      <c r="B7" s="779"/>
      <c r="C7" s="779"/>
      <c r="D7" s="779"/>
      <c r="E7" s="780"/>
      <c r="F7" s="770" t="s">
        <v>850</v>
      </c>
      <c r="G7" s="767"/>
      <c r="H7" s="767"/>
      <c r="I7" s="767"/>
      <c r="J7" s="781"/>
      <c r="K7" s="765">
        <v>4198</v>
      </c>
    </row>
    <row r="8" spans="1:11" x14ac:dyDescent="0.2">
      <c r="A8" s="778" t="s">
        <v>345</v>
      </c>
      <c r="B8" s="779"/>
      <c r="C8" s="779"/>
      <c r="D8" s="779"/>
      <c r="E8" s="780"/>
      <c r="F8" s="770" t="s">
        <v>851</v>
      </c>
      <c r="G8" s="782"/>
      <c r="H8" s="782"/>
      <c r="I8" s="782"/>
      <c r="J8" s="765">
        <v>90239</v>
      </c>
      <c r="K8" s="769"/>
    </row>
    <row r="9" spans="1:11" x14ac:dyDescent="0.2">
      <c r="A9" s="778" t="s">
        <v>138</v>
      </c>
      <c r="B9" s="779"/>
      <c r="C9" s="779"/>
      <c r="D9" s="779"/>
      <c r="E9" s="780"/>
      <c r="F9" s="777" t="s">
        <v>853</v>
      </c>
      <c r="G9" s="782"/>
      <c r="H9" s="771"/>
      <c r="I9" s="771"/>
      <c r="J9" s="781"/>
      <c r="K9" s="765"/>
    </row>
    <row r="10" spans="1:11" x14ac:dyDescent="0.2">
      <c r="A10" s="2246" t="s">
        <v>1813</v>
      </c>
      <c r="B10" s="2219"/>
      <c r="C10" s="2219"/>
      <c r="D10" s="2219"/>
      <c r="E10" s="2248"/>
      <c r="F10" s="783" t="s">
        <v>862</v>
      </c>
      <c r="G10" s="782"/>
      <c r="H10" s="784"/>
      <c r="I10" s="764"/>
      <c r="J10" s="765"/>
      <c r="K10" s="765"/>
    </row>
    <row r="11" spans="1:11" x14ac:dyDescent="0.2">
      <c r="A11" s="2246" t="s">
        <v>160</v>
      </c>
      <c r="B11" s="2219"/>
      <c r="C11" s="2219"/>
      <c r="D11" s="2219"/>
      <c r="E11" s="2247"/>
      <c r="F11" s="770" t="s">
        <v>852</v>
      </c>
      <c r="G11" s="771"/>
      <c r="H11" s="764"/>
      <c r="I11" s="764"/>
      <c r="J11" s="765"/>
      <c r="K11" s="773"/>
    </row>
    <row r="12" spans="1:11" ht="13.5" thickBot="1" x14ac:dyDescent="0.25">
      <c r="A12" s="2236" t="s">
        <v>905</v>
      </c>
      <c r="B12" s="2237"/>
      <c r="C12" s="2237"/>
      <c r="D12" s="2237"/>
      <c r="E12" s="2238"/>
      <c r="F12" s="1757"/>
      <c r="G12" s="1758">
        <f>SUM(G5:G11)</f>
        <v>0</v>
      </c>
      <c r="H12" s="1758">
        <f>SUM(H5:H11)</f>
        <v>19711</v>
      </c>
      <c r="I12" s="1758">
        <f>SUM(I5:I11)</f>
        <v>0</v>
      </c>
      <c r="J12" s="1758">
        <f>SUM(J5:J11)</f>
        <v>92263</v>
      </c>
      <c r="K12" s="1758">
        <f>SUM(K5:K11)</f>
        <v>4198</v>
      </c>
    </row>
    <row r="13" spans="1:11" ht="13.5" thickTop="1" x14ac:dyDescent="0.2">
      <c r="A13" s="2230" t="s">
        <v>370</v>
      </c>
      <c r="B13" s="2231"/>
      <c r="C13" s="2231"/>
      <c r="D13" s="2231"/>
      <c r="E13" s="2232"/>
      <c r="F13" s="785"/>
      <c r="G13" s="786"/>
      <c r="H13" s="787"/>
      <c r="I13" s="788"/>
      <c r="J13" s="788"/>
      <c r="K13" s="788"/>
    </row>
    <row r="14" spans="1:11" x14ac:dyDescent="0.2">
      <c r="A14" s="2252" t="s">
        <v>456</v>
      </c>
      <c r="B14" s="2252"/>
      <c r="C14" s="2252"/>
      <c r="D14" s="2252"/>
      <c r="E14" s="2253"/>
      <c r="F14" s="789" t="s">
        <v>854</v>
      </c>
      <c r="G14" s="782"/>
      <c r="H14" s="764">
        <v>19711</v>
      </c>
      <c r="I14" s="771"/>
      <c r="J14" s="773"/>
      <c r="K14" s="765">
        <v>4198</v>
      </c>
    </row>
    <row r="15" spans="1:11" x14ac:dyDescent="0.2">
      <c r="A15" s="2219" t="s">
        <v>4</v>
      </c>
      <c r="B15" s="2219"/>
      <c r="C15" s="2219"/>
      <c r="D15" s="2219"/>
      <c r="E15" s="2247"/>
      <c r="F15" s="789" t="s">
        <v>855</v>
      </c>
      <c r="G15" s="771"/>
      <c r="H15" s="764"/>
      <c r="I15" s="764"/>
      <c r="J15" s="765"/>
      <c r="K15" s="765"/>
    </row>
    <row r="16" spans="1:11" x14ac:dyDescent="0.2">
      <c r="A16" s="2219" t="s">
        <v>298</v>
      </c>
      <c r="B16" s="2219"/>
      <c r="C16" s="2219"/>
      <c r="D16" s="2219"/>
      <c r="E16" s="2247"/>
      <c r="F16" s="789" t="s">
        <v>923</v>
      </c>
      <c r="G16" s="772"/>
      <c r="H16" s="767"/>
      <c r="I16" s="767"/>
      <c r="J16" s="769"/>
      <c r="K16" s="769"/>
    </row>
    <row r="17" spans="1:11" x14ac:dyDescent="0.2">
      <c r="A17" s="2241" t="s">
        <v>935</v>
      </c>
      <c r="B17" s="2241"/>
      <c r="C17" s="2241"/>
      <c r="D17" s="2241"/>
      <c r="E17" s="2242"/>
      <c r="F17" s="790"/>
      <c r="G17" s="791"/>
      <c r="H17" s="792"/>
      <c r="I17" s="792"/>
      <c r="J17" s="793"/>
      <c r="K17" s="794"/>
    </row>
    <row r="18" spans="1:11" x14ac:dyDescent="0.2">
      <c r="A18" s="2233" t="s">
        <v>368</v>
      </c>
      <c r="B18" s="2234"/>
      <c r="C18" s="2234"/>
      <c r="D18" s="2234"/>
      <c r="E18" s="2235"/>
      <c r="F18" s="789" t="s">
        <v>932</v>
      </c>
      <c r="G18" s="782"/>
      <c r="H18" s="782"/>
      <c r="I18" s="782"/>
      <c r="J18" s="765">
        <v>178000</v>
      </c>
      <c r="K18" s="795"/>
    </row>
    <row r="19" spans="1:11" ht="21.75" customHeight="1" x14ac:dyDescent="0.2">
      <c r="A19" s="2254" t="s">
        <v>1809</v>
      </c>
      <c r="B19" s="2254"/>
      <c r="C19" s="2254"/>
      <c r="D19" s="2254"/>
      <c r="E19" s="2255"/>
      <c r="F19" s="789" t="s">
        <v>933</v>
      </c>
      <c r="G19" s="782"/>
      <c r="H19" s="782"/>
      <c r="I19" s="782"/>
      <c r="J19" s="765">
        <f>501254-178000</f>
        <v>323254</v>
      </c>
      <c r="K19" s="795"/>
    </row>
    <row r="20" spans="1:11" x14ac:dyDescent="0.2">
      <c r="A20" s="2233" t="s">
        <v>1814</v>
      </c>
      <c r="B20" s="2234"/>
      <c r="C20" s="2234"/>
      <c r="D20" s="2234"/>
      <c r="E20" s="2235"/>
      <c r="F20" s="789" t="s">
        <v>934</v>
      </c>
      <c r="G20" s="782"/>
      <c r="H20" s="782"/>
      <c r="I20" s="782"/>
      <c r="J20" s="765"/>
      <c r="K20" s="795"/>
    </row>
    <row r="21" spans="1:11" ht="13.5" thickBot="1" x14ac:dyDescent="0.25">
      <c r="A21" s="2239" t="s">
        <v>638</v>
      </c>
      <c r="B21" s="2239"/>
      <c r="C21" s="2239"/>
      <c r="D21" s="2239"/>
      <c r="E21" s="2239"/>
      <c r="F21" s="1759"/>
      <c r="G21" s="792"/>
      <c r="H21" s="796"/>
      <c r="I21" s="796"/>
      <c r="J21" s="1760">
        <f>SUM(J18:J20)</f>
        <v>501254</v>
      </c>
      <c r="K21" s="793"/>
    </row>
    <row r="22" spans="1:11" ht="13.5" thickTop="1" x14ac:dyDescent="0.2">
      <c r="A22" s="2219" t="s">
        <v>1815</v>
      </c>
      <c r="B22" s="2219"/>
      <c r="C22" s="2219"/>
      <c r="D22" s="2219"/>
      <c r="E22" s="2247"/>
      <c r="F22" s="789" t="s">
        <v>862</v>
      </c>
      <c r="G22" s="782"/>
      <c r="H22" s="764"/>
      <c r="I22" s="764"/>
      <c r="J22" s="797"/>
      <c r="K22" s="765"/>
    </row>
    <row r="23" spans="1:11" ht="13.5" thickBot="1" x14ac:dyDescent="0.25">
      <c r="A23" s="2240" t="s">
        <v>906</v>
      </c>
      <c r="B23" s="2239"/>
      <c r="C23" s="2239"/>
      <c r="D23" s="2239"/>
      <c r="E23" s="2239"/>
      <c r="F23" s="1761"/>
      <c r="G23" s="1758">
        <f>SUM(G14:G16,G21,G22)</f>
        <v>0</v>
      </c>
      <c r="H23" s="1758">
        <f>SUM(H14:H16,H21,H22)</f>
        <v>19711</v>
      </c>
      <c r="I23" s="1758">
        <f>SUM(I14:I16,I21,I22)</f>
        <v>0</v>
      </c>
      <c r="J23" s="1758">
        <f>SUM(J14:J16,J21,J22)</f>
        <v>501254</v>
      </c>
      <c r="K23" s="1758">
        <f>SUM(K14:K16,K21,K22)</f>
        <v>4198</v>
      </c>
    </row>
    <row r="24" spans="1:11" ht="14.25" thickTop="1" thickBot="1" x14ac:dyDescent="0.25">
      <c r="A24" s="2240" t="s">
        <v>1963</v>
      </c>
      <c r="B24" s="2239"/>
      <c r="C24" s="2239"/>
      <c r="D24" s="2239"/>
      <c r="E24" s="2239"/>
      <c r="F24" s="1762"/>
      <c r="G24" s="1763">
        <f>SUM(G3,G12)-G23</f>
        <v>0</v>
      </c>
      <c r="H24" s="1763">
        <f>SUM(H3,H12)-H23</f>
        <v>0</v>
      </c>
      <c r="I24" s="1763">
        <f>SUM(I3,I12)-I23</f>
        <v>0</v>
      </c>
      <c r="J24" s="1763">
        <f>SUM(J3,J12)-J23</f>
        <v>353</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353</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9"/>
      <c r="I31" s="2250"/>
      <c r="J31" s="2250"/>
      <c r="K31" s="2250"/>
    </row>
    <row r="32" spans="1:11" x14ac:dyDescent="0.2">
      <c r="A32" s="809"/>
      <c r="B32" s="237"/>
      <c r="C32" s="237"/>
      <c r="D32" s="237"/>
      <c r="E32" s="805"/>
      <c r="F32" s="811" t="s">
        <v>540</v>
      </c>
      <c r="G32" s="764"/>
      <c r="H32" s="2251"/>
      <c r="I32" s="2250"/>
      <c r="J32" s="2250"/>
      <c r="K32" s="2250"/>
    </row>
    <row r="33" spans="1:11" ht="1.5" customHeight="1" x14ac:dyDescent="0.2">
      <c r="A33" s="812" t="s">
        <v>1169</v>
      </c>
      <c r="B33" s="364"/>
      <c r="C33" s="364"/>
      <c r="D33" s="364"/>
      <c r="E33" s="364"/>
      <c r="F33" s="364"/>
      <c r="G33" s="813"/>
      <c r="H33" s="2251"/>
      <c r="I33" s="2250"/>
      <c r="J33" s="2250"/>
      <c r="K33" s="225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9"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14" sqref="C114:D1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1908</v>
      </c>
      <c r="B1" s="2259"/>
      <c r="C1" s="2260"/>
      <c r="D1" s="826"/>
      <c r="E1" s="827"/>
      <c r="F1" s="827"/>
      <c r="G1" s="828"/>
      <c r="H1" s="829"/>
      <c r="I1" s="830"/>
      <c r="J1" s="2256"/>
      <c r="K1" s="2257"/>
      <c r="L1" s="2257"/>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48351</v>
      </c>
      <c r="D5" s="841"/>
      <c r="E5" s="841"/>
      <c r="F5" s="1760">
        <f>(C5+D5)-E5</f>
        <v>48351</v>
      </c>
      <c r="G5" s="837"/>
      <c r="H5" s="842"/>
      <c r="I5" s="842"/>
      <c r="J5" s="842"/>
      <c r="K5" s="793"/>
      <c r="L5" s="1769">
        <f>F5-K5</f>
        <v>48351</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6569310</v>
      </c>
      <c r="D8" s="844">
        <v>325511</v>
      </c>
      <c r="E8" s="844"/>
      <c r="F8" s="1760">
        <f>(C8+D8)-E8</f>
        <v>6894821</v>
      </c>
      <c r="G8" s="843">
        <v>50</v>
      </c>
      <c r="H8" s="765">
        <v>2793361</v>
      </c>
      <c r="I8" s="765">
        <f>102910+1311</f>
        <v>104221</v>
      </c>
      <c r="J8" s="765"/>
      <c r="K8" s="1769">
        <f>(H8+I8)-J8</f>
        <v>2897582</v>
      </c>
      <c r="L8" s="1769">
        <f>F8-K8</f>
        <v>3997239</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415372</v>
      </c>
      <c r="D10" s="846"/>
      <c r="E10" s="846"/>
      <c r="F10" s="1764">
        <f>(C10+D10)-E10</f>
        <v>415372</v>
      </c>
      <c r="G10" s="843">
        <v>20</v>
      </c>
      <c r="H10" s="847">
        <v>206596</v>
      </c>
      <c r="I10" s="847">
        <v>20768</v>
      </c>
      <c r="J10" s="847"/>
      <c r="K10" s="1769">
        <f>(H10+I10)-J10</f>
        <v>227364</v>
      </c>
      <c r="L10" s="1769">
        <f>F10-K10</f>
        <v>188008</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988149</v>
      </c>
      <c r="D12" s="844">
        <f>24265+6741</f>
        <v>31006</v>
      </c>
      <c r="E12" s="844"/>
      <c r="F12" s="1760">
        <f>(C12+D12)-E12</f>
        <v>1019155</v>
      </c>
      <c r="G12" s="843">
        <v>10</v>
      </c>
      <c r="H12" s="765">
        <v>620518</v>
      </c>
      <c r="I12" s="765">
        <f>97532+4384</f>
        <v>101916</v>
      </c>
      <c r="J12" s="765"/>
      <c r="K12" s="1769">
        <f>(H12+I12)-J12</f>
        <v>722434</v>
      </c>
      <c r="L12" s="1769">
        <f>F12-K12</f>
        <v>296721</v>
      </c>
    </row>
    <row r="13" spans="1:14" ht="14.25" thickTop="1" thickBot="1" x14ac:dyDescent="0.25">
      <c r="A13" s="848" t="s">
        <v>1122</v>
      </c>
      <c r="B13" s="840">
        <v>252</v>
      </c>
      <c r="C13" s="844">
        <v>930693</v>
      </c>
      <c r="D13" s="844">
        <f>2726+4614</f>
        <v>7340</v>
      </c>
      <c r="E13" s="844"/>
      <c r="F13" s="1760">
        <f>(C13+D13)-E13</f>
        <v>938033</v>
      </c>
      <c r="G13" s="843">
        <v>5</v>
      </c>
      <c r="H13" s="765">
        <v>654508</v>
      </c>
      <c r="I13" s="765">
        <f>33006+59627-1311</f>
        <v>91322</v>
      </c>
      <c r="J13" s="765"/>
      <c r="K13" s="1769">
        <f>(H13+I13)-J13</f>
        <v>745830</v>
      </c>
      <c r="L13" s="1769">
        <f>F13-K13</f>
        <v>192203</v>
      </c>
    </row>
    <row r="14" spans="1:14" ht="14.25" thickTop="1" thickBot="1" x14ac:dyDescent="0.25">
      <c r="A14" s="848" t="s">
        <v>1123</v>
      </c>
      <c r="B14" s="840">
        <v>253</v>
      </c>
      <c r="C14" s="765">
        <v>64872</v>
      </c>
      <c r="D14" s="765">
        <v>186210</v>
      </c>
      <c r="E14" s="765"/>
      <c r="F14" s="1760">
        <f>(C14+D14)-E14</f>
        <v>251082</v>
      </c>
      <c r="G14" s="843">
        <v>3</v>
      </c>
      <c r="H14" s="765">
        <v>30700</v>
      </c>
      <c r="I14" s="765">
        <v>83693</v>
      </c>
      <c r="J14" s="765"/>
      <c r="K14" s="1769">
        <f>(H14+I14)-J14</f>
        <v>114393</v>
      </c>
      <c r="L14" s="1769">
        <f>F14-K14</f>
        <v>136689</v>
      </c>
    </row>
    <row r="15" spans="1:14" ht="15" customHeight="1" thickTop="1" thickBot="1" x14ac:dyDescent="0.25">
      <c r="A15" s="1631" t="s">
        <v>528</v>
      </c>
      <c r="B15" s="1630">
        <v>260</v>
      </c>
      <c r="C15" s="844"/>
      <c r="D15" s="844">
        <v>51458</v>
      </c>
      <c r="E15" s="844"/>
      <c r="F15" s="1760">
        <f>(C15+D15)-E15</f>
        <v>51458</v>
      </c>
      <c r="G15" s="849" t="s">
        <v>862</v>
      </c>
      <c r="H15" s="781"/>
      <c r="I15" s="781"/>
      <c r="J15" s="781"/>
      <c r="K15" s="781"/>
      <c r="L15" s="1769">
        <f>F15-K15</f>
        <v>51458</v>
      </c>
    </row>
    <row r="16" spans="1:14" ht="15" customHeight="1" thickTop="1" thickBot="1" x14ac:dyDescent="0.25">
      <c r="A16" s="1765" t="s">
        <v>643</v>
      </c>
      <c r="B16" s="1766">
        <v>200</v>
      </c>
      <c r="C16" s="1760">
        <f>SUM(C3,C5:C6,C8:C10,C12:C15)</f>
        <v>9016747</v>
      </c>
      <c r="D16" s="1760">
        <f>SUM(D3,D5:D6,D8:D10,D12:D15)</f>
        <v>601525</v>
      </c>
      <c r="E16" s="1760">
        <f>SUM(E3,E5:E6,E8:E10,E12:E15)</f>
        <v>0</v>
      </c>
      <c r="F16" s="1760">
        <f>SUM(F3,F5:F6,F8:F10,F12:F15)</f>
        <v>9618272</v>
      </c>
      <c r="G16" s="843"/>
      <c r="H16" s="1760">
        <f>SUM(H3,H6,H8:H10,H12:H14,)</f>
        <v>4305683</v>
      </c>
      <c r="I16" s="1760">
        <f>SUM(I3,I6,I8:I10,I12:I14,)</f>
        <v>401920</v>
      </c>
      <c r="J16" s="1760">
        <f>SUM(J3,J6,J8:J10,J12:J14,)</f>
        <v>0</v>
      </c>
      <c r="K16" s="1760">
        <f>(H16+I16)-J16</f>
        <v>4707603</v>
      </c>
      <c r="L16" s="1760">
        <f>F16-K16</f>
        <v>4910669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401920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128" activePane="bottomLeft" state="frozen"/>
      <selection activeCell="C114" sqref="C114:D114"/>
      <selection pane="bottomLeft" activeCell="C114" sqref="C114:D11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1973</v>
      </c>
      <c r="B1" s="2265"/>
      <c r="C1" s="2265"/>
      <c r="D1" s="2265"/>
      <c r="E1" s="2265"/>
      <c r="F1" s="2266"/>
      <c r="G1" s="855"/>
    </row>
    <row r="2" spans="1:7" ht="15" customHeight="1" thickBot="1" x14ac:dyDescent="0.25">
      <c r="A2" s="2267" t="s">
        <v>477</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7564191</v>
      </c>
      <c r="G8" s="865"/>
    </row>
    <row r="9" spans="1:7" x14ac:dyDescent="0.2">
      <c r="A9" s="869" t="s">
        <v>460</v>
      </c>
      <c r="B9" s="870" t="s">
        <v>1876</v>
      </c>
      <c r="C9" s="871"/>
      <c r="D9" s="869" t="s">
        <v>501</v>
      </c>
      <c r="E9" s="868"/>
      <c r="F9" s="1909">
        <f>'Expenditures 15-22'!K151</f>
        <v>451850</v>
      </c>
      <c r="G9" s="872"/>
    </row>
    <row r="10" spans="1:7" x14ac:dyDescent="0.2">
      <c r="A10" s="869" t="s">
        <v>499</v>
      </c>
      <c r="B10" s="870" t="s">
        <v>1877</v>
      </c>
      <c r="C10" s="871"/>
      <c r="D10" s="869" t="s">
        <v>501</v>
      </c>
      <c r="E10" s="868"/>
      <c r="F10" s="1909">
        <f>'Expenditures 15-22'!K174</f>
        <v>704239</v>
      </c>
      <c r="G10" s="872"/>
    </row>
    <row r="11" spans="1:7" x14ac:dyDescent="0.2">
      <c r="A11" s="869" t="s">
        <v>461</v>
      </c>
      <c r="B11" s="870" t="s">
        <v>1878</v>
      </c>
      <c r="C11" s="871"/>
      <c r="D11" s="869" t="s">
        <v>501</v>
      </c>
      <c r="E11" s="868"/>
      <c r="F11" s="1909">
        <f>'Expenditures 15-22'!K210</f>
        <v>483667</v>
      </c>
      <c r="G11" s="872"/>
    </row>
    <row r="12" spans="1:7" x14ac:dyDescent="0.2">
      <c r="A12" s="869" t="s">
        <v>462</v>
      </c>
      <c r="B12" s="870" t="s">
        <v>1879</v>
      </c>
      <c r="C12" s="871"/>
      <c r="D12" s="869" t="s">
        <v>501</v>
      </c>
      <c r="E12" s="868"/>
      <c r="F12" s="1909">
        <f>'Expenditures 15-22'!K295</f>
        <v>173934</v>
      </c>
      <c r="G12" s="872"/>
    </row>
    <row r="13" spans="1:7" x14ac:dyDescent="0.2">
      <c r="A13" s="869" t="s">
        <v>106</v>
      </c>
      <c r="B13" s="870" t="s">
        <v>1880</v>
      </c>
      <c r="C13" s="871"/>
      <c r="D13" s="869" t="s">
        <v>501</v>
      </c>
      <c r="E13" s="868"/>
      <c r="F13" s="1909">
        <f>'Expenditures 15-22'!K342</f>
        <v>161697</v>
      </c>
      <c r="G13" s="873"/>
    </row>
    <row r="14" spans="1:7" ht="12" customHeight="1" thickBot="1" x14ac:dyDescent="0.25">
      <c r="A14" s="1770"/>
      <c r="B14" s="1771"/>
      <c r="C14" s="1772"/>
      <c r="D14" s="1773" t="s">
        <v>501</v>
      </c>
      <c r="E14" s="1774" t="s">
        <v>958</v>
      </c>
      <c r="F14" s="1775">
        <f>SUM(F8:F13)</f>
        <v>9539578</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254990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708146</v>
      </c>
      <c r="G53" s="865"/>
    </row>
    <row r="54" spans="1:7" x14ac:dyDescent="0.2">
      <c r="A54" s="869" t="s">
        <v>459</v>
      </c>
      <c r="B54" s="869" t="s">
        <v>1476</v>
      </c>
      <c r="C54" s="889" t="s">
        <v>982</v>
      </c>
      <c r="D54" s="885" t="s">
        <v>1095</v>
      </c>
      <c r="E54" s="868"/>
      <c r="F54" s="1913">
        <f>'Expenditures 15-22'!G114</f>
        <v>191481</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20804</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495739</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5839</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5966</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1682965</v>
      </c>
      <c r="G76" s="865"/>
    </row>
    <row r="77" spans="1:8" s="893" customFormat="1" ht="12" customHeight="1" thickTop="1" thickBot="1" x14ac:dyDescent="0.25">
      <c r="A77" s="1779"/>
      <c r="B77" s="1776"/>
      <c r="C77" s="1772"/>
      <c r="D77" s="1777" t="s">
        <v>1899</v>
      </c>
      <c r="E77" s="1774"/>
      <c r="F77" s="1780">
        <f>(F14-F76)</f>
        <v>7856613</v>
      </c>
      <c r="G77" s="869"/>
    </row>
    <row r="78" spans="1:8" s="893" customFormat="1" ht="12" customHeight="1" thickTop="1" x14ac:dyDescent="0.2">
      <c r="A78" s="1781"/>
      <c r="B78" s="1776"/>
      <c r="C78" s="1772"/>
      <c r="D78" s="1777" t="s">
        <v>2060</v>
      </c>
      <c r="E78" s="1774"/>
      <c r="F78" s="898">
        <v>880.3</v>
      </c>
      <c r="G78" s="899"/>
      <c r="H78" s="869"/>
    </row>
    <row r="79" spans="1:8" s="893" customFormat="1" ht="12" customHeight="1" thickBot="1" x14ac:dyDescent="0.25">
      <c r="A79" s="1782"/>
      <c r="B79" s="1776"/>
      <c r="C79" s="1772"/>
      <c r="D79" s="1777" t="s">
        <v>1900</v>
      </c>
      <c r="E79" s="1774" t="s">
        <v>958</v>
      </c>
      <c r="F79" s="1783">
        <f>IF(F78&gt;0,F77/F78," Complete Line 78")</f>
        <v>8924.9267295240261</v>
      </c>
      <c r="G79" s="869"/>
    </row>
    <row r="80" spans="1:8" s="893" customFormat="1" ht="8.25" customHeight="1" thickTop="1" x14ac:dyDescent="0.2">
      <c r="A80" s="900"/>
      <c r="B80" s="869"/>
      <c r="C80" s="871"/>
      <c r="D80" s="901"/>
      <c r="E80" s="868"/>
      <c r="F80" s="902"/>
      <c r="G80" s="869"/>
    </row>
    <row r="81" spans="1:7" s="893" customFormat="1" ht="12" thickBot="1" x14ac:dyDescent="0.25">
      <c r="A81" s="2261" t="s">
        <v>1105</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162055</v>
      </c>
      <c r="G94" s="912"/>
    </row>
    <row r="95" spans="1:7" x14ac:dyDescent="0.2">
      <c r="A95" s="908" t="s">
        <v>140</v>
      </c>
      <c r="B95" s="908" t="s">
        <v>175</v>
      </c>
      <c r="C95" s="910">
        <v>1700</v>
      </c>
      <c r="D95" s="918" t="str">
        <f>'Revenues 9-14'!A82</f>
        <v>Total District/School Activity Income</v>
      </c>
      <c r="E95" s="906"/>
      <c r="F95" s="1789">
        <f>SUM('Revenues 9-14'!C82,'Revenues 9-14'!D82)</f>
        <v>26749</v>
      </c>
      <c r="G95" s="912"/>
    </row>
    <row r="96" spans="1:7" x14ac:dyDescent="0.2">
      <c r="A96" s="908" t="s">
        <v>459</v>
      </c>
      <c r="B96" s="908" t="s">
        <v>176</v>
      </c>
      <c r="C96" s="910">
        <f>'Revenues 9-14'!B84</f>
        <v>1811</v>
      </c>
      <c r="D96" s="911" t="str">
        <f>'Revenues 9-14'!A84</f>
        <v>Rentals - Regular Textbooks</v>
      </c>
      <c r="E96" s="906"/>
      <c r="F96" s="1789">
        <f>'Revenues 9-14'!C84</f>
        <v>40656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42389</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4103</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4408</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10739</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239830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2090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14919</v>
      </c>
      <c r="G124" s="930"/>
    </row>
    <row r="125" spans="1:7" x14ac:dyDescent="0.2">
      <c r="A125" s="927" t="s">
        <v>664</v>
      </c>
      <c r="B125" s="927" t="s">
        <v>2021</v>
      </c>
      <c r="C125" s="932">
        <v>4200</v>
      </c>
      <c r="D125" s="929" t="str">
        <f>'Revenues 9-14'!A198</f>
        <v>Total Food Service</v>
      </c>
      <c r="E125" s="906"/>
      <c r="F125" s="1789">
        <f>SUM('Revenues 9-14'!C198,'Revenues 9-14'!G198)</f>
        <v>257617</v>
      </c>
      <c r="G125" s="930"/>
    </row>
    <row r="126" spans="1:7" x14ac:dyDescent="0.2">
      <c r="A126" s="927" t="s">
        <v>668</v>
      </c>
      <c r="B126" s="927" t="s">
        <v>2022</v>
      </c>
      <c r="C126" s="932">
        <v>4300</v>
      </c>
      <c r="D126" s="933" t="str">
        <f>'Revenues 9-14'!A204</f>
        <v>Total Title I</v>
      </c>
      <c r="E126" s="906"/>
      <c r="F126" s="1789">
        <f>SUM('Revenues 9-14'!C204,'Revenues 9-14'!D204,'Revenues 9-14'!F204,'Revenues 9-14'!G204)</f>
        <v>328935</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32141</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3730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v>233764</v>
      </c>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1404125</v>
      </c>
    </row>
    <row r="175" spans="1:7" ht="12" customHeight="1" x14ac:dyDescent="0.2">
      <c r="A175" s="1770"/>
      <c r="B175" s="1784"/>
      <c r="C175" s="1785"/>
      <c r="D175" s="1786" t="s">
        <v>2055</v>
      </c>
      <c r="E175" s="1787"/>
      <c r="F175" s="1789">
        <f>'PCTC-OEPP 27-28'!F77-F174</f>
        <v>6452488</v>
      </c>
    </row>
    <row r="176" spans="1:7" ht="12" customHeight="1" x14ac:dyDescent="0.2">
      <c r="A176" s="1770"/>
      <c r="B176" s="1784"/>
      <c r="C176" s="1785"/>
      <c r="D176" s="1786" t="s">
        <v>1817</v>
      </c>
      <c r="E176" s="1787"/>
      <c r="F176" s="1789">
        <f>'Cap Outlay Deprec 26'!I18</f>
        <v>401920</v>
      </c>
    </row>
    <row r="177" spans="1:7" ht="12" customHeight="1" x14ac:dyDescent="0.2">
      <c r="A177" s="1770"/>
      <c r="B177" s="1784"/>
      <c r="C177" s="1785"/>
      <c r="D177" s="1786" t="s">
        <v>2056</v>
      </c>
      <c r="E177" s="1787"/>
      <c r="F177" s="1789">
        <f>F175+F176</f>
        <v>6854408</v>
      </c>
    </row>
    <row r="178" spans="1:7" ht="12" customHeight="1" x14ac:dyDescent="0.2">
      <c r="A178" s="1770"/>
      <c r="B178" s="1790"/>
      <c r="C178" s="1785"/>
      <c r="D178" s="1786" t="str">
        <f>D78</f>
        <v>9 Month ADA from District Average Daily Attendance/Prior General State Aid Inquiry 2018-2019</v>
      </c>
      <c r="E178" s="1787"/>
      <c r="F178" s="1791">
        <f>'PCTC-OEPP 27-28'!F78</f>
        <v>880.3</v>
      </c>
      <c r="G178" s="930"/>
    </row>
    <row r="179" spans="1:7" ht="12" customHeight="1" thickBot="1" x14ac:dyDescent="0.25">
      <c r="A179" s="1770"/>
      <c r="B179" s="1790"/>
      <c r="C179" s="1785"/>
      <c r="D179" s="1786" t="s">
        <v>2057</v>
      </c>
      <c r="E179" s="1787" t="s">
        <v>1545</v>
      </c>
      <c r="F179" s="1792">
        <f>F177/F178</f>
        <v>7786.4455299329775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topLeftCell="A7" zoomScaleNormal="100" workbookViewId="0">
      <selection activeCell="F23" sqref="F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937" t="s">
        <v>2064</v>
      </c>
      <c r="B6" s="1938"/>
      <c r="C6" s="1938"/>
      <c r="D6" s="1938"/>
      <c r="E6" s="1938"/>
      <c r="F6" s="1938"/>
      <c r="G6" s="1939"/>
    </row>
    <row r="7" spans="1:7" ht="18.75" x14ac:dyDescent="0.25">
      <c r="A7" s="1534" t="s">
        <v>1819</v>
      </c>
      <c r="B7" s="1535"/>
      <c r="C7" s="1535"/>
      <c r="D7" s="1535"/>
      <c r="E7" s="1535"/>
      <c r="F7" s="1535"/>
      <c r="G7" s="1536"/>
    </row>
    <row r="8" spans="1:7" ht="30.75" customHeight="1" x14ac:dyDescent="0.25">
      <c r="A8" s="2281" t="s">
        <v>1931</v>
      </c>
      <c r="B8" s="2282"/>
      <c r="C8" s="2282"/>
      <c r="D8" s="2282"/>
      <c r="E8" s="2282"/>
      <c r="F8" s="2282"/>
      <c r="G8" s="2283"/>
    </row>
    <row r="9" spans="1:7" ht="15.75" customHeight="1" x14ac:dyDescent="0.25">
      <c r="A9" s="2284" t="s">
        <v>1906</v>
      </c>
      <c r="B9" s="2285"/>
      <c r="C9" s="2285"/>
      <c r="D9" s="2285"/>
      <c r="E9" s="2285"/>
      <c r="F9" s="2285"/>
      <c r="G9" s="2286"/>
    </row>
    <row r="10" spans="1:7" ht="35.25" customHeight="1" x14ac:dyDescent="0.25">
      <c r="A10" s="2281" t="s">
        <v>2063</v>
      </c>
      <c r="B10" s="2282"/>
      <c r="C10" s="2282"/>
      <c r="D10" s="2282"/>
      <c r="E10" s="2282"/>
      <c r="F10" s="2282"/>
      <c r="G10" s="2283"/>
    </row>
    <row r="11" spans="1:7" ht="15" customHeight="1" x14ac:dyDescent="0.25">
      <c r="A11" s="1537" t="s">
        <v>1820</v>
      </c>
      <c r="B11" s="1538"/>
      <c r="C11" s="1538"/>
      <c r="D11" s="1538"/>
      <c r="E11" s="1538"/>
      <c r="F11" s="1538"/>
      <c r="G11" s="1539"/>
    </row>
    <row r="12" spans="1:7" ht="17.25" customHeight="1" x14ac:dyDescent="0.25">
      <c r="A12" s="2281" t="s">
        <v>1933</v>
      </c>
      <c r="B12" s="2282"/>
      <c r="C12" s="2282"/>
      <c r="D12" s="2282"/>
      <c r="E12" s="2282"/>
      <c r="F12" s="2282"/>
      <c r="G12" s="2283"/>
    </row>
    <row r="13" spans="1:7" ht="15" customHeight="1" x14ac:dyDescent="0.25">
      <c r="A13" s="1537" t="s">
        <v>1825</v>
      </c>
      <c r="B13" s="1538"/>
      <c r="C13" s="1538"/>
      <c r="D13" s="1538"/>
      <c r="E13" s="1538"/>
      <c r="F13" s="1538"/>
      <c r="G13" s="1539"/>
    </row>
    <row r="14" spans="1:7" ht="32.25" customHeight="1" x14ac:dyDescent="0.25">
      <c r="A14" s="2272" t="s">
        <v>1974</v>
      </c>
      <c r="B14" s="2273"/>
      <c r="C14" s="2273"/>
      <c r="D14" s="2273"/>
      <c r="E14" s="2273"/>
      <c r="F14" s="2273"/>
      <c r="G14" s="2274"/>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40" t="s">
        <v>2107</v>
      </c>
      <c r="B18" s="1943" t="s">
        <v>2108</v>
      </c>
      <c r="C18" s="1942" t="s">
        <v>2109</v>
      </c>
      <c r="D18" s="1844">
        <v>33031</v>
      </c>
      <c r="E18" s="1540">
        <f>IF(D18&lt;=25000,D18,IF(D18&gt;25000,25000,0))</f>
        <v>25000</v>
      </c>
      <c r="F18" s="1936">
        <f>(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25000</v>
      </c>
      <c r="G18" s="1793">
        <f>IF(F18=0,0,D18-F18)</f>
        <v>8031</v>
      </c>
      <c r="H18" s="1647"/>
    </row>
    <row r="19" spans="1:8" x14ac:dyDescent="0.25">
      <c r="A19" s="1944" t="s">
        <v>2107</v>
      </c>
      <c r="B19" s="1943" t="s">
        <v>2116</v>
      </c>
      <c r="C19" s="1945" t="s">
        <v>2117</v>
      </c>
      <c r="D19" s="1844">
        <v>39000</v>
      </c>
      <c r="E19" s="1540">
        <f>IF(D19&lt;=25000,D19,IF(D19&gt;25000,25000,0))</f>
        <v>25000</v>
      </c>
      <c r="F19" s="1936">
        <f>(IF(D19="",0,(IF(OR(B19="10-1000-100",B19="10-1000-200",B19="10-1000-300",B19="10-1000-400",B19="10-1000-600",B19="10-1000-800",B19="50-1000-200",B19="10-2100-100",B19="10-2100-200",B19="10-2100-300",B19="10-2100-400",B19="10-2100-600",B19="10-2100-800",B19="20-2100-100",B19="20-2100-200",B19="20-2100-300",B19="20-2100-400",B19="20-2100-600",B19="20-2100-800",B19="40-2100-100",B19="40-2100-200",B19="40-2100-300",B19="40-2100-400",B19="40-2100-600",B19="40-2100-800",B19="50-2100-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10-2540-800",B19="20-2540-100",B19="20-2540-200",B19="20-2540-300",B19="20-2540-400",B19="20-2540-600",B19="20-2540-800",B19="50-2540-200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10-3000-100",B19="10-3000-200",B19="10-3000-300",B19="10-3000-400",B19="10-3000-600",B19="10-3000-800",B19="20-3000-100",B19="20-3000-200",B19="20-3000-300",B19="20-3000-400",B19="20-3000-600",B19="20-3000-800",B19="40-3000-100",B19="40-3000-200",B19="40-3000-300",B19="40-3000-400",B19="40-3000-600",B19="40-3000-800",B19="50-3000-200"),E19,"Check func/obj # in Colm B"))))</f>
        <v>25000</v>
      </c>
      <c r="G19" s="1793">
        <f>IF(F19=0,0,D19-F19)</f>
        <v>14000</v>
      </c>
    </row>
    <row r="20" spans="1:8" x14ac:dyDescent="0.25">
      <c r="A20" s="1940" t="s">
        <v>2099</v>
      </c>
      <c r="B20" s="1941" t="s">
        <v>2100</v>
      </c>
      <c r="C20" s="1942" t="s">
        <v>2101</v>
      </c>
      <c r="D20" s="1844">
        <v>139138</v>
      </c>
      <c r="E20" s="1540">
        <f>IF(D20&lt;=25000,D20,IF(D20&gt;25000,25000,0))</f>
        <v>25000</v>
      </c>
      <c r="F20" s="1936">
        <f>(IF(D20="",0,(IF(OR(B20="10-1000-100",B20="10-1000-200",B20="10-1000-300",B20="10-1000-400",B20="10-1000-600",B20="10-1000-800",B20="50-1000-200",B20="10-2100-100",B20="10-2100-200",B20="10-2100-300",B20="10-2100-400",B20="10-2100-600",B20="10-2100-800",B20="20-2100-100",B20="20-2100-200",B20="20-2100-300",B20="20-2100-400",B20="20-2100-600",B20="20-2100-800",B20="40-2100-100",B20="40-2100-200",B20="40-2100-300",B20="40-2100-400",B20="40-2100-600",B20="40-2100-800",B20="50-2100-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10-2540-800",B20="20-2540-100",B20="20-2540-200",B20="20-2540-300",B20="20-2540-400",B20="20-2540-600",B20="20-2540-800",B20="50-2540-200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10-3000-100",B20="10-3000-200",B20="10-3000-300",B20="10-3000-400",B20="10-3000-600",B20="10-3000-800",B20="20-3000-100",B20="20-3000-200",B20="20-3000-300",B20="20-3000-400",B20="20-3000-600",B20="20-3000-800",B20="40-3000-100",B20="40-3000-200",B20="40-3000-300",B20="40-3000-400",B20="40-3000-600",B20="40-3000-800",B20="50-3000-200"),E20,"Check func/obj # in Colm B"))))</f>
        <v>25000</v>
      </c>
      <c r="G20" s="1793">
        <f>IF(F20=0,0,D20-F20)</f>
        <v>114138</v>
      </c>
    </row>
    <row r="21" spans="1:8" x14ac:dyDescent="0.25">
      <c r="A21" s="1940" t="s">
        <v>2102</v>
      </c>
      <c r="B21" s="1941" t="s">
        <v>2103</v>
      </c>
      <c r="C21" s="1942" t="s">
        <v>2104</v>
      </c>
      <c r="D21" s="1844">
        <v>53308</v>
      </c>
      <c r="E21" s="1540">
        <f>IF(D21&lt;=25000,D21,IF(D21&gt;25000,25000,0))</f>
        <v>25000</v>
      </c>
      <c r="F21" s="1936">
        <f>(IF(D21="",0,(IF(OR(B21="10-1000-100",B21="10-1000-200",B21="10-1000-300",B21="10-1000-400",B21="10-1000-600",B21="10-1000-800",B21="50-1000-200",B21="10-2100-100",B21="10-2100-200",B21="10-2100-300",B21="10-2100-400",B21="10-2100-600",B21="10-2100-800",B21="20-2100-100",B21="20-2100-200",B21="20-2100-300",B21="20-2100-400",B21="20-2100-600",B21="20-2100-800",B21="40-2100-100",B21="40-2100-200",B21="40-2100-300",B21="40-2100-400",B21="40-2100-600",B21="40-2100-800",B21="50-2100-200",B21="10-2200-100",B21="10-2200-200",B21="10-2200-300",B21="10-2200-400",B21="10-2200-600",B21="10-2200-800",B21="50-2200-200",B21="10-2300-100",B21="10-2300-200",B21="10-2300-300",B21="10-2300-400",B21="10-2300-600",B21="10-2300-800",B21="50-2300-200",B21="80-2300-100",B21="80-2300-200",B21="80-2300-300",B21="80-2300-400",B21="80-2300-600",B21="80-2300-800",B21="10-2400-100",B21="10-2400-200",B21="10-2400-300",B21="10-2400-400",B21="10-2400-600",B21="10-2400-800",B21="50-2400-200",B21="10-2510-100",B21="10-2510-200",B21="10-2510-300",B21="10-2510-400",B21="10-2510-600",B21="10-2510-800",B21="20-2510-100",B21="20-2510-200",B21="20-2510-300",B21="20-2510-400",B21="20-2510-600",B21="20-2510-800",B21="50-2510-200",B21="10-2520-100",B21="10-2520-200",B21="10-2520-300",B21="10-2520-400",B21="10-2520-600",B21="10-2520-800",B21="50-2520-200",B21="10-2540-100",B21="10-2540-200",B21="10-2540-300",B21="10-2540-400",B21="10-2540-600",B21="10-2540-800",B21="20-2540-100",B21="20-2540-200",B21="20-2540-300",B21="20-2540-400",B21="20-2540-600",B21="20-2540-800",B21="50-2540-200",B21="10-2550-100",B21="10-2550-200",B21="10-2550-300",B21="10-2550-400",B21="10-2550-600",B21="10-2550-800",B21="20-2550-100",B21="20-2550-200",B21="20-2550-300",B21="20-2550-400",B21="20-2550-600",B21="20-2550-800",B21="40-2550-100",B21="40-2550-200",B21="40-2550-300",B21="40-2550-400",B21="40-2550-600",B21="40-2550-800",B21="50-2550-200",B21="10-2560-100",B21="10-2560-200",B21="10-2560-300",B21="10-2560-400",B21="10-2560-600",B21="10-2560-800",B21="50-2560-200",B21="10-2570-100",B21="10-2570-200",B21="10-2570-300",B21="10-2570-400",B21="10-2570-600",B21="10-2570-800",B21="50-2570-200",B21="10-2610-100",B21="10-2610-200",B21="10-2610-300",B21="10-2610-400",B21="10-2610-600",B21="10-2610-800",B21="50-2610-200",B21="10-2620-100",B21="10-2620-200",B21="10-2620-300",B21="10-2620-400",B21="10-2620-600",B21="10-2620-800",B21="50-2620-200",B21="10-2630-100",B21="10-2630-200",B21="10-2630-300",B21="10-2630-400",B21="10-2630-600",B21="10-2630-800",B21="50-2630-200",B21="10-2640-100",B21="10-2640-200",B21="10-2640-300",B21="10-2640-400",B21="10-2640-600",B21="10-2640-800",B21="50-2640-200",B21="10-2660-100",B21="10-2660-200",B21="10-2660-300",B21="10-2660-400",B21="10-2660-600",B21="10-2660-800",B21="50-2660-200",B21="10-2900-100",B21="10-2900-200",B21="10-2900-300",B21="10-2900-400",B21="10-2900-600",B21="10-2900-800",B21="20-2900-100",B21="20-2900-200",B21="20-2900-300",B21="20-2900-400",B21="20-2900-600",B21="20-2900-800",B21="40-2900-100",B21="40-2900-200",B21="40-2900-300",B21="40-2900-400",B21="40-2900-600",B21="40-2900-800",B21="50-2900-200",B21="10-3000-100",B21="10-3000-200",B21="10-3000-300",B21="10-3000-400",B21="10-3000-600",B21="10-3000-800",B21="20-3000-100",B21="20-3000-200",B21="20-3000-300",B21="20-3000-400",B21="20-3000-600",B21="20-3000-800",B21="40-3000-100",B21="40-3000-200",B21="40-3000-300",B21="40-3000-400",B21="40-3000-600",B21="40-3000-800",B21="50-3000-200"),E21,"Check func/obj # in Colm B"))))</f>
        <v>25000</v>
      </c>
      <c r="G21" s="1793">
        <f>IF(F21=0,0,D21-F21)</f>
        <v>28308</v>
      </c>
    </row>
    <row r="22" spans="1:8" x14ac:dyDescent="0.25">
      <c r="A22" s="1940" t="s">
        <v>2105</v>
      </c>
      <c r="B22" s="1943" t="s">
        <v>2118</v>
      </c>
      <c r="C22" s="1942" t="s">
        <v>2106</v>
      </c>
      <c r="D22" s="1844">
        <v>121317</v>
      </c>
      <c r="E22" s="1540"/>
      <c r="F22" s="1936">
        <v>25000</v>
      </c>
      <c r="G22" s="1793">
        <f>IF(F22=0,0,D22-F22)</f>
        <v>96317</v>
      </c>
    </row>
    <row r="23" spans="1:8" x14ac:dyDescent="0.25">
      <c r="A23" s="1653"/>
      <c r="B23" s="1933"/>
      <c r="C23" s="1656"/>
      <c r="D23" s="1844"/>
      <c r="E23" s="1540">
        <f t="shared" ref="E23:E141" si="0">IF(D23&lt;=25000,D23,IF(D23&gt;25000,25000,0))</f>
        <v>0</v>
      </c>
      <c r="F23" s="1936">
        <f t="shared" ref="F23:F81" si="1">(IF(D23="",0,(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Check func/obj # in Colm B"))))</f>
        <v>0</v>
      </c>
      <c r="G23" s="1793">
        <f t="shared" ref="G23:G141" si="2">IF(F23=0,0,D23-F23)</f>
        <v>0</v>
      </c>
    </row>
    <row r="24" spans="1:8" x14ac:dyDescent="0.25">
      <c r="A24" s="1653"/>
      <c r="B24" s="1933"/>
      <c r="C24" s="1656"/>
      <c r="D24" s="1844"/>
      <c r="E24" s="1540">
        <f t="shared" si="0"/>
        <v>0</v>
      </c>
      <c r="F24" s="1936">
        <f t="shared" si="1"/>
        <v>0</v>
      </c>
      <c r="G24" s="1793">
        <f t="shared" si="2"/>
        <v>0</v>
      </c>
    </row>
    <row r="25" spans="1:8" x14ac:dyDescent="0.25">
      <c r="A25" s="1653"/>
      <c r="B25" s="1933"/>
      <c r="C25" s="1656"/>
      <c r="D25" s="1844"/>
      <c r="E25" s="1540">
        <f t="shared" si="0"/>
        <v>0</v>
      </c>
      <c r="F25" s="1936">
        <f t="shared" si="1"/>
        <v>0</v>
      </c>
      <c r="G25" s="1793">
        <f t="shared" si="2"/>
        <v>0</v>
      </c>
    </row>
    <row r="26" spans="1:8" x14ac:dyDescent="0.25">
      <c r="A26" s="1653"/>
      <c r="B26" s="1933"/>
      <c r="C26" s="1656"/>
      <c r="D26" s="1844"/>
      <c r="E26" s="1540">
        <f t="shared" si="0"/>
        <v>0</v>
      </c>
      <c r="F26" s="1936">
        <f t="shared" si="1"/>
        <v>0</v>
      </c>
      <c r="G26" s="1793">
        <f t="shared" si="2"/>
        <v>0</v>
      </c>
    </row>
    <row r="27" spans="1:8" x14ac:dyDescent="0.25">
      <c r="A27" s="1653"/>
      <c r="B27" s="1933"/>
      <c r="C27" s="1654"/>
      <c r="D27" s="1844"/>
      <c r="E27" s="1540">
        <f t="shared" si="0"/>
        <v>0</v>
      </c>
      <c r="F27" s="1936">
        <f t="shared" si="1"/>
        <v>0</v>
      </c>
      <c r="G27" s="1793">
        <f t="shared" si="2"/>
        <v>0</v>
      </c>
    </row>
    <row r="28" spans="1:8" x14ac:dyDescent="0.25">
      <c r="A28" s="1653"/>
      <c r="B28" s="1933"/>
      <c r="C28" s="1654"/>
      <c r="D28" s="1844"/>
      <c r="E28" s="1540">
        <f t="shared" si="0"/>
        <v>0</v>
      </c>
      <c r="F28" s="1936">
        <f t="shared" si="1"/>
        <v>0</v>
      </c>
      <c r="G28" s="1793">
        <f t="shared" si="2"/>
        <v>0</v>
      </c>
    </row>
    <row r="29" spans="1:8" x14ac:dyDescent="0.25">
      <c r="A29" s="1653"/>
      <c r="B29" s="1933"/>
      <c r="C29" s="1654"/>
      <c r="D29" s="1844"/>
      <c r="E29" s="1540">
        <f t="shared" si="0"/>
        <v>0</v>
      </c>
      <c r="F29" s="1936">
        <f t="shared" si="1"/>
        <v>0</v>
      </c>
      <c r="G29" s="1793">
        <f t="shared" si="2"/>
        <v>0</v>
      </c>
    </row>
    <row r="30" spans="1:8" x14ac:dyDescent="0.25">
      <c r="A30" s="1653"/>
      <c r="B30" s="1933"/>
      <c r="C30" s="1654"/>
      <c r="D30" s="1844"/>
      <c r="E30" s="1540">
        <f t="shared" si="0"/>
        <v>0</v>
      </c>
      <c r="F30" s="1936">
        <f t="shared" si="1"/>
        <v>0</v>
      </c>
      <c r="G30" s="1793">
        <f t="shared" si="2"/>
        <v>0</v>
      </c>
    </row>
    <row r="31" spans="1:8" x14ac:dyDescent="0.25">
      <c r="A31" s="1653"/>
      <c r="B31" s="1933"/>
      <c r="C31" s="1654"/>
      <c r="D31" s="1844"/>
      <c r="E31" s="1540">
        <f t="shared" si="0"/>
        <v>0</v>
      </c>
      <c r="F31" s="1936">
        <f t="shared" si="1"/>
        <v>0</v>
      </c>
      <c r="G31" s="1793">
        <f t="shared" si="2"/>
        <v>0</v>
      </c>
    </row>
    <row r="32" spans="1:8" x14ac:dyDescent="0.25">
      <c r="A32" s="1653"/>
      <c r="B32" s="1933"/>
      <c r="C32" s="1654"/>
      <c r="D32" s="1844"/>
      <c r="E32" s="1540">
        <f t="shared" si="0"/>
        <v>0</v>
      </c>
      <c r="F32" s="1936">
        <f t="shared" si="1"/>
        <v>0</v>
      </c>
      <c r="G32" s="1793">
        <f t="shared" si="2"/>
        <v>0</v>
      </c>
    </row>
    <row r="33" spans="1:7" x14ac:dyDescent="0.25">
      <c r="A33" s="1653"/>
      <c r="B33" s="1933"/>
      <c r="C33" s="1654"/>
      <c r="D33" s="1844"/>
      <c r="E33" s="1540">
        <f t="shared" si="0"/>
        <v>0</v>
      </c>
      <c r="F33" s="1936">
        <f t="shared" si="1"/>
        <v>0</v>
      </c>
      <c r="G33" s="1793">
        <f t="shared" si="2"/>
        <v>0</v>
      </c>
    </row>
    <row r="34" spans="1:7" x14ac:dyDescent="0.25">
      <c r="A34" s="1653"/>
      <c r="B34" s="1933"/>
      <c r="C34" s="1654"/>
      <c r="D34" s="1844"/>
      <c r="E34" s="1540">
        <f t="shared" si="0"/>
        <v>0</v>
      </c>
      <c r="F34" s="1936">
        <f t="shared" si="1"/>
        <v>0</v>
      </c>
      <c r="G34" s="1793">
        <f t="shared" si="2"/>
        <v>0</v>
      </c>
    </row>
    <row r="35" spans="1:7" x14ac:dyDescent="0.25">
      <c r="A35" s="1653"/>
      <c r="B35" s="1933"/>
      <c r="C35" s="1654"/>
      <c r="D35" s="1844"/>
      <c r="E35" s="1540">
        <f t="shared" si="0"/>
        <v>0</v>
      </c>
      <c r="F35" s="1936">
        <f t="shared" si="1"/>
        <v>0</v>
      </c>
      <c r="G35" s="1793">
        <f t="shared" si="2"/>
        <v>0</v>
      </c>
    </row>
    <row r="36" spans="1:7" x14ac:dyDescent="0.25">
      <c r="A36" s="1653"/>
      <c r="B36" s="1933"/>
      <c r="C36" s="1654"/>
      <c r="D36" s="1844"/>
      <c r="E36" s="1540">
        <f t="shared" si="0"/>
        <v>0</v>
      </c>
      <c r="F36" s="1936">
        <f t="shared" si="1"/>
        <v>0</v>
      </c>
      <c r="G36" s="1793">
        <f t="shared" si="2"/>
        <v>0</v>
      </c>
    </row>
    <row r="37" spans="1:7" x14ac:dyDescent="0.25">
      <c r="A37" s="1653"/>
      <c r="B37" s="1933"/>
      <c r="C37" s="1654"/>
      <c r="D37" s="1844"/>
      <c r="E37" s="1540">
        <f t="shared" si="0"/>
        <v>0</v>
      </c>
      <c r="F37" s="1936">
        <f t="shared" si="1"/>
        <v>0</v>
      </c>
      <c r="G37" s="1793">
        <f t="shared" si="2"/>
        <v>0</v>
      </c>
    </row>
    <row r="38" spans="1:7" x14ac:dyDescent="0.25">
      <c r="A38" s="1653"/>
      <c r="B38" s="1933"/>
      <c r="C38" s="1654"/>
      <c r="D38" s="1844"/>
      <c r="E38" s="1540">
        <f t="shared" si="0"/>
        <v>0</v>
      </c>
      <c r="F38" s="1936">
        <f t="shared" si="1"/>
        <v>0</v>
      </c>
      <c r="G38" s="1793">
        <f t="shared" si="2"/>
        <v>0</v>
      </c>
    </row>
    <row r="39" spans="1:7" x14ac:dyDescent="0.25">
      <c r="A39" s="1653"/>
      <c r="B39" s="1934"/>
      <c r="C39" s="1654"/>
      <c r="D39" s="1844"/>
      <c r="E39" s="1540">
        <f t="shared" si="0"/>
        <v>0</v>
      </c>
      <c r="F39" s="1936">
        <f t="shared" si="1"/>
        <v>0</v>
      </c>
      <c r="G39" s="1793">
        <f t="shared" si="2"/>
        <v>0</v>
      </c>
    </row>
    <row r="40" spans="1:7" x14ac:dyDescent="0.25">
      <c r="A40" s="1653"/>
      <c r="B40" s="1934"/>
      <c r="C40" s="1654"/>
      <c r="D40" s="1844"/>
      <c r="E40" s="1540">
        <f t="shared" si="0"/>
        <v>0</v>
      </c>
      <c r="F40" s="1936">
        <f t="shared" si="1"/>
        <v>0</v>
      </c>
      <c r="G40" s="1793">
        <f t="shared" si="2"/>
        <v>0</v>
      </c>
    </row>
    <row r="41" spans="1:7" x14ac:dyDescent="0.25">
      <c r="A41" s="1653"/>
      <c r="B41" s="1934"/>
      <c r="C41" s="1654"/>
      <c r="D41" s="1844"/>
      <c r="E41" s="1540">
        <f t="shared" si="0"/>
        <v>0</v>
      </c>
      <c r="F41" s="1936">
        <f t="shared" si="1"/>
        <v>0</v>
      </c>
      <c r="G41" s="1793">
        <f t="shared" si="2"/>
        <v>0</v>
      </c>
    </row>
    <row r="42" spans="1:7" x14ac:dyDescent="0.25">
      <c r="A42" s="1653"/>
      <c r="B42" s="1934"/>
      <c r="C42" s="1654"/>
      <c r="D42" s="1844"/>
      <c r="E42" s="1540">
        <f t="shared" si="0"/>
        <v>0</v>
      </c>
      <c r="F42" s="1936">
        <f t="shared" si="1"/>
        <v>0</v>
      </c>
      <c r="G42" s="1793">
        <f t="shared" si="2"/>
        <v>0</v>
      </c>
    </row>
    <row r="43" spans="1:7" x14ac:dyDescent="0.25">
      <c r="A43" s="1653"/>
      <c r="B43" s="1934"/>
      <c r="C43" s="1654"/>
      <c r="D43" s="1844"/>
      <c r="E43" s="1540">
        <f t="shared" si="0"/>
        <v>0</v>
      </c>
      <c r="F43" s="1936">
        <f t="shared" si="1"/>
        <v>0</v>
      </c>
      <c r="G43" s="1793">
        <f t="shared" si="2"/>
        <v>0</v>
      </c>
    </row>
    <row r="44" spans="1:7" x14ac:dyDescent="0.25">
      <c r="A44" s="1653"/>
      <c r="B44" s="1934"/>
      <c r="C44" s="1654"/>
      <c r="D44" s="1844"/>
      <c r="E44" s="1540">
        <f t="shared" si="0"/>
        <v>0</v>
      </c>
      <c r="F44" s="1936">
        <f t="shared" si="1"/>
        <v>0</v>
      </c>
      <c r="G44" s="1793">
        <f t="shared" si="2"/>
        <v>0</v>
      </c>
    </row>
    <row r="45" spans="1:7" x14ac:dyDescent="0.25">
      <c r="A45" s="1653"/>
      <c r="B45" s="1934"/>
      <c r="C45" s="1654"/>
      <c r="D45" s="1844"/>
      <c r="E45" s="1540">
        <f t="shared" si="0"/>
        <v>0</v>
      </c>
      <c r="F45" s="1936">
        <f t="shared" si="1"/>
        <v>0</v>
      </c>
      <c r="G45" s="1793">
        <f t="shared" si="2"/>
        <v>0</v>
      </c>
    </row>
    <row r="46" spans="1:7" x14ac:dyDescent="0.25">
      <c r="A46" s="1653"/>
      <c r="B46" s="1934"/>
      <c r="C46" s="1654"/>
      <c r="D46" s="1844"/>
      <c r="E46" s="1540">
        <f t="shared" si="0"/>
        <v>0</v>
      </c>
      <c r="F46" s="1936">
        <f t="shared" si="1"/>
        <v>0</v>
      </c>
      <c r="G46" s="1793">
        <f t="shared" si="2"/>
        <v>0</v>
      </c>
    </row>
    <row r="47" spans="1:7" x14ac:dyDescent="0.25">
      <c r="A47" s="1653"/>
      <c r="B47" s="1667"/>
      <c r="C47" s="1654"/>
      <c r="D47" s="1844"/>
      <c r="E47" s="1540">
        <f t="shared" si="0"/>
        <v>0</v>
      </c>
      <c r="F47" s="1936">
        <f t="shared" si="1"/>
        <v>0</v>
      </c>
      <c r="G47" s="1793">
        <f t="shared" si="2"/>
        <v>0</v>
      </c>
    </row>
    <row r="48" spans="1:7" x14ac:dyDescent="0.25">
      <c r="A48" s="1653"/>
      <c r="B48" s="1667"/>
      <c r="C48" s="1654"/>
      <c r="D48" s="1844"/>
      <c r="E48" s="1540">
        <f t="shared" si="0"/>
        <v>0</v>
      </c>
      <c r="F48" s="1936">
        <f t="shared" si="1"/>
        <v>0</v>
      </c>
      <c r="G48" s="1793">
        <f t="shared" si="2"/>
        <v>0</v>
      </c>
    </row>
    <row r="49" spans="1:7" x14ac:dyDescent="0.25">
      <c r="A49" s="1653"/>
      <c r="B49" s="1667"/>
      <c r="C49" s="1654"/>
      <c r="D49" s="1844"/>
      <c r="E49" s="1540">
        <f t="shared" si="0"/>
        <v>0</v>
      </c>
      <c r="F49" s="1936">
        <f t="shared" si="1"/>
        <v>0</v>
      </c>
      <c r="G49" s="1793">
        <f t="shared" si="2"/>
        <v>0</v>
      </c>
    </row>
    <row r="50" spans="1:7" x14ac:dyDescent="0.25">
      <c r="A50" s="1653"/>
      <c r="B50" s="1667"/>
      <c r="C50" s="1654"/>
      <c r="D50" s="1844"/>
      <c r="E50" s="1540">
        <f t="shared" si="0"/>
        <v>0</v>
      </c>
      <c r="F50" s="1936">
        <f t="shared" si="1"/>
        <v>0</v>
      </c>
      <c r="G50" s="1793">
        <f t="shared" si="2"/>
        <v>0</v>
      </c>
    </row>
    <row r="51" spans="1:7" x14ac:dyDescent="0.25">
      <c r="A51" s="1653"/>
      <c r="B51" s="1667"/>
      <c r="C51" s="1654"/>
      <c r="D51" s="1844"/>
      <c r="E51" s="1540">
        <f t="shared" si="0"/>
        <v>0</v>
      </c>
      <c r="F51" s="1936">
        <f t="shared" si="1"/>
        <v>0</v>
      </c>
      <c r="G51" s="1793">
        <f t="shared" si="2"/>
        <v>0</v>
      </c>
    </row>
    <row r="52" spans="1:7" x14ac:dyDescent="0.25">
      <c r="A52" s="1653"/>
      <c r="B52" s="1667"/>
      <c r="C52" s="1654"/>
      <c r="D52" s="1844"/>
      <c r="E52" s="1540">
        <f t="shared" si="0"/>
        <v>0</v>
      </c>
      <c r="F52" s="1936">
        <f t="shared" si="1"/>
        <v>0</v>
      </c>
      <c r="G52" s="1793">
        <f t="shared" si="2"/>
        <v>0</v>
      </c>
    </row>
    <row r="53" spans="1:7" x14ac:dyDescent="0.25">
      <c r="A53" s="1653"/>
      <c r="B53" s="1667"/>
      <c r="C53" s="1654"/>
      <c r="D53" s="1844"/>
      <c r="E53" s="1540">
        <f t="shared" si="0"/>
        <v>0</v>
      </c>
      <c r="F53" s="1936">
        <f t="shared" si="1"/>
        <v>0</v>
      </c>
      <c r="G53" s="1793">
        <f t="shared" si="2"/>
        <v>0</v>
      </c>
    </row>
    <row r="54" spans="1:7" x14ac:dyDescent="0.25">
      <c r="A54" s="1653"/>
      <c r="B54" s="1667"/>
      <c r="C54" s="1654"/>
      <c r="D54" s="1844"/>
      <c r="E54" s="1540">
        <f t="shared" si="0"/>
        <v>0</v>
      </c>
      <c r="F54" s="1936">
        <f t="shared" si="1"/>
        <v>0</v>
      </c>
      <c r="G54" s="1793">
        <f t="shared" si="2"/>
        <v>0</v>
      </c>
    </row>
    <row r="55" spans="1:7" x14ac:dyDescent="0.25">
      <c r="A55" s="1653"/>
      <c r="B55" s="1667"/>
      <c r="C55" s="1654"/>
      <c r="D55" s="1844"/>
      <c r="E55" s="1540">
        <f t="shared" si="0"/>
        <v>0</v>
      </c>
      <c r="F55" s="1936">
        <f t="shared" si="1"/>
        <v>0</v>
      </c>
      <c r="G55" s="1793">
        <f t="shared" si="2"/>
        <v>0</v>
      </c>
    </row>
    <row r="56" spans="1:7" x14ac:dyDescent="0.25">
      <c r="A56" s="1653"/>
      <c r="B56" s="1667"/>
      <c r="C56" s="1654"/>
      <c r="D56" s="1844"/>
      <c r="E56" s="1540">
        <f t="shared" si="0"/>
        <v>0</v>
      </c>
      <c r="F56" s="1936">
        <f t="shared" si="1"/>
        <v>0</v>
      </c>
      <c r="G56" s="1793">
        <f t="shared" si="2"/>
        <v>0</v>
      </c>
    </row>
    <row r="57" spans="1:7" x14ac:dyDescent="0.25">
      <c r="A57" s="1653"/>
      <c r="B57" s="1667"/>
      <c r="C57" s="1654"/>
      <c r="D57" s="1844"/>
      <c r="E57" s="1540">
        <f t="shared" si="0"/>
        <v>0</v>
      </c>
      <c r="F57" s="1936">
        <f t="shared" si="1"/>
        <v>0</v>
      </c>
      <c r="G57" s="1793">
        <f t="shared" si="2"/>
        <v>0</v>
      </c>
    </row>
    <row r="58" spans="1:7" x14ac:dyDescent="0.25">
      <c r="A58" s="1653"/>
      <c r="B58" s="1667"/>
      <c r="C58" s="1654"/>
      <c r="D58" s="1844"/>
      <c r="E58" s="1540">
        <f t="shared" si="0"/>
        <v>0</v>
      </c>
      <c r="F58" s="1936">
        <f t="shared" si="1"/>
        <v>0</v>
      </c>
      <c r="G58" s="1793">
        <f t="shared" si="2"/>
        <v>0</v>
      </c>
    </row>
    <row r="59" spans="1:7" x14ac:dyDescent="0.25">
      <c r="A59" s="1653"/>
      <c r="B59" s="1667"/>
      <c r="C59" s="1654"/>
      <c r="D59" s="1844"/>
      <c r="E59" s="1540">
        <f t="shared" si="0"/>
        <v>0</v>
      </c>
      <c r="F59" s="1936">
        <f t="shared" si="1"/>
        <v>0</v>
      </c>
      <c r="G59" s="1793">
        <f t="shared" si="2"/>
        <v>0</v>
      </c>
    </row>
    <row r="60" spans="1:7" x14ac:dyDescent="0.25">
      <c r="A60" s="1653"/>
      <c r="B60" s="1667"/>
      <c r="C60" s="1654"/>
      <c r="D60" s="1844"/>
      <c r="E60" s="1540">
        <f t="shared" si="0"/>
        <v>0</v>
      </c>
      <c r="F60" s="1936">
        <f t="shared" si="1"/>
        <v>0</v>
      </c>
      <c r="G60" s="1793">
        <f t="shared" si="2"/>
        <v>0</v>
      </c>
    </row>
    <row r="61" spans="1:7" x14ac:dyDescent="0.25">
      <c r="A61" s="1653"/>
      <c r="B61" s="1667"/>
      <c r="C61" s="1654"/>
      <c r="D61" s="1844"/>
      <c r="E61" s="1540">
        <f t="shared" si="0"/>
        <v>0</v>
      </c>
      <c r="F61" s="1936">
        <f t="shared" si="1"/>
        <v>0</v>
      </c>
      <c r="G61" s="1793">
        <f t="shared" si="2"/>
        <v>0</v>
      </c>
    </row>
    <row r="62" spans="1:7" x14ac:dyDescent="0.25">
      <c r="A62" s="1653"/>
      <c r="B62" s="1667"/>
      <c r="C62" s="1654"/>
      <c r="D62" s="1844"/>
      <c r="E62" s="1540">
        <f t="shared" si="0"/>
        <v>0</v>
      </c>
      <c r="F62" s="1936">
        <f t="shared" si="1"/>
        <v>0</v>
      </c>
      <c r="G62" s="1793">
        <f t="shared" si="2"/>
        <v>0</v>
      </c>
    </row>
    <row r="63" spans="1:7" x14ac:dyDescent="0.25">
      <c r="A63" s="1653"/>
      <c r="B63" s="1667"/>
      <c r="C63" s="1654"/>
      <c r="D63" s="1844"/>
      <c r="E63" s="1540">
        <f t="shared" si="0"/>
        <v>0</v>
      </c>
      <c r="F63" s="1936">
        <f t="shared" si="1"/>
        <v>0</v>
      </c>
      <c r="G63" s="1793">
        <f t="shared" si="2"/>
        <v>0</v>
      </c>
    </row>
    <row r="64" spans="1:7" x14ac:dyDescent="0.25">
      <c r="A64" s="1653"/>
      <c r="B64" s="1667"/>
      <c r="C64" s="1654"/>
      <c r="D64" s="1844"/>
      <c r="E64" s="1540">
        <f t="shared" si="0"/>
        <v>0</v>
      </c>
      <c r="F64" s="1936">
        <f t="shared" si="1"/>
        <v>0</v>
      </c>
      <c r="G64" s="1793">
        <f t="shared" si="2"/>
        <v>0</v>
      </c>
    </row>
    <row r="65" spans="1:7" x14ac:dyDescent="0.25">
      <c r="A65" s="1655"/>
      <c r="B65" s="1667"/>
      <c r="C65" s="1656"/>
      <c r="D65" s="1844"/>
      <c r="E65" s="1540">
        <f t="shared" si="0"/>
        <v>0</v>
      </c>
      <c r="F65" s="1936">
        <f t="shared" si="1"/>
        <v>0</v>
      </c>
      <c r="G65" s="1793">
        <f t="shared" si="2"/>
        <v>0</v>
      </c>
    </row>
    <row r="66" spans="1:7" x14ac:dyDescent="0.25">
      <c r="A66" s="1653"/>
      <c r="B66" s="1667"/>
      <c r="C66" s="1654"/>
      <c r="D66" s="1844"/>
      <c r="E66" s="1540">
        <f t="shared" si="0"/>
        <v>0</v>
      </c>
      <c r="F66" s="1936">
        <f t="shared" si="1"/>
        <v>0</v>
      </c>
      <c r="G66" s="1793">
        <f t="shared" si="2"/>
        <v>0</v>
      </c>
    </row>
    <row r="67" spans="1:7" x14ac:dyDescent="0.25">
      <c r="A67" s="1653"/>
      <c r="B67" s="1667"/>
      <c r="C67" s="1654"/>
      <c r="D67" s="1844"/>
      <c r="E67" s="1540">
        <f t="shared" si="0"/>
        <v>0</v>
      </c>
      <c r="F67" s="1936">
        <f t="shared" si="1"/>
        <v>0</v>
      </c>
      <c r="G67" s="1793">
        <f t="shared" si="2"/>
        <v>0</v>
      </c>
    </row>
    <row r="68" spans="1:7" x14ac:dyDescent="0.25">
      <c r="A68" s="1653"/>
      <c r="B68" s="1667"/>
      <c r="C68" s="1654"/>
      <c r="D68" s="1844"/>
      <c r="E68" s="1540">
        <f t="shared" si="0"/>
        <v>0</v>
      </c>
      <c r="F68" s="1936">
        <f t="shared" si="1"/>
        <v>0</v>
      </c>
      <c r="G68" s="1793">
        <f t="shared" si="2"/>
        <v>0</v>
      </c>
    </row>
    <row r="69" spans="1:7" x14ac:dyDescent="0.25">
      <c r="A69" s="1653"/>
      <c r="B69" s="1667"/>
      <c r="C69" s="1654"/>
      <c r="D69" s="1844"/>
      <c r="E69" s="1540">
        <f t="shared" si="0"/>
        <v>0</v>
      </c>
      <c r="F69" s="1936">
        <f t="shared" si="1"/>
        <v>0</v>
      </c>
      <c r="G69" s="1793">
        <f t="shared" si="2"/>
        <v>0</v>
      </c>
    </row>
    <row r="70" spans="1:7" x14ac:dyDescent="0.25">
      <c r="A70" s="1653"/>
      <c r="B70" s="1667"/>
      <c r="C70" s="1654"/>
      <c r="D70" s="1844"/>
      <c r="E70" s="1540">
        <f t="shared" si="0"/>
        <v>0</v>
      </c>
      <c r="F70" s="1936">
        <f t="shared" si="1"/>
        <v>0</v>
      </c>
      <c r="G70" s="1793">
        <f t="shared" si="2"/>
        <v>0</v>
      </c>
    </row>
    <row r="71" spans="1:7" x14ac:dyDescent="0.25">
      <c r="A71" s="1653"/>
      <c r="B71" s="1667"/>
      <c r="C71" s="1654"/>
      <c r="D71" s="1844"/>
      <c r="E71" s="1540">
        <f t="shared" si="0"/>
        <v>0</v>
      </c>
      <c r="F71" s="1936">
        <f t="shared" si="1"/>
        <v>0</v>
      </c>
      <c r="G71" s="1793">
        <f t="shared" si="2"/>
        <v>0</v>
      </c>
    </row>
    <row r="72" spans="1:7" x14ac:dyDescent="0.25">
      <c r="A72" s="1653"/>
      <c r="B72" s="1667"/>
      <c r="C72" s="1654"/>
      <c r="D72" s="1844"/>
      <c r="E72" s="1540">
        <f t="shared" si="0"/>
        <v>0</v>
      </c>
      <c r="F72" s="1936">
        <f t="shared" si="1"/>
        <v>0</v>
      </c>
      <c r="G72" s="1793">
        <f t="shared" si="2"/>
        <v>0</v>
      </c>
    </row>
    <row r="73" spans="1:7" x14ac:dyDescent="0.25">
      <c r="A73" s="1653"/>
      <c r="B73" s="1667"/>
      <c r="C73" s="1654"/>
      <c r="D73" s="1844"/>
      <c r="E73" s="1540">
        <f t="shared" si="0"/>
        <v>0</v>
      </c>
      <c r="F73" s="1936">
        <f t="shared" si="1"/>
        <v>0</v>
      </c>
      <c r="G73" s="1793">
        <f t="shared" si="2"/>
        <v>0</v>
      </c>
    </row>
    <row r="74" spans="1:7" x14ac:dyDescent="0.25">
      <c r="A74" s="1653"/>
      <c r="B74" s="1667"/>
      <c r="C74" s="1654"/>
      <c r="D74" s="1844"/>
      <c r="E74" s="1540">
        <f t="shared" ref="E74:E85" si="3">IF(D74&lt;=25000,D74,IF(D74&gt;25000,25000,0))</f>
        <v>0</v>
      </c>
      <c r="F74" s="1936">
        <f t="shared" si="1"/>
        <v>0</v>
      </c>
      <c r="G74" s="1793">
        <f t="shared" ref="G74:G85" si="4">IF(F74=0,0,D74-F74)</f>
        <v>0</v>
      </c>
    </row>
    <row r="75" spans="1:7" x14ac:dyDescent="0.25">
      <c r="A75" s="1653"/>
      <c r="B75" s="1667"/>
      <c r="C75" s="1654"/>
      <c r="D75" s="1844"/>
      <c r="E75" s="1540">
        <f t="shared" si="3"/>
        <v>0</v>
      </c>
      <c r="F75" s="1936">
        <f t="shared" si="1"/>
        <v>0</v>
      </c>
      <c r="G75" s="1793">
        <f t="shared" si="4"/>
        <v>0</v>
      </c>
    </row>
    <row r="76" spans="1:7" x14ac:dyDescent="0.25">
      <c r="A76" s="1653"/>
      <c r="B76" s="1667"/>
      <c r="C76" s="1654"/>
      <c r="D76" s="1844"/>
      <c r="E76" s="1540">
        <f t="shared" si="3"/>
        <v>0</v>
      </c>
      <c r="F76" s="1936">
        <f t="shared" si="1"/>
        <v>0</v>
      </c>
      <c r="G76" s="1793">
        <f t="shared" si="4"/>
        <v>0</v>
      </c>
    </row>
    <row r="77" spans="1:7" x14ac:dyDescent="0.25">
      <c r="A77" s="1653"/>
      <c r="B77" s="1667"/>
      <c r="C77" s="1654"/>
      <c r="D77" s="1844"/>
      <c r="E77" s="1540">
        <f t="shared" si="3"/>
        <v>0</v>
      </c>
      <c r="F77" s="1936">
        <f t="shared" si="1"/>
        <v>0</v>
      </c>
      <c r="G77" s="1793">
        <f t="shared" si="4"/>
        <v>0</v>
      </c>
    </row>
    <row r="78" spans="1:7" x14ac:dyDescent="0.25">
      <c r="A78" s="1653"/>
      <c r="B78" s="1667"/>
      <c r="C78" s="1654"/>
      <c r="D78" s="1844"/>
      <c r="E78" s="1540">
        <f t="shared" si="3"/>
        <v>0</v>
      </c>
      <c r="F78" s="1936">
        <f t="shared" si="1"/>
        <v>0</v>
      </c>
      <c r="G78" s="1793">
        <f t="shared" si="4"/>
        <v>0</v>
      </c>
    </row>
    <row r="79" spans="1:7" x14ac:dyDescent="0.25">
      <c r="A79" s="1653"/>
      <c r="B79" s="1667"/>
      <c r="C79" s="1654"/>
      <c r="D79" s="1844"/>
      <c r="E79" s="1540">
        <f t="shared" si="3"/>
        <v>0</v>
      </c>
      <c r="F79" s="1936">
        <f t="shared" si="1"/>
        <v>0</v>
      </c>
      <c r="G79" s="1793">
        <f t="shared" si="4"/>
        <v>0</v>
      </c>
    </row>
    <row r="80" spans="1:7" x14ac:dyDescent="0.25">
      <c r="A80" s="1653"/>
      <c r="B80" s="1667"/>
      <c r="C80" s="1654"/>
      <c r="D80" s="1844"/>
      <c r="E80" s="1540">
        <f t="shared" si="3"/>
        <v>0</v>
      </c>
      <c r="F80" s="1936">
        <f t="shared" si="1"/>
        <v>0</v>
      </c>
      <c r="G80" s="1793">
        <f t="shared" si="4"/>
        <v>0</v>
      </c>
    </row>
    <row r="81" spans="1:7" x14ac:dyDescent="0.25">
      <c r="A81" s="1653"/>
      <c r="B81" s="1667"/>
      <c r="C81" s="1654"/>
      <c r="D81" s="1844"/>
      <c r="E81" s="1540">
        <f t="shared" si="3"/>
        <v>0</v>
      </c>
      <c r="F81" s="1936">
        <f t="shared" si="1"/>
        <v>0</v>
      </c>
      <c r="G81" s="1793">
        <f t="shared" si="4"/>
        <v>0</v>
      </c>
    </row>
    <row r="82" spans="1:7" x14ac:dyDescent="0.25">
      <c r="A82" s="1653"/>
      <c r="B82" s="1667"/>
      <c r="C82" s="1654"/>
      <c r="D82" s="1844"/>
      <c r="E82" s="1540">
        <f t="shared" si="3"/>
        <v>0</v>
      </c>
      <c r="F82" s="1936">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4"/>
        <v>0</v>
      </c>
    </row>
    <row r="83" spans="1:7" x14ac:dyDescent="0.25">
      <c r="A83" s="1653"/>
      <c r="B83" s="1667"/>
      <c r="C83" s="1654"/>
      <c r="D83" s="1844"/>
      <c r="E83" s="1540">
        <f t="shared" si="3"/>
        <v>0</v>
      </c>
      <c r="F83" s="1936">
        <f t="shared" si="5"/>
        <v>0</v>
      </c>
      <c r="G83" s="1793">
        <f t="shared" si="4"/>
        <v>0</v>
      </c>
    </row>
    <row r="84" spans="1:7" x14ac:dyDescent="0.25">
      <c r="A84" s="1653"/>
      <c r="B84" s="1667"/>
      <c r="C84" s="1654"/>
      <c r="D84" s="1844"/>
      <c r="E84" s="1540">
        <f t="shared" si="3"/>
        <v>0</v>
      </c>
      <c r="F84" s="1936">
        <f t="shared" si="5"/>
        <v>0</v>
      </c>
      <c r="G84" s="1793">
        <f t="shared" si="4"/>
        <v>0</v>
      </c>
    </row>
    <row r="85" spans="1:7" x14ac:dyDescent="0.25">
      <c r="A85" s="1653"/>
      <c r="B85" s="1667"/>
      <c r="C85" s="1654"/>
      <c r="D85" s="1844"/>
      <c r="E85" s="1540">
        <f t="shared" si="3"/>
        <v>0</v>
      </c>
      <c r="F85" s="1936">
        <f t="shared" si="5"/>
        <v>0</v>
      </c>
      <c r="G85" s="1793">
        <f t="shared" si="4"/>
        <v>0</v>
      </c>
    </row>
    <row r="86" spans="1:7" x14ac:dyDescent="0.25">
      <c r="A86" s="1653"/>
      <c r="B86" s="1667"/>
      <c r="C86" s="1654"/>
      <c r="D86" s="1844"/>
      <c r="E86" s="1540">
        <f t="shared" si="0"/>
        <v>0</v>
      </c>
      <c r="F86" s="1936">
        <f t="shared" si="5"/>
        <v>0</v>
      </c>
      <c r="G86" s="1793">
        <f t="shared" si="2"/>
        <v>0</v>
      </c>
    </row>
    <row r="87" spans="1:7" x14ac:dyDescent="0.25">
      <c r="A87" s="1653"/>
      <c r="B87" s="1667"/>
      <c r="C87" s="1654"/>
      <c r="D87" s="1844"/>
      <c r="E87" s="1540">
        <f t="shared" si="0"/>
        <v>0</v>
      </c>
      <c r="F87" s="1936">
        <f t="shared" si="5"/>
        <v>0</v>
      </c>
      <c r="G87" s="1793">
        <f t="shared" si="2"/>
        <v>0</v>
      </c>
    </row>
    <row r="88" spans="1:7" x14ac:dyDescent="0.25">
      <c r="A88" s="1653"/>
      <c r="B88" s="1667"/>
      <c r="C88" s="1654"/>
      <c r="D88" s="1844"/>
      <c r="E88" s="1540">
        <f t="shared" si="0"/>
        <v>0</v>
      </c>
      <c r="F88" s="1936">
        <f t="shared" si="5"/>
        <v>0</v>
      </c>
      <c r="G88" s="1793">
        <f t="shared" si="2"/>
        <v>0</v>
      </c>
    </row>
    <row r="89" spans="1:7" x14ac:dyDescent="0.25">
      <c r="A89" s="1653"/>
      <c r="B89" s="1667"/>
      <c r="C89" s="1654"/>
      <c r="D89" s="1844"/>
      <c r="E89" s="1540">
        <f t="shared" si="0"/>
        <v>0</v>
      </c>
      <c r="F89" s="1936">
        <f t="shared" si="5"/>
        <v>0</v>
      </c>
      <c r="G89" s="1793">
        <f t="shared" si="2"/>
        <v>0</v>
      </c>
    </row>
    <row r="90" spans="1:7" x14ac:dyDescent="0.25">
      <c r="A90" s="1653"/>
      <c r="B90" s="1667"/>
      <c r="C90" s="1654"/>
      <c r="D90" s="1844"/>
      <c r="E90" s="1540">
        <f t="shared" si="0"/>
        <v>0</v>
      </c>
      <c r="F90" s="1936">
        <f t="shared" si="5"/>
        <v>0</v>
      </c>
      <c r="G90" s="1793">
        <f t="shared" si="2"/>
        <v>0</v>
      </c>
    </row>
    <row r="91" spans="1:7" x14ac:dyDescent="0.25">
      <c r="A91" s="1653"/>
      <c r="B91" s="1667"/>
      <c r="C91" s="1654"/>
      <c r="D91" s="1844"/>
      <c r="E91" s="1540">
        <f t="shared" si="0"/>
        <v>0</v>
      </c>
      <c r="F91" s="1936">
        <f t="shared" si="5"/>
        <v>0</v>
      </c>
      <c r="G91" s="1793">
        <f t="shared" si="2"/>
        <v>0</v>
      </c>
    </row>
    <row r="92" spans="1:7" x14ac:dyDescent="0.25">
      <c r="A92" s="1653"/>
      <c r="B92" s="1667"/>
      <c r="C92" s="1654"/>
      <c r="D92" s="1844"/>
      <c r="E92" s="1540">
        <f t="shared" si="0"/>
        <v>0</v>
      </c>
      <c r="F92" s="1936">
        <f t="shared" si="5"/>
        <v>0</v>
      </c>
      <c r="G92" s="1793">
        <f t="shared" si="2"/>
        <v>0</v>
      </c>
    </row>
    <row r="93" spans="1:7" x14ac:dyDescent="0.25">
      <c r="A93" s="1653"/>
      <c r="B93" s="1667"/>
      <c r="C93" s="1654"/>
      <c r="D93" s="1844"/>
      <c r="E93" s="1540">
        <f t="shared" si="0"/>
        <v>0</v>
      </c>
      <c r="F93" s="1936">
        <f t="shared" si="5"/>
        <v>0</v>
      </c>
      <c r="G93" s="1793">
        <f t="shared" si="2"/>
        <v>0</v>
      </c>
    </row>
    <row r="94" spans="1:7" x14ac:dyDescent="0.25">
      <c r="A94" s="1653"/>
      <c r="B94" s="1667"/>
      <c r="C94" s="1654"/>
      <c r="D94" s="1844"/>
      <c r="E94" s="1540">
        <f t="shared" ref="E94" si="6">IF(D94&lt;=25000,D94,IF(D94&gt;25000,25000,0))</f>
        <v>0</v>
      </c>
      <c r="F94" s="1936">
        <f t="shared" si="5"/>
        <v>0</v>
      </c>
      <c r="G94" s="1793">
        <f t="shared" ref="G94" si="7">IF(F94=0,0,D94-F94)</f>
        <v>0</v>
      </c>
    </row>
    <row r="95" spans="1:7" x14ac:dyDescent="0.25">
      <c r="A95" s="1653"/>
      <c r="B95" s="1667"/>
      <c r="C95" s="1654"/>
      <c r="D95" s="1844"/>
      <c r="E95" s="1540">
        <f t="shared" si="0"/>
        <v>0</v>
      </c>
      <c r="F95" s="1936">
        <f t="shared" si="5"/>
        <v>0</v>
      </c>
      <c r="G95" s="1793">
        <f t="shared" si="2"/>
        <v>0</v>
      </c>
    </row>
    <row r="96" spans="1:7" x14ac:dyDescent="0.25">
      <c r="A96" s="1653"/>
      <c r="B96" s="1667"/>
      <c r="C96" s="1654"/>
      <c r="D96" s="1844"/>
      <c r="E96" s="1540">
        <f t="shared" ref="E96:E99" si="8">IF(D96&lt;=25000,D96,IF(D96&gt;25000,25000,0))</f>
        <v>0</v>
      </c>
      <c r="F96" s="1936">
        <f t="shared" si="5"/>
        <v>0</v>
      </c>
      <c r="G96" s="1793">
        <f t="shared" ref="G96:G99" si="9">IF(F96=0,0,D96-F96)</f>
        <v>0</v>
      </c>
    </row>
    <row r="97" spans="1:7" x14ac:dyDescent="0.25">
      <c r="A97" s="1653"/>
      <c r="B97" s="1667"/>
      <c r="C97" s="1654"/>
      <c r="D97" s="1844"/>
      <c r="E97" s="1540">
        <f t="shared" si="8"/>
        <v>0</v>
      </c>
      <c r="F97" s="1936">
        <f t="shared" si="5"/>
        <v>0</v>
      </c>
      <c r="G97" s="1793">
        <f t="shared" si="9"/>
        <v>0</v>
      </c>
    </row>
    <row r="98" spans="1:7" x14ac:dyDescent="0.25">
      <c r="A98" s="1653"/>
      <c r="B98" s="1667"/>
      <c r="C98" s="1654"/>
      <c r="D98" s="1844"/>
      <c r="E98" s="1540">
        <f t="shared" si="8"/>
        <v>0</v>
      </c>
      <c r="F98" s="1936">
        <f t="shared" si="5"/>
        <v>0</v>
      </c>
      <c r="G98" s="1793">
        <f t="shared" si="9"/>
        <v>0</v>
      </c>
    </row>
    <row r="99" spans="1:7" x14ac:dyDescent="0.25">
      <c r="A99" s="1653"/>
      <c r="B99" s="1667"/>
      <c r="C99" s="1654"/>
      <c r="D99" s="1844"/>
      <c r="E99" s="1540">
        <f t="shared" si="8"/>
        <v>0</v>
      </c>
      <c r="F99" s="1936">
        <f t="shared" si="5"/>
        <v>0</v>
      </c>
      <c r="G99" s="1793">
        <f t="shared" si="9"/>
        <v>0</v>
      </c>
    </row>
    <row r="100" spans="1:7" x14ac:dyDescent="0.25">
      <c r="A100" s="1653"/>
      <c r="B100" s="1667"/>
      <c r="C100" s="1654"/>
      <c r="D100" s="1844"/>
      <c r="E100" s="1540">
        <f t="shared" ref="E100" si="10">IF(D100&lt;=25000,D100,IF(D100&gt;25000,25000,0))</f>
        <v>0</v>
      </c>
      <c r="F100" s="1936">
        <f t="shared" si="5"/>
        <v>0</v>
      </c>
      <c r="G100" s="1793">
        <f t="shared" ref="G100" si="11">IF(F100=0,0,D100-F100)</f>
        <v>0</v>
      </c>
    </row>
    <row r="101" spans="1:7" x14ac:dyDescent="0.25">
      <c r="A101" s="1653"/>
      <c r="B101" s="1667"/>
      <c r="C101" s="1654"/>
      <c r="D101" s="1844"/>
      <c r="E101" s="1540">
        <f t="shared" ref="E101:E113" si="12">IF(D101&lt;=25000,D101,IF(D101&gt;25000,25000,0))</f>
        <v>0</v>
      </c>
      <c r="F101" s="1936">
        <f t="shared" si="5"/>
        <v>0</v>
      </c>
      <c r="G101" s="1793">
        <f t="shared" ref="G101:G113" si="13">IF(F101=0,0,D101-F101)</f>
        <v>0</v>
      </c>
    </row>
    <row r="102" spans="1:7" x14ac:dyDescent="0.25">
      <c r="A102" s="1653"/>
      <c r="B102" s="1667"/>
      <c r="C102" s="1654"/>
      <c r="D102" s="1844"/>
      <c r="E102" s="1540">
        <f t="shared" si="12"/>
        <v>0</v>
      </c>
      <c r="F102" s="1936">
        <f t="shared" si="5"/>
        <v>0</v>
      </c>
      <c r="G102" s="1793">
        <f t="shared" si="13"/>
        <v>0</v>
      </c>
    </row>
    <row r="103" spans="1:7" x14ac:dyDescent="0.25">
      <c r="A103" s="1653"/>
      <c r="B103" s="1667"/>
      <c r="C103" s="1654"/>
      <c r="D103" s="1844"/>
      <c r="E103" s="1540">
        <f t="shared" si="12"/>
        <v>0</v>
      </c>
      <c r="F103" s="1936">
        <f t="shared" si="5"/>
        <v>0</v>
      </c>
      <c r="G103" s="1793">
        <f t="shared" si="13"/>
        <v>0</v>
      </c>
    </row>
    <row r="104" spans="1:7" x14ac:dyDescent="0.25">
      <c r="A104" s="1653"/>
      <c r="B104" s="1667"/>
      <c r="C104" s="1654"/>
      <c r="D104" s="1844"/>
      <c r="E104" s="1540">
        <f t="shared" si="12"/>
        <v>0</v>
      </c>
      <c r="F104" s="1936">
        <f t="shared" si="5"/>
        <v>0</v>
      </c>
      <c r="G104" s="1793">
        <f t="shared" si="13"/>
        <v>0</v>
      </c>
    </row>
    <row r="105" spans="1:7" x14ac:dyDescent="0.25">
      <c r="A105" s="1653"/>
      <c r="B105" s="1667"/>
      <c r="C105" s="1654"/>
      <c r="D105" s="1844"/>
      <c r="E105" s="1540">
        <f t="shared" si="12"/>
        <v>0</v>
      </c>
      <c r="F105" s="1936">
        <f t="shared" si="5"/>
        <v>0</v>
      </c>
      <c r="G105" s="1793">
        <f t="shared" si="13"/>
        <v>0</v>
      </c>
    </row>
    <row r="106" spans="1:7" x14ac:dyDescent="0.25">
      <c r="A106" s="1653"/>
      <c r="B106" s="1667"/>
      <c r="C106" s="1654"/>
      <c r="D106" s="1844"/>
      <c r="E106" s="1540">
        <f t="shared" si="12"/>
        <v>0</v>
      </c>
      <c r="F106" s="1936">
        <f t="shared" si="5"/>
        <v>0</v>
      </c>
      <c r="G106" s="1793">
        <f t="shared" si="13"/>
        <v>0</v>
      </c>
    </row>
    <row r="107" spans="1:7" x14ac:dyDescent="0.25">
      <c r="A107" s="1653"/>
      <c r="B107" s="1667"/>
      <c r="C107" s="1654"/>
      <c r="D107" s="1844"/>
      <c r="E107" s="1540">
        <f t="shared" si="12"/>
        <v>0</v>
      </c>
      <c r="F107" s="1936">
        <f t="shared" si="5"/>
        <v>0</v>
      </c>
      <c r="G107" s="1793">
        <f t="shared" si="13"/>
        <v>0</v>
      </c>
    </row>
    <row r="108" spans="1:7" x14ac:dyDescent="0.25">
      <c r="A108" s="1653"/>
      <c r="B108" s="1667"/>
      <c r="C108" s="1654"/>
      <c r="D108" s="1844"/>
      <c r="E108" s="1540">
        <f t="shared" si="12"/>
        <v>0</v>
      </c>
      <c r="F108" s="1936">
        <f t="shared" si="5"/>
        <v>0</v>
      </c>
      <c r="G108" s="1793">
        <f t="shared" si="13"/>
        <v>0</v>
      </c>
    </row>
    <row r="109" spans="1:7" x14ac:dyDescent="0.25">
      <c r="A109" s="1653"/>
      <c r="B109" s="1667"/>
      <c r="C109" s="1654"/>
      <c r="D109" s="1844"/>
      <c r="E109" s="1540">
        <f t="shared" si="12"/>
        <v>0</v>
      </c>
      <c r="F109" s="1936">
        <f t="shared" si="5"/>
        <v>0</v>
      </c>
      <c r="G109" s="1793">
        <f t="shared" si="13"/>
        <v>0</v>
      </c>
    </row>
    <row r="110" spans="1:7" x14ac:dyDescent="0.25">
      <c r="A110" s="1653"/>
      <c r="B110" s="1667"/>
      <c r="C110" s="1654"/>
      <c r="D110" s="1844"/>
      <c r="E110" s="1540">
        <f t="shared" si="12"/>
        <v>0</v>
      </c>
      <c r="F110" s="1936">
        <f t="shared" si="5"/>
        <v>0</v>
      </c>
      <c r="G110" s="1793">
        <f t="shared" si="13"/>
        <v>0</v>
      </c>
    </row>
    <row r="111" spans="1:7" x14ac:dyDescent="0.25">
      <c r="A111" s="1653"/>
      <c r="B111" s="1667"/>
      <c r="C111" s="1654"/>
      <c r="D111" s="1844"/>
      <c r="E111" s="1540">
        <f t="shared" si="12"/>
        <v>0</v>
      </c>
      <c r="F111" s="1936">
        <f t="shared" si="5"/>
        <v>0</v>
      </c>
      <c r="G111" s="1793">
        <f t="shared" si="13"/>
        <v>0</v>
      </c>
    </row>
    <row r="112" spans="1:7" x14ac:dyDescent="0.25">
      <c r="A112" s="1653"/>
      <c r="B112" s="1667"/>
      <c r="C112" s="1654"/>
      <c r="D112" s="1844"/>
      <c r="E112" s="1540">
        <f t="shared" si="12"/>
        <v>0</v>
      </c>
      <c r="F112" s="1936">
        <f t="shared" si="5"/>
        <v>0</v>
      </c>
      <c r="G112" s="1793">
        <f t="shared" si="13"/>
        <v>0</v>
      </c>
    </row>
    <row r="113" spans="1:7" x14ac:dyDescent="0.25">
      <c r="A113" s="1653"/>
      <c r="B113" s="1667"/>
      <c r="C113" s="1654"/>
      <c r="D113" s="1844"/>
      <c r="E113" s="1540">
        <f t="shared" si="12"/>
        <v>0</v>
      </c>
      <c r="F113" s="1936">
        <f t="shared" si="5"/>
        <v>0</v>
      </c>
      <c r="G113" s="1793">
        <f t="shared" si="13"/>
        <v>0</v>
      </c>
    </row>
    <row r="114" spans="1:7" x14ac:dyDescent="0.25">
      <c r="A114" s="1653"/>
      <c r="B114" s="1667"/>
      <c r="C114" s="1654"/>
      <c r="D114" s="1844"/>
      <c r="E114" s="1540">
        <f t="shared" ref="E114:E126" si="14">IF(D114&lt;=25000,D114,IF(D114&gt;25000,25000,0))</f>
        <v>0</v>
      </c>
      <c r="F114" s="1936">
        <f t="shared" si="5"/>
        <v>0</v>
      </c>
      <c r="G114" s="1793">
        <f t="shared" ref="G114:G126" si="15">IF(F114=0,0,D114-F114)</f>
        <v>0</v>
      </c>
    </row>
    <row r="115" spans="1:7" x14ac:dyDescent="0.25">
      <c r="A115" s="1653"/>
      <c r="B115" s="1667"/>
      <c r="C115" s="1654"/>
      <c r="D115" s="1844"/>
      <c r="E115" s="1540">
        <f t="shared" si="14"/>
        <v>0</v>
      </c>
      <c r="F115" s="1936">
        <f t="shared" si="5"/>
        <v>0</v>
      </c>
      <c r="G115" s="1793">
        <f t="shared" si="15"/>
        <v>0</v>
      </c>
    </row>
    <row r="116" spans="1:7" x14ac:dyDescent="0.25">
      <c r="A116" s="1653"/>
      <c r="B116" s="1667"/>
      <c r="C116" s="1654"/>
      <c r="D116" s="1844"/>
      <c r="E116" s="1540">
        <f t="shared" si="14"/>
        <v>0</v>
      </c>
      <c r="F116" s="1936">
        <f t="shared" si="5"/>
        <v>0</v>
      </c>
      <c r="G116" s="1793">
        <f t="shared" si="15"/>
        <v>0</v>
      </c>
    </row>
    <row r="117" spans="1:7" x14ac:dyDescent="0.25">
      <c r="A117" s="1653"/>
      <c r="B117" s="1667"/>
      <c r="C117" s="1654"/>
      <c r="D117" s="1844"/>
      <c r="E117" s="1540">
        <f t="shared" si="14"/>
        <v>0</v>
      </c>
      <c r="F117" s="1936">
        <f t="shared" si="5"/>
        <v>0</v>
      </c>
      <c r="G117" s="1793">
        <f t="shared" si="15"/>
        <v>0</v>
      </c>
    </row>
    <row r="118" spans="1:7" x14ac:dyDescent="0.25">
      <c r="A118" s="1653"/>
      <c r="B118" s="1667"/>
      <c r="C118" s="1654"/>
      <c r="D118" s="1844"/>
      <c r="E118" s="1540">
        <f t="shared" si="14"/>
        <v>0</v>
      </c>
      <c r="F118" s="1936">
        <f t="shared" si="5"/>
        <v>0</v>
      </c>
      <c r="G118" s="1793">
        <f t="shared" si="15"/>
        <v>0</v>
      </c>
    </row>
    <row r="119" spans="1:7" x14ac:dyDescent="0.25">
      <c r="A119" s="1653"/>
      <c r="B119" s="1667"/>
      <c r="C119" s="1654"/>
      <c r="D119" s="1844"/>
      <c r="E119" s="1540">
        <f t="shared" si="14"/>
        <v>0</v>
      </c>
      <c r="F119" s="1936">
        <f t="shared" si="5"/>
        <v>0</v>
      </c>
      <c r="G119" s="1793">
        <f t="shared" si="15"/>
        <v>0</v>
      </c>
    </row>
    <row r="120" spans="1:7" x14ac:dyDescent="0.25">
      <c r="A120" s="1653"/>
      <c r="B120" s="1667"/>
      <c r="C120" s="1654"/>
      <c r="D120" s="1844"/>
      <c r="E120" s="1540">
        <f t="shared" si="14"/>
        <v>0</v>
      </c>
      <c r="F120" s="1936">
        <f t="shared" si="5"/>
        <v>0</v>
      </c>
      <c r="G120" s="1793">
        <f t="shared" si="15"/>
        <v>0</v>
      </c>
    </row>
    <row r="121" spans="1:7" x14ac:dyDescent="0.25">
      <c r="A121" s="1653"/>
      <c r="B121" s="1667"/>
      <c r="C121" s="1654"/>
      <c r="D121" s="1844"/>
      <c r="E121" s="1540">
        <f t="shared" si="14"/>
        <v>0</v>
      </c>
      <c r="F121" s="1936">
        <f t="shared" si="5"/>
        <v>0</v>
      </c>
      <c r="G121" s="1793">
        <f t="shared" si="15"/>
        <v>0</v>
      </c>
    </row>
    <row r="122" spans="1:7" x14ac:dyDescent="0.25">
      <c r="A122" s="1653"/>
      <c r="B122" s="1667"/>
      <c r="C122" s="1654"/>
      <c r="D122" s="1844"/>
      <c r="E122" s="1540">
        <f t="shared" si="14"/>
        <v>0</v>
      </c>
      <c r="F122" s="1936">
        <f t="shared" si="5"/>
        <v>0</v>
      </c>
      <c r="G122" s="1793">
        <f t="shared" si="15"/>
        <v>0</v>
      </c>
    </row>
    <row r="123" spans="1:7" x14ac:dyDescent="0.25">
      <c r="A123" s="1653"/>
      <c r="B123" s="1667"/>
      <c r="C123" s="1654"/>
      <c r="D123" s="1844"/>
      <c r="E123" s="1540">
        <f t="shared" si="14"/>
        <v>0</v>
      </c>
      <c r="F123" s="1936">
        <f t="shared" si="5"/>
        <v>0</v>
      </c>
      <c r="G123" s="1793">
        <f t="shared" si="15"/>
        <v>0</v>
      </c>
    </row>
    <row r="124" spans="1:7" x14ac:dyDescent="0.25">
      <c r="A124" s="1653"/>
      <c r="B124" s="1667"/>
      <c r="C124" s="1654"/>
      <c r="D124" s="1844"/>
      <c r="E124" s="1540">
        <f t="shared" si="14"/>
        <v>0</v>
      </c>
      <c r="F124" s="1936">
        <f t="shared" si="5"/>
        <v>0</v>
      </c>
      <c r="G124" s="1793">
        <f t="shared" si="15"/>
        <v>0</v>
      </c>
    </row>
    <row r="125" spans="1:7" x14ac:dyDescent="0.25">
      <c r="A125" s="1653"/>
      <c r="B125" s="1667"/>
      <c r="C125" s="1654"/>
      <c r="D125" s="1844"/>
      <c r="E125" s="1540">
        <f t="shared" si="14"/>
        <v>0</v>
      </c>
      <c r="F125" s="1936">
        <f t="shared" si="5"/>
        <v>0</v>
      </c>
      <c r="G125" s="1793">
        <f t="shared" si="15"/>
        <v>0</v>
      </c>
    </row>
    <row r="126" spans="1:7" x14ac:dyDescent="0.25">
      <c r="A126" s="1653"/>
      <c r="B126" s="1667"/>
      <c r="C126" s="1654"/>
      <c r="D126" s="1844"/>
      <c r="E126" s="1540">
        <f t="shared" si="14"/>
        <v>0</v>
      </c>
      <c r="F126" s="1936">
        <f t="shared" si="5"/>
        <v>0</v>
      </c>
      <c r="G126" s="1793">
        <f t="shared" si="15"/>
        <v>0</v>
      </c>
    </row>
    <row r="127" spans="1:7" x14ac:dyDescent="0.25">
      <c r="A127" s="1653"/>
      <c r="B127" s="1667"/>
      <c r="C127" s="1654"/>
      <c r="D127" s="1844"/>
      <c r="E127" s="1540">
        <f t="shared" ref="E127:E135" si="16">IF(D127&lt;=25000,D127,IF(D127&gt;25000,25000,0))</f>
        <v>0</v>
      </c>
      <c r="F127" s="1936">
        <f t="shared" si="5"/>
        <v>0</v>
      </c>
      <c r="G127" s="1793">
        <f t="shared" ref="G127:G135" si="17">IF(F127=0,0,D127-F127)</f>
        <v>0</v>
      </c>
    </row>
    <row r="128" spans="1:7" x14ac:dyDescent="0.25">
      <c r="A128" s="1653"/>
      <c r="B128" s="1667"/>
      <c r="C128" s="1654"/>
      <c r="D128" s="1844"/>
      <c r="E128" s="1540">
        <f t="shared" si="16"/>
        <v>0</v>
      </c>
      <c r="F128" s="1936">
        <f t="shared" si="5"/>
        <v>0</v>
      </c>
      <c r="G128" s="1793">
        <f t="shared" si="17"/>
        <v>0</v>
      </c>
    </row>
    <row r="129" spans="1:7" x14ac:dyDescent="0.25">
      <c r="A129" s="1653"/>
      <c r="B129" s="1667"/>
      <c r="C129" s="1654"/>
      <c r="D129" s="1844"/>
      <c r="E129" s="1540">
        <f t="shared" si="16"/>
        <v>0</v>
      </c>
      <c r="F129" s="1936">
        <f t="shared" si="5"/>
        <v>0</v>
      </c>
      <c r="G129" s="1793">
        <f t="shared" si="17"/>
        <v>0</v>
      </c>
    </row>
    <row r="130" spans="1:7" x14ac:dyDescent="0.25">
      <c r="A130" s="1653"/>
      <c r="B130" s="1667"/>
      <c r="C130" s="1654"/>
      <c r="D130" s="1844"/>
      <c r="E130" s="1540">
        <f t="shared" si="16"/>
        <v>0</v>
      </c>
      <c r="F130" s="1936">
        <f t="shared" si="5"/>
        <v>0</v>
      </c>
      <c r="G130" s="1793">
        <f t="shared" si="17"/>
        <v>0</v>
      </c>
    </row>
    <row r="131" spans="1:7" x14ac:dyDescent="0.25">
      <c r="A131" s="1653"/>
      <c r="B131" s="1667"/>
      <c r="C131" s="1654"/>
      <c r="D131" s="1844"/>
      <c r="E131" s="1540">
        <f t="shared" si="16"/>
        <v>0</v>
      </c>
      <c r="F131" s="1936">
        <f t="shared" si="5"/>
        <v>0</v>
      </c>
      <c r="G131" s="1793">
        <f t="shared" si="17"/>
        <v>0</v>
      </c>
    </row>
    <row r="132" spans="1:7" x14ac:dyDescent="0.25">
      <c r="A132" s="1653"/>
      <c r="B132" s="1837"/>
      <c r="C132" s="1654"/>
      <c r="D132" s="1844"/>
      <c r="E132" s="1540">
        <f t="shared" si="16"/>
        <v>0</v>
      </c>
      <c r="F132" s="1936">
        <f t="shared" si="5"/>
        <v>0</v>
      </c>
      <c r="G132" s="1793">
        <f t="shared" si="17"/>
        <v>0</v>
      </c>
    </row>
    <row r="133" spans="1:7" x14ac:dyDescent="0.25">
      <c r="A133" s="1653"/>
      <c r="B133" s="1837"/>
      <c r="C133" s="1654"/>
      <c r="D133" s="1844"/>
      <c r="E133" s="1540">
        <f t="shared" si="16"/>
        <v>0</v>
      </c>
      <c r="F133" s="1936">
        <f t="shared" si="5"/>
        <v>0</v>
      </c>
      <c r="G133" s="1793">
        <f t="shared" si="17"/>
        <v>0</v>
      </c>
    </row>
    <row r="134" spans="1:7" x14ac:dyDescent="0.25">
      <c r="A134" s="1653"/>
      <c r="B134" s="1667"/>
      <c r="C134" s="1654"/>
      <c r="D134" s="1844"/>
      <c r="E134" s="1540">
        <f t="shared" si="16"/>
        <v>0</v>
      </c>
      <c r="F134" s="1936">
        <f t="shared" si="5"/>
        <v>0</v>
      </c>
      <c r="G134" s="1793">
        <f t="shared" si="17"/>
        <v>0</v>
      </c>
    </row>
    <row r="135" spans="1:7" x14ac:dyDescent="0.25">
      <c r="A135" s="1653"/>
      <c r="B135" s="1667"/>
      <c r="C135" s="1654"/>
      <c r="D135" s="1844"/>
      <c r="E135" s="1540">
        <f t="shared" si="16"/>
        <v>0</v>
      </c>
      <c r="F135" s="1936">
        <f t="shared" si="5"/>
        <v>0</v>
      </c>
      <c r="G135" s="1793">
        <f t="shared" si="17"/>
        <v>0</v>
      </c>
    </row>
    <row r="136" spans="1:7" x14ac:dyDescent="0.25">
      <c r="A136" s="1653"/>
      <c r="B136" s="1667"/>
      <c r="C136" s="1654"/>
      <c r="D136" s="1844"/>
      <c r="E136" s="1540">
        <f t="shared" ref="E136:E140" si="18">IF(D136&lt;=25000,D136,IF(D136&gt;25000,25000,0))</f>
        <v>0</v>
      </c>
      <c r="F136" s="1936">
        <f t="shared" si="5"/>
        <v>0</v>
      </c>
      <c r="G136" s="1793">
        <f t="shared" ref="G136:G140" si="19">IF(F136=0,0,D136-F136)</f>
        <v>0</v>
      </c>
    </row>
    <row r="137" spans="1:7" x14ac:dyDescent="0.25">
      <c r="A137" s="1653"/>
      <c r="B137" s="1667"/>
      <c r="C137" s="1654"/>
      <c r="D137" s="1844"/>
      <c r="E137" s="1540">
        <f t="shared" si="18"/>
        <v>0</v>
      </c>
      <c r="F137" s="1936">
        <f t="shared" si="5"/>
        <v>0</v>
      </c>
      <c r="G137" s="1793">
        <f t="shared" si="19"/>
        <v>0</v>
      </c>
    </row>
    <row r="138" spans="1:7" x14ac:dyDescent="0.25">
      <c r="A138" s="1653"/>
      <c r="B138" s="1667"/>
      <c r="C138" s="1654"/>
      <c r="D138" s="1844"/>
      <c r="E138" s="1540">
        <f t="shared" si="18"/>
        <v>0</v>
      </c>
      <c r="F138" s="1936">
        <f t="shared" si="5"/>
        <v>0</v>
      </c>
      <c r="G138" s="1793">
        <f t="shared" si="19"/>
        <v>0</v>
      </c>
    </row>
    <row r="139" spans="1:7" x14ac:dyDescent="0.25">
      <c r="A139" s="1653"/>
      <c r="B139" s="1667"/>
      <c r="C139" s="1654"/>
      <c r="D139" s="1844"/>
      <c r="E139" s="1540">
        <f t="shared" si="18"/>
        <v>0</v>
      </c>
      <c r="F139" s="1936">
        <f t="shared" si="5"/>
        <v>0</v>
      </c>
      <c r="G139" s="1793">
        <f t="shared" si="19"/>
        <v>0</v>
      </c>
    </row>
    <row r="140" spans="1:7" x14ac:dyDescent="0.25">
      <c r="A140" s="1653"/>
      <c r="B140" s="1667"/>
      <c r="C140" s="1654"/>
      <c r="D140" s="1844"/>
      <c r="E140" s="1540">
        <f t="shared" si="18"/>
        <v>0</v>
      </c>
      <c r="F140" s="1936">
        <f t="shared" si="5"/>
        <v>0</v>
      </c>
      <c r="G140" s="1793">
        <f t="shared" si="19"/>
        <v>0</v>
      </c>
    </row>
    <row r="141" spans="1:7" x14ac:dyDescent="0.25">
      <c r="A141" s="1653"/>
      <c r="B141" s="1666"/>
      <c r="C141" s="1654"/>
      <c r="D141" s="1844"/>
      <c r="E141" s="1540">
        <f t="shared" si="0"/>
        <v>0</v>
      </c>
      <c r="F141" s="1936">
        <f t="shared" si="5"/>
        <v>0</v>
      </c>
      <c r="G141" s="1793">
        <f t="shared" si="2"/>
        <v>0</v>
      </c>
    </row>
    <row r="142" spans="1:7" x14ac:dyDescent="0.25">
      <c r="A142" s="1796" t="s">
        <v>156</v>
      </c>
      <c r="B142" s="1797"/>
      <c r="C142" s="1798"/>
      <c r="D142" s="1794">
        <f>SUM(D19:D141)</f>
        <v>352763</v>
      </c>
      <c r="E142" s="1541">
        <f t="shared" ref="E142" si="20">IF(D142&lt;=25000,D142,IF(D142&gt;25000,25000,0))</f>
        <v>25000</v>
      </c>
      <c r="F142" s="1932">
        <f>SUM(F19:F141)</f>
        <v>100000</v>
      </c>
      <c r="G142" s="1795">
        <f>SUM(G19:G141)</f>
        <v>252763</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7" t="s">
        <v>1679</v>
      </c>
      <c r="B5" s="2288"/>
      <c r="C5" s="2288"/>
      <c r="D5" s="2288"/>
      <c r="E5" s="2288"/>
      <c r="F5" s="2288"/>
      <c r="G5" s="2289"/>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257617</v>
      </c>
      <c r="F10" s="974"/>
      <c r="G10" s="975"/>
      <c r="H10" s="162"/>
      <c r="I10" s="162"/>
    </row>
    <row r="11" spans="1:9" s="668" customFormat="1" ht="22.5" customHeight="1" x14ac:dyDescent="0.2">
      <c r="A11" s="2292" t="s">
        <v>1975</v>
      </c>
      <c r="B11" s="2293"/>
      <c r="C11" s="2293"/>
      <c r="D11" s="2294"/>
      <c r="E11" s="977">
        <v>34256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4456572</v>
      </c>
      <c r="F19" s="1799"/>
      <c r="G19" s="1801">
        <f>'Expenditures 15-22'!K33-SUM('Expenditures 15-22'!G33,'Expenditures 15-22'!I33)+'Expenditures 15-22'!D229</f>
        <v>4456572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555384</v>
      </c>
      <c r="F21" s="1802"/>
      <c r="G21" s="1805">
        <f>'Expenditures 15-22'!K42-SUM('Expenditures 15-22'!G42,'Expenditures 15-22'!I42)+'Expenditures 15-22'!K120-SUM('Expenditures 15-22'!G120,'Expenditures 15-22'!I120)+'Expenditures 15-22'!K180-SUM('Expenditures 15-22'!G180,'Expenditures 15-22'!I180)+'Expenditures 15-22'!D238</f>
        <v>555384</v>
      </c>
      <c r="H21" s="987"/>
      <c r="I21" s="162"/>
    </row>
    <row r="22" spans="1:9" s="668" customFormat="1" ht="12" customHeight="1" x14ac:dyDescent="0.2">
      <c r="A22" s="994" t="s">
        <v>564</v>
      </c>
      <c r="B22" s="995"/>
      <c r="C22" s="993">
        <v>2200</v>
      </c>
      <c r="D22" s="1802"/>
      <c r="E22" s="1804">
        <f>'Expenditures 15-22'!K47-SUM('Expenditures 15-22'!G47,'Expenditures 15-22'!I47)+'Expenditures 15-22'!D243</f>
        <v>220257</v>
      </c>
      <c r="F22" s="1802"/>
      <c r="G22" s="1805">
        <f>'Expenditures 15-22'!K47-SUM('Expenditures 15-22'!G47,'Expenditures 15-22'!I47)+'Expenditures 15-22'!D243</f>
        <v>220257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402923</v>
      </c>
      <c r="F23" s="1802"/>
      <c r="G23" s="1804">
        <f>'Expenditures 15-22'!K53-SUM('Expenditures 15-22'!G53,'Expenditures 15-22'!I53)+'Expenditures 15-22'!D257+'Expenditures 15-22'!K330-SUM('Expenditures 15-22'!G330,'Expenditures 15-22'!I330)</f>
        <v>402923</v>
      </c>
      <c r="H23" s="987"/>
      <c r="I23" s="162"/>
    </row>
    <row r="24" spans="1:9" s="668" customFormat="1" ht="12" customHeight="1" x14ac:dyDescent="0.2">
      <c r="A24" s="994" t="s">
        <v>566</v>
      </c>
      <c r="B24" s="995"/>
      <c r="C24" s="993">
        <v>2400</v>
      </c>
      <c r="D24" s="1802"/>
      <c r="E24" s="1804">
        <f>'Expenditures 15-22'!K57-SUM('Expenditures 15-22'!G57,'Expenditures 15-22'!I57)+'Expenditures 15-22'!D261</f>
        <v>469441</v>
      </c>
      <c r="F24" s="1802"/>
      <c r="G24" s="1805">
        <f>'Expenditures 15-22'!K57-SUM('Expenditures 15-22'!G57,'Expenditures 15-22'!I57)+'Expenditures 15-22'!D261</f>
        <v>469441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67880</v>
      </c>
      <c r="E27" s="1804">
        <f>E8</f>
        <v>0</v>
      </c>
      <c r="F27" s="1804">
        <f>'Expenditures 15-22'!K60-SUM('Expenditures 15-22'!G60,'Expenditures 15-22'!I60)+'Expenditures 15-22'!D264-E8</f>
        <v>67880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749831</v>
      </c>
      <c r="F28" s="1806">
        <f>'Expenditures 15-22'!K61-SUM('Expenditures 15-22'!G61,'Expenditures 15-22'!I61)+'Expenditures 15-22'!K124-SUM('Expenditures 15-22'!G124,'Expenditures 15-22'!I124)+'Expenditures 15-22'!D266-E9</f>
        <v>749831</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498525</v>
      </c>
      <c r="F29" s="1802"/>
      <c r="G29" s="1805">
        <f>'Expenditures 15-22'!K62-SUM('Expenditures 15-22'!G62,'Expenditures 15-22'!I62)+'Expenditures 15-22'!K125-SUM('Expenditures 15-22'!G125,'Expenditures 15-22'!I125)+'Expenditures 15-22'!K182-SUM('Expenditures 15-22'!G182,'Expenditures 15-22'!I182)+'Expenditures 15-22'!D267</f>
        <v>498525</v>
      </c>
      <c r="H29" s="985"/>
    </row>
    <row r="30" spans="1:9" ht="12" customHeight="1" x14ac:dyDescent="0.2">
      <c r="A30" s="994" t="s">
        <v>100</v>
      </c>
      <c r="B30" s="997"/>
      <c r="C30" s="993">
        <v>2560</v>
      </c>
      <c r="D30" s="1802"/>
      <c r="E30" s="1804">
        <f>'Expenditures 15-22'!K63-SUM('Expenditures 15-22'!G63,'Expenditures 15-22'!I63)+'Expenditures 15-22'!D268-E10</f>
        <v>228470</v>
      </c>
      <c r="F30" s="1802"/>
      <c r="G30" s="1804">
        <f>'Expenditures 15-22'!K63-SUM('Expenditures 15-22'!G63,'Expenditures 15-22'!I63)+'Expenditures 15-22'!D268-E10</f>
        <v>228470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2169</v>
      </c>
      <c r="F38" s="1802"/>
      <c r="G38" s="1804">
        <f>'Expenditures 15-22'!K73-SUM('Expenditures 15-22'!G73,'Expenditures 15-22'!I73)+'Expenditures 15-22'!K128-SUM('Expenditures 15-22'!G128,'Expenditures 15-22'!I128)+'Expenditures 15-22'!K183-SUM('Expenditures 15-22'!G183,'Expenditures 15-22'!I183)+'Expenditures 15-22'!D278</f>
        <v>2169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-252763</v>
      </c>
      <c r="F40" s="1802"/>
      <c r="G40" s="1806">
        <f>-'Contracts Paid in CY 29'!G142</f>
        <v>-252763</v>
      </c>
    </row>
    <row r="41" spans="1:7" ht="12" customHeight="1" x14ac:dyDescent="0.2">
      <c r="A41" s="998" t="s">
        <v>156</v>
      </c>
      <c r="B41" s="999"/>
      <c r="C41" s="1000"/>
      <c r="D41" s="1806">
        <f>SUM(D19:D39)</f>
        <v>67880</v>
      </c>
      <c r="E41" s="1806">
        <f>SUM(E19:E40)</f>
        <v>7330809</v>
      </c>
      <c r="F41" s="1806">
        <f>SUM(F19:F39)</f>
        <v>817711</v>
      </c>
      <c r="G41" s="1806">
        <f>SUM(G19:G40)</f>
        <v>6580978</v>
      </c>
    </row>
    <row r="42" spans="1:7" x14ac:dyDescent="0.2">
      <c r="A42" s="987"/>
      <c r="B42" s="162"/>
      <c r="C42" s="1001"/>
      <c r="D42" s="2290" t="s">
        <v>522</v>
      </c>
      <c r="E42" s="2291"/>
      <c r="F42" s="1002" t="s">
        <v>523</v>
      </c>
      <c r="G42" s="1003"/>
    </row>
    <row r="43" spans="1:7" ht="12" customHeight="1" x14ac:dyDescent="0.2">
      <c r="A43" s="987"/>
      <c r="B43" s="162"/>
      <c r="C43" s="1001"/>
      <c r="D43" s="1807" t="s">
        <v>473</v>
      </c>
      <c r="E43" s="1808">
        <f>D41</f>
        <v>67880</v>
      </c>
      <c r="F43" s="1807" t="s">
        <v>473</v>
      </c>
      <c r="G43" s="1808">
        <f>F41</f>
        <v>817711</v>
      </c>
    </row>
    <row r="44" spans="1:7" ht="12" customHeight="1" x14ac:dyDescent="0.2">
      <c r="A44" s="987"/>
      <c r="B44" s="162"/>
      <c r="C44" s="1001"/>
      <c r="D44" s="1807" t="s">
        <v>474</v>
      </c>
      <c r="E44" s="1808">
        <f>E41</f>
        <v>7330809</v>
      </c>
      <c r="F44" s="1807" t="s">
        <v>474</v>
      </c>
      <c r="G44" s="1808">
        <f>G41</f>
        <v>6580978</v>
      </c>
    </row>
    <row r="45" spans="1:7" ht="12" customHeight="1" x14ac:dyDescent="0.2">
      <c r="A45" s="987"/>
      <c r="B45" s="162"/>
      <c r="C45" s="162"/>
      <c r="D45" s="1809" t="s">
        <v>1006</v>
      </c>
      <c r="E45" s="1810">
        <f>(E43/E44)</f>
        <v>9.2595510263601185E-3</v>
      </c>
      <c r="F45" s="1809" t="s">
        <v>1006</v>
      </c>
      <c r="G45" s="1810">
        <f>(G43/G44)</f>
        <v>0.1242537203436936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view="pageBreakPreview" zoomScaleNormal="110" zoomScaleSheetLayoutView="100" workbookViewId="0">
      <pane ySplit="4" topLeftCell="A5" activePane="bottomLeft" state="frozen"/>
      <selection activeCell="C114" sqref="C114:D114"/>
      <selection pane="bottomLeft" activeCell="H25" sqref="H25"/>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7.5703125" style="1878" bestFit="1" customWidth="1"/>
    <col min="9" max="9" width="4" style="1878" bestFit="1" customWidth="1"/>
    <col min="10" max="10" width="2.7109375" style="1878" bestFit="1" customWidth="1"/>
    <col min="11" max="11" width="9" style="1878" customWidth="1"/>
    <col min="12" max="16384" width="9.140625" style="1847"/>
  </cols>
  <sheetData>
    <row r="1" spans="1:10" x14ac:dyDescent="0.2">
      <c r="A1" s="2298" t="s">
        <v>1379</v>
      </c>
      <c r="B1" s="2298"/>
      <c r="C1" s="2298"/>
      <c r="D1" s="2298"/>
      <c r="E1" s="2298"/>
      <c r="F1" s="229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9" t="s">
        <v>1546</v>
      </c>
      <c r="B5" s="2300"/>
      <c r="C5" s="2301"/>
      <c r="D5" s="2301"/>
      <c r="E5" s="2301"/>
      <c r="F5" s="2301"/>
    </row>
    <row r="6" spans="1:10" ht="12" customHeight="1" x14ac:dyDescent="0.25">
      <c r="A6" s="1850"/>
      <c r="B6" s="1851"/>
      <c r="C6" s="2302" t="str">
        <f>COVER!A17</f>
        <v>Abingdon-Avon CUSD 276</v>
      </c>
      <c r="D6" s="2302"/>
      <c r="E6" s="2302"/>
      <c r="F6" s="1852"/>
    </row>
    <row r="7" spans="1:10" ht="11.25" customHeight="1" thickBot="1" x14ac:dyDescent="0.3">
      <c r="A7" s="1850"/>
      <c r="B7" s="1851"/>
      <c r="C7" s="2303">
        <f>COVER!A13</f>
        <v>33048276026</v>
      </c>
      <c r="D7" s="2303"/>
      <c r="E7" s="230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t="s">
        <v>2069</v>
      </c>
      <c r="D20" s="1865" t="s">
        <v>2069</v>
      </c>
      <c r="E20" s="1868"/>
      <c r="F20" s="1867" t="s">
        <v>2086</v>
      </c>
      <c r="H20" s="1878">
        <f t="shared" si="0"/>
        <v>5</v>
      </c>
      <c r="I20" s="1878">
        <f t="shared" si="1"/>
        <v>5</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t="s">
        <v>2069</v>
      </c>
      <c r="D23" s="1865" t="s">
        <v>2069</v>
      </c>
      <c r="E23" s="1868"/>
      <c r="F23" s="1867" t="s">
        <v>2087</v>
      </c>
      <c r="H23" s="1878">
        <f t="shared" si="0"/>
        <v>5</v>
      </c>
      <c r="I23" s="1878">
        <f t="shared" si="1"/>
        <v>5</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2069</v>
      </c>
      <c r="D26" s="1865" t="s">
        <v>2069</v>
      </c>
      <c r="E26" s="1868"/>
      <c r="F26" s="1867" t="s">
        <v>2088</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2069</v>
      </c>
      <c r="D31" s="1865" t="s">
        <v>2069</v>
      </c>
      <c r="E31" s="1868"/>
      <c r="F31" s="1867" t="s">
        <v>2089</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20</v>
      </c>
      <c r="I34" s="1878">
        <f>SUM(I11:I32)</f>
        <v>20</v>
      </c>
      <c r="J34" s="1878">
        <f>SUM(J11:J32)</f>
        <v>0</v>
      </c>
      <c r="K34" s="1878">
        <f>SUM(H34:J34)</f>
        <v>40</v>
      </c>
    </row>
    <row r="35" spans="1:11" ht="12" customHeight="1" x14ac:dyDescent="0.2">
      <c r="A35" s="1871" t="s">
        <v>1392</v>
      </c>
      <c r="B35" s="1872"/>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3"/>
      <c r="B39" s="1873"/>
      <c r="C39" s="1873"/>
      <c r="D39" s="1873"/>
      <c r="E39" s="1873"/>
      <c r="F39" s="1873"/>
    </row>
    <row r="40" spans="1:11" s="1870" customFormat="1" ht="12" customHeight="1" x14ac:dyDescent="0.25">
      <c r="A40" s="1874" t="s">
        <v>1391</v>
      </c>
      <c r="B40" s="1875"/>
      <c r="C40" s="2312"/>
      <c r="D40" s="2312"/>
      <c r="E40" s="2312"/>
      <c r="F40" s="2313"/>
      <c r="H40" s="1879"/>
      <c r="I40" s="1879"/>
      <c r="J40" s="1879"/>
      <c r="K40" s="1879"/>
    </row>
    <row r="41" spans="1:11" s="1870" customFormat="1" ht="12" customHeight="1" x14ac:dyDescent="0.25">
      <c r="A41" s="2314"/>
      <c r="B41" s="2315"/>
      <c r="C41" s="2315"/>
      <c r="D41" s="2315"/>
      <c r="E41" s="2315"/>
      <c r="F41" s="2316"/>
      <c r="H41" s="1879"/>
      <c r="I41" s="1879"/>
      <c r="J41" s="1879"/>
      <c r="K41" s="1879"/>
    </row>
    <row r="42" spans="1:11" s="1870" customFormat="1" ht="12" customHeight="1" x14ac:dyDescent="0.25">
      <c r="A42" s="2314"/>
      <c r="B42" s="2315"/>
      <c r="C42" s="2315"/>
      <c r="D42" s="2315"/>
      <c r="E42" s="2315"/>
      <c r="F42" s="2316"/>
      <c r="H42" s="1879"/>
      <c r="I42" s="1879"/>
      <c r="J42" s="1879"/>
      <c r="K42" s="1879"/>
    </row>
    <row r="43" spans="1:11" s="1870" customFormat="1" ht="15" x14ac:dyDescent="0.25">
      <c r="A43" s="2306"/>
      <c r="B43" s="2307"/>
      <c r="C43" s="2307"/>
      <c r="D43" s="2307"/>
      <c r="E43" s="2307"/>
      <c r="F43" s="2308"/>
      <c r="H43" s="1879"/>
      <c r="I43" s="1879"/>
      <c r="J43" s="1879"/>
      <c r="K43" s="1879"/>
    </row>
    <row r="44" spans="1:11" s="1870" customFormat="1" ht="12" hidden="1" customHeight="1" x14ac:dyDescent="0.25">
      <c r="A44" s="2306"/>
      <c r="B44" s="2307"/>
      <c r="C44" s="2307"/>
      <c r="D44" s="2307"/>
      <c r="E44" s="2307"/>
      <c r="F44" s="2308"/>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E19" sqref="E1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Abingdon-Avon CUSD 276</v>
      </c>
      <c r="J6" s="2323"/>
      <c r="Q6" s="1664"/>
    </row>
    <row r="7" spans="1:17" x14ac:dyDescent="0.2">
      <c r="A7" s="2324" t="s">
        <v>869</v>
      </c>
      <c r="B7" s="2325"/>
      <c r="C7" s="2325"/>
      <c r="D7" s="2325"/>
      <c r="E7" s="2326"/>
      <c r="F7" s="1017"/>
      <c r="G7" s="1009"/>
      <c r="H7" s="1016" t="s">
        <v>372</v>
      </c>
      <c r="I7" s="2327">
        <f>COVER!A13</f>
        <v>33048276026</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163565</v>
      </c>
      <c r="F12" s="1039"/>
      <c r="G12" s="1811">
        <f t="shared" ref="G12:G18" si="0">SUM(E12:F12)</f>
        <v>163565</v>
      </c>
      <c r="H12" s="1040">
        <v>158225</v>
      </c>
      <c r="I12" s="1039"/>
      <c r="J12" s="1811">
        <f t="shared" ref="J12:J18" si="1">SUM(H12:I12)</f>
        <v>158225</v>
      </c>
    </row>
    <row r="13" spans="1:17" ht="15" customHeight="1" x14ac:dyDescent="0.2">
      <c r="A13" s="1035">
        <v>2</v>
      </c>
      <c r="B13" s="1036" t="s">
        <v>42</v>
      </c>
      <c r="C13" s="1037"/>
      <c r="D13" s="1038">
        <v>2330</v>
      </c>
      <c r="E13" s="1811">
        <f>'Expenditures 15-22'!K51</f>
        <v>0</v>
      </c>
      <c r="F13" s="1039"/>
      <c r="G13" s="1811">
        <f t="shared" si="0"/>
        <v>0</v>
      </c>
      <c r="H13" s="1040">
        <v>0</v>
      </c>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v>12726</v>
      </c>
      <c r="F18" s="1043"/>
      <c r="G18" s="1812">
        <f t="shared" si="0"/>
        <v>12726</v>
      </c>
      <c r="H18" s="1040">
        <v>12600</v>
      </c>
      <c r="I18" s="1040"/>
      <c r="J18" s="1811">
        <f t="shared" si="1"/>
        <v>12600</v>
      </c>
    </row>
    <row r="19" spans="1:10" ht="12.75" customHeight="1" thickBot="1" x14ac:dyDescent="0.25">
      <c r="A19" s="1035">
        <v>8</v>
      </c>
      <c r="B19" s="1044" t="s">
        <v>1161</v>
      </c>
      <c r="D19" s="1045"/>
      <c r="E19" s="1813">
        <f t="shared" ref="E19:J19" si="2">SUM(E12:E17)-E18</f>
        <v>150839</v>
      </c>
      <c r="F19" s="1813">
        <f t="shared" si="2"/>
        <v>0</v>
      </c>
      <c r="G19" s="1813">
        <f t="shared" si="2"/>
        <v>150839</v>
      </c>
      <c r="H19" s="1813">
        <f t="shared" si="2"/>
        <v>145625</v>
      </c>
      <c r="I19" s="1813">
        <f t="shared" si="2"/>
        <v>0</v>
      </c>
      <c r="J19" s="1813">
        <f t="shared" si="2"/>
        <v>145625</v>
      </c>
    </row>
    <row r="20" spans="1:10" ht="13.5" thickTop="1" x14ac:dyDescent="0.2">
      <c r="A20" s="1035">
        <v>9</v>
      </c>
      <c r="B20" s="2334" t="s">
        <v>1979</v>
      </c>
      <c r="C20" s="2334"/>
      <c r="D20" s="2335"/>
      <c r="E20" s="1046"/>
      <c r="F20" s="1046"/>
      <c r="G20" s="1046"/>
      <c r="H20" s="1046"/>
      <c r="I20" s="1046"/>
      <c r="J20" s="1814">
        <f>IF(AND(G19&gt;0,J19&gt;0),(((J19-G19)/G19)),"Enter Budget Data")</f>
        <v>-3.456665716426123E-2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1981</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C114" sqref="C114:D11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2093</v>
      </c>
    </row>
    <row r="6" spans="1:2" x14ac:dyDescent="0.2">
      <c r="B6" s="329" t="s">
        <v>2094</v>
      </c>
    </row>
    <row r="7" spans="1:2" x14ac:dyDescent="0.2">
      <c r="A7" s="1068">
        <v>2</v>
      </c>
      <c r="B7" s="329" t="s">
        <v>2091</v>
      </c>
    </row>
    <row r="8" spans="1:2" x14ac:dyDescent="0.2">
      <c r="A8" s="1068">
        <v>3</v>
      </c>
      <c r="B8" s="329" t="s">
        <v>2090</v>
      </c>
    </row>
    <row r="9" spans="1:2" x14ac:dyDescent="0.2">
      <c r="A9" s="1068">
        <v>4</v>
      </c>
      <c r="B9" s="329" t="s">
        <v>2092</v>
      </c>
    </row>
    <row r="10" spans="1:2" x14ac:dyDescent="0.2">
      <c r="A10" s="1069">
        <v>5</v>
      </c>
      <c r="B10" s="329" t="s">
        <v>2097</v>
      </c>
    </row>
    <row r="11" spans="1:2" x14ac:dyDescent="0.2">
      <c r="A11" s="1069">
        <v>6</v>
      </c>
      <c r="B11" s="329" t="s">
        <v>2095</v>
      </c>
    </row>
    <row r="12" spans="1:2" x14ac:dyDescent="0.2">
      <c r="A12" s="1069">
        <v>7</v>
      </c>
      <c r="B12" s="329" t="s">
        <v>2096</v>
      </c>
    </row>
    <row r="13" spans="1:2" x14ac:dyDescent="0.2">
      <c r="A13" s="1069">
        <v>8</v>
      </c>
      <c r="B13" s="329" t="s">
        <v>2098</v>
      </c>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Abingdon-Avon CUSD 276</v>
      </c>
    </row>
    <row r="65" spans="2:2" x14ac:dyDescent="0.2">
      <c r="B65" s="1070">
        <f>COVER!A13</f>
        <v>33048276026</v>
      </c>
    </row>
  </sheetData>
  <phoneticPr fontId="15"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C114" sqref="C114:D11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8" t="s">
        <v>1065</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691</v>
      </c>
      <c r="B40" s="2055"/>
      <c r="C40" s="2055"/>
      <c r="D40" s="2055"/>
      <c r="E40" s="2055"/>
    </row>
    <row r="41" spans="1:5" x14ac:dyDescent="0.2">
      <c r="A41" s="2056" t="s">
        <v>1608</v>
      </c>
      <c r="B41" s="2056"/>
      <c r="C41" s="2056"/>
      <c r="D41" s="2056"/>
      <c r="E41" s="2056"/>
    </row>
    <row r="42" spans="1:5" ht="12.75" customHeight="1" x14ac:dyDescent="0.2">
      <c r="A42" s="2057" t="s">
        <v>1022</v>
      </c>
      <c r="B42" s="2057"/>
      <c r="C42" s="2057"/>
      <c r="D42" s="2057"/>
      <c r="E42" s="2057"/>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114" sqref="C114:D11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7" sqref="B7"/>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1" t="s">
        <v>1685</v>
      </c>
      <c r="B18" s="2341"/>
    </row>
  </sheetData>
  <sheetProtection selectLockedCells="1"/>
  <mergeCells count="1">
    <mergeCell ref="A18:B18"/>
  </mergeCells>
  <phoneticPr fontId="15"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E25" sqref="AE2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1985</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1986</v>
      </c>
      <c r="B4" s="2362"/>
      <c r="C4" s="2362"/>
      <c r="D4" s="2362"/>
      <c r="E4" s="2362"/>
      <c r="F4" s="2363"/>
      <c r="G4" s="1074"/>
      <c r="H4" s="1074"/>
    </row>
    <row r="5" spans="1:8" ht="14.25" customHeight="1" x14ac:dyDescent="0.2">
      <c r="A5" s="2364" t="s">
        <v>1982</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6775483</v>
      </c>
      <c r="C8" s="1815">
        <f>'Acct Summary 7-8'!D8</f>
        <v>392702</v>
      </c>
      <c r="D8" s="1815">
        <f>'Acct Summary 7-8'!F8</f>
        <v>491597</v>
      </c>
      <c r="E8" s="1815">
        <f>'Acct Summary 7-8'!I8</f>
        <v>32799</v>
      </c>
      <c r="F8" s="1815">
        <f>SUM(B8:E8)</f>
        <v>7692581</v>
      </c>
    </row>
    <row r="9" spans="1:8" s="1079" customFormat="1" ht="14.25" customHeight="1" thickBot="1" x14ac:dyDescent="0.25">
      <c r="A9" s="1078" t="s">
        <v>1369</v>
      </c>
      <c r="B9" s="1816">
        <f>'Acct Summary 7-8'!C17</f>
        <v>7564191</v>
      </c>
      <c r="C9" s="1816">
        <f>'Acct Summary 7-8'!D17</f>
        <v>451850</v>
      </c>
      <c r="D9" s="1816">
        <f>'Acct Summary 7-8'!F17</f>
        <v>483667</v>
      </c>
      <c r="E9" s="1815"/>
      <c r="F9" s="1815">
        <f>SUM(B9:E9)</f>
        <v>8499708</v>
      </c>
    </row>
    <row r="10" spans="1:8" s="1079" customFormat="1" ht="14.25" thickTop="1" thickBot="1" x14ac:dyDescent="0.25">
      <c r="A10" s="1080" t="s">
        <v>1370</v>
      </c>
      <c r="B10" s="1817">
        <f>(B8-B9)</f>
        <v>-788708</v>
      </c>
      <c r="C10" s="1817">
        <f>(C8-C9)</f>
        <v>-59148</v>
      </c>
      <c r="D10" s="1817">
        <f>(D8-D9)</f>
        <v>7930</v>
      </c>
      <c r="E10" s="1816">
        <f>(E8-E9)</f>
        <v>32799</v>
      </c>
      <c r="F10" s="1818">
        <f>SUM(F8-F9)</f>
        <v>-807127</v>
      </c>
    </row>
    <row r="11" spans="1:8" s="1079" customFormat="1" ht="14.25" thickTop="1" thickBot="1" x14ac:dyDescent="0.25">
      <c r="A11" s="1081" t="s">
        <v>1983</v>
      </c>
      <c r="B11" s="1819">
        <f>'Acct Summary 7-8'!C81</f>
        <v>8835935</v>
      </c>
      <c r="C11" s="1819">
        <f>'Acct Summary 7-8'!D81</f>
        <v>1095608</v>
      </c>
      <c r="D11" s="1819">
        <f>'Acct Summary 7-8'!F81</f>
        <v>1494320</v>
      </c>
      <c r="E11" s="1819">
        <f>'Acct Summary 7-8'!I81</f>
        <v>983377</v>
      </c>
      <c r="F11" s="1820">
        <f>SUM(B11:E11)</f>
        <v>12409240</v>
      </c>
    </row>
    <row r="12" spans="1:8" ht="16.5" customHeight="1" thickTop="1" x14ac:dyDescent="0.2">
      <c r="A12" s="1082"/>
      <c r="B12" s="1083"/>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42" colorId="8" zoomScale="110" zoomScaleNormal="110" workbookViewId="0">
      <selection activeCell="AE25" sqref="AE2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33048276026</v>
      </c>
    </row>
    <row r="3" spans="1:2" x14ac:dyDescent="0.2">
      <c r="A3" t="s">
        <v>956</v>
      </c>
      <c r="B3" s="138" t="str">
        <f>COVER!A15</f>
        <v>Fulton, Knox, and Warren</v>
      </c>
    </row>
    <row r="4" spans="1:2" x14ac:dyDescent="0.2">
      <c r="A4" t="s">
        <v>1007</v>
      </c>
      <c r="B4" s="138" t="str">
        <f>COVER!A17</f>
        <v>Abingdon-Avon CUSD 276</v>
      </c>
    </row>
    <row r="5" spans="1:2" x14ac:dyDescent="0.2">
      <c r="A5" t="s">
        <v>704</v>
      </c>
      <c r="B5" s="138" t="str">
        <f>COVER!A38</f>
        <v>Michael Curry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066-005055</v>
      </c>
    </row>
    <row r="16" spans="1:2" x14ac:dyDescent="0.2">
      <c r="A16" t="s">
        <v>422</v>
      </c>
      <c r="B16" s="138" t="str">
        <f>COVER!T13</f>
        <v>Ginoli &amp; Company Ltd</v>
      </c>
    </row>
    <row r="17" spans="1:2" x14ac:dyDescent="0.2">
      <c r="A17" t="s">
        <v>884</v>
      </c>
      <c r="B17" s="138" t="str">
        <f>COVER!T15</f>
        <v>Mark D. Reinken</v>
      </c>
    </row>
    <row r="18" spans="1:2" x14ac:dyDescent="0.2">
      <c r="A18" t="s">
        <v>1150</v>
      </c>
      <c r="B18" s="138" t="str">
        <f>COVER!T17</f>
        <v>7625 N. University Street, Suite A</v>
      </c>
    </row>
    <row r="19" spans="1:2" x14ac:dyDescent="0.2">
      <c r="A19" t="s">
        <v>886</v>
      </c>
      <c r="B19" s="138" t="str">
        <f>COVER!T25</f>
        <v>mreinken@ginolicpa.com</v>
      </c>
    </row>
    <row r="20" spans="1:2" x14ac:dyDescent="0.2">
      <c r="A20" t="s">
        <v>887</v>
      </c>
      <c r="B20" s="138" t="str">
        <f>COVER!T19</f>
        <v>Peoria</v>
      </c>
    </row>
    <row r="21" spans="1:2" x14ac:dyDescent="0.2">
      <c r="A21" t="s">
        <v>479</v>
      </c>
      <c r="B21" s="138" t="str">
        <f>COVER!X19</f>
        <v>IL</v>
      </c>
    </row>
    <row r="22" spans="1:2" x14ac:dyDescent="0.2">
      <c r="A22" t="s">
        <v>888</v>
      </c>
      <c r="B22" s="138" t="str">
        <f>COVER!Z19</f>
        <v>61614-8303</v>
      </c>
    </row>
    <row r="23" spans="1:2" x14ac:dyDescent="0.2">
      <c r="A23" t="s">
        <v>1152</v>
      </c>
      <c r="B23" s="138" t="str">
        <f>COVER!T21</f>
        <v>(309) 671-2350</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3268665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8835915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v>
      </c>
      <c r="C91" s="2" t="s">
        <v>573</v>
      </c>
      <c r="D91" s="2" t="str">
        <f t="shared" si="0"/>
        <v>Error?</v>
      </c>
    </row>
    <row r="92" spans="1:4" x14ac:dyDescent="0.2">
      <c r="A92" s="5">
        <v>31</v>
      </c>
      <c r="B92" s="138">
        <f>'Assets-Liab 5-6'!C39</f>
        <v>8835935</v>
      </c>
      <c r="D92" s="2" t="str">
        <f t="shared" si="0"/>
        <v>Error?</v>
      </c>
    </row>
    <row r="93" spans="1:4" x14ac:dyDescent="0.2">
      <c r="A93" s="5">
        <v>32</v>
      </c>
      <c r="B93" s="138">
        <f>'Assets-Liab 5-6'!C41</f>
        <v>8835915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1095608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1095608</v>
      </c>
      <c r="D123" s="2" t="str">
        <f t="shared" si="0"/>
        <v>Error?</v>
      </c>
    </row>
    <row r="124" spans="1:4" x14ac:dyDescent="0.2">
      <c r="A124" s="5">
        <v>63</v>
      </c>
      <c r="B124" s="138">
        <f>'Assets-Liab 5-6'!D41</f>
        <v>1095608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8523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8170</v>
      </c>
      <c r="D140" s="2" t="str">
        <f t="shared" si="1"/>
        <v>Error?</v>
      </c>
    </row>
    <row r="141" spans="1:4" x14ac:dyDescent="0.2">
      <c r="A141" s="5">
        <v>80</v>
      </c>
      <c r="B141" s="138">
        <f>'Assets-Liab 5-6'!E41</f>
        <v>8523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502303</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1494320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1494320</v>
      </c>
      <c r="D170" s="2" t="str">
        <f t="shared" si="1"/>
        <v>Error?</v>
      </c>
    </row>
    <row r="171" spans="1:4" x14ac:dyDescent="0.2">
      <c r="A171" s="5">
        <v>110</v>
      </c>
      <c r="B171" s="138">
        <f>'Assets-Liab 5-6'!F41</f>
        <v>1494320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537432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537432</v>
      </c>
      <c r="D189" s="2" t="str">
        <f t="shared" si="1"/>
        <v>Error?</v>
      </c>
    </row>
    <row r="190" spans="1:4" x14ac:dyDescent="0.2">
      <c r="A190" s="5">
        <v>129</v>
      </c>
      <c r="B190" s="138">
        <f>'Assets-Liab 5-6'!G41</f>
        <v>537432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107390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107390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48351</v>
      </c>
      <c r="D273" s="2" t="str">
        <f t="shared" si="3"/>
        <v>Error?</v>
      </c>
    </row>
    <row r="274" spans="1:4" x14ac:dyDescent="0.2">
      <c r="A274" s="5">
        <v>213</v>
      </c>
      <c r="B274" s="138">
        <f>'Assets-Liab 5-6'!M17</f>
        <v>6894821</v>
      </c>
      <c r="D274" s="2" t="str">
        <f t="shared" si="3"/>
        <v>Error?</v>
      </c>
    </row>
    <row r="275" spans="1:4" x14ac:dyDescent="0.2">
      <c r="A275" s="5">
        <v>214</v>
      </c>
      <c r="B275" s="138">
        <f>'Assets-Liab 5-6'!M18</f>
        <v>415372</v>
      </c>
      <c r="D275" s="2" t="str">
        <f t="shared" si="3"/>
        <v>Error?</v>
      </c>
    </row>
    <row r="276" spans="1:4" x14ac:dyDescent="0.2">
      <c r="A276" s="5">
        <v>215</v>
      </c>
      <c r="B276" s="138">
        <f>'Assets-Liab 5-6'!M19</f>
        <v>2208270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9618272</v>
      </c>
      <c r="C279" s="2" t="s">
        <v>573</v>
      </c>
      <c r="D279" s="2" t="str">
        <f t="shared" si="3"/>
        <v>Error?</v>
      </c>
    </row>
    <row r="280" spans="1:4" x14ac:dyDescent="0.2">
      <c r="A280" s="5">
        <v>219</v>
      </c>
      <c r="B280" s="138">
        <f>'Assets-Liab 5-6'!M40</f>
        <v>9618272</v>
      </c>
      <c r="D280" s="2" t="str">
        <f t="shared" si="3"/>
        <v>Error?</v>
      </c>
    </row>
    <row r="281" spans="1:4" x14ac:dyDescent="0.2">
      <c r="A281" s="5">
        <v>220</v>
      </c>
      <c r="B281" s="138">
        <f>'Assets-Liab 5-6'!M41</f>
        <v>9618272</v>
      </c>
      <c r="C281" s="2" t="s">
        <v>573</v>
      </c>
      <c r="D281" s="2" t="str">
        <f t="shared" si="3"/>
        <v>Error?</v>
      </c>
    </row>
    <row r="282" spans="1:4" x14ac:dyDescent="0.2">
      <c r="A282" s="5">
        <v>221</v>
      </c>
      <c r="B282" s="138">
        <f>'Assets-Liab 5-6'!N21</f>
        <v>8523</v>
      </c>
      <c r="D282" s="2" t="str">
        <f t="shared" si="3"/>
        <v>Error?</v>
      </c>
    </row>
    <row r="283" spans="1:4" x14ac:dyDescent="0.2">
      <c r="A283" s="5">
        <v>222</v>
      </c>
      <c r="B283" s="138">
        <f>'Assets-Liab 5-6'!N22</f>
        <v>1491477</v>
      </c>
      <c r="D283" s="2" t="str">
        <f t="shared" si="3"/>
        <v>Error?</v>
      </c>
    </row>
    <row r="284" spans="1:4" x14ac:dyDescent="0.2">
      <c r="A284" s="5">
        <v>223</v>
      </c>
      <c r="B284" s="138">
        <f>'Assets-Liab 5-6'!N23</f>
        <v>1500000</v>
      </c>
      <c r="C284" s="2" t="s">
        <v>573</v>
      </c>
      <c r="D284" s="2" t="str">
        <f t="shared" si="3"/>
        <v>Error?</v>
      </c>
    </row>
    <row r="285" spans="1:4" x14ac:dyDescent="0.2">
      <c r="A285" s="5">
        <v>224</v>
      </c>
      <c r="B285" s="138">
        <f>'Assets-Liab 5-6'!N36</f>
        <v>1500000</v>
      </c>
      <c r="D285" s="2" t="str">
        <f t="shared" si="3"/>
        <v>Error?</v>
      </c>
    </row>
    <row r="286" spans="1:4" x14ac:dyDescent="0.2">
      <c r="A286" s="10">
        <v>225</v>
      </c>
      <c r="D286" s="2" t="str">
        <f t="shared" si="3"/>
        <v>OK</v>
      </c>
    </row>
    <row r="287" spans="1:4" x14ac:dyDescent="0.2">
      <c r="A287" s="5">
        <v>226</v>
      </c>
      <c r="B287" s="138">
        <f>'Assets-Liab 5-6'!N37</f>
        <v>1500000</v>
      </c>
      <c r="C287" s="2" t="s">
        <v>573</v>
      </c>
      <c r="D287" s="2" t="str">
        <f t="shared" si="3"/>
        <v>Error?</v>
      </c>
    </row>
    <row r="288" spans="1:4" x14ac:dyDescent="0.2">
      <c r="A288" s="5">
        <v>227</v>
      </c>
      <c r="B288" s="138">
        <f>'Assets-Liab 5-6'!N41</f>
        <v>1500000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30349</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2545919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164316</v>
      </c>
      <c r="D717" s="2" t="str">
        <f t="shared" si="10"/>
        <v>Error?</v>
      </c>
    </row>
    <row r="718" spans="1:4" x14ac:dyDescent="0.2">
      <c r="A718" s="5">
        <v>657</v>
      </c>
      <c r="B718" s="138">
        <f>'Expenditures 15-22'!C14</f>
        <v>139294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3648743</v>
      </c>
      <c r="C720" s="2" t="s">
        <v>573</v>
      </c>
      <c r="D720" s="2" t="str">
        <f t="shared" si="10"/>
        <v>Error?</v>
      </c>
    </row>
    <row r="721" spans="1:4" x14ac:dyDescent="0.2">
      <c r="A721" s="5">
        <v>660</v>
      </c>
      <c r="B721" s="138">
        <f>'Expenditures 15-22'!C36</f>
        <v>30784</v>
      </c>
      <c r="D721" s="2" t="str">
        <f t="shared" si="10"/>
        <v>Error?</v>
      </c>
    </row>
    <row r="722" spans="1:4" x14ac:dyDescent="0.2">
      <c r="A722" s="5">
        <v>661</v>
      </c>
      <c r="B722" s="138">
        <f>'Expenditures 15-22'!C37</f>
        <v>126273</v>
      </c>
      <c r="D722" s="2" t="str">
        <f t="shared" si="10"/>
        <v>Error?</v>
      </c>
    </row>
    <row r="723" spans="1:4" x14ac:dyDescent="0.2">
      <c r="A723" s="5">
        <v>662</v>
      </c>
      <c r="B723" s="138">
        <f>'Expenditures 15-22'!C38</f>
        <v>26837</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137269</v>
      </c>
      <c r="D726" s="2" t="str">
        <f t="shared" si="10"/>
        <v>Error?</v>
      </c>
    </row>
    <row r="727" spans="1:4" x14ac:dyDescent="0.2">
      <c r="A727" s="5">
        <v>666</v>
      </c>
      <c r="B727" s="138">
        <f>'Expenditures 15-22'!C42</f>
        <v>321163</v>
      </c>
      <c r="C727" s="2" t="s">
        <v>573</v>
      </c>
      <c r="D727" s="2" t="str">
        <f t="shared" si="10"/>
        <v>Error?</v>
      </c>
    </row>
    <row r="728" spans="1:4" x14ac:dyDescent="0.2">
      <c r="A728" s="5">
        <v>667</v>
      </c>
      <c r="B728" s="138">
        <f>'Expenditures 15-22'!C44</f>
        <v>74842</v>
      </c>
      <c r="D728" s="2" t="str">
        <f t="shared" si="10"/>
        <v>Error?</v>
      </c>
    </row>
    <row r="729" spans="1:4" x14ac:dyDescent="0.2">
      <c r="A729" s="5">
        <v>668</v>
      </c>
      <c r="B729" s="138">
        <f>'Expenditures 15-22'!C45</f>
        <v>29013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103855</v>
      </c>
      <c r="C731" s="2" t="s">
        <v>573</v>
      </c>
      <c r="D731" s="2" t="str">
        <f t="shared" si="10"/>
        <v>Error?</v>
      </c>
    </row>
    <row r="732" spans="1:4" x14ac:dyDescent="0.2">
      <c r="A732" s="5">
        <v>671</v>
      </c>
      <c r="B732" s="138">
        <f>'Expenditures 15-22'!C49</f>
        <v>33528</v>
      </c>
      <c r="D732" s="2" t="str">
        <f t="shared" si="10"/>
        <v>Error?</v>
      </c>
    </row>
    <row r="733" spans="1:4" x14ac:dyDescent="0.2">
      <c r="A733" s="5">
        <v>672</v>
      </c>
      <c r="B733" s="138">
        <f>'Expenditures 15-22'!C50</f>
        <v>124675</v>
      </c>
      <c r="D733" s="2" t="str">
        <f t="shared" si="10"/>
        <v>Error?</v>
      </c>
    </row>
    <row r="734" spans="1:4" x14ac:dyDescent="0.2">
      <c r="A734" s="5">
        <v>673</v>
      </c>
      <c r="B734" s="138">
        <f>'Expenditures 15-22'!C53</f>
        <v>158203</v>
      </c>
      <c r="C734" s="2" t="s">
        <v>573</v>
      </c>
      <c r="D734" s="2" t="str">
        <f t="shared" si="10"/>
        <v>Error?</v>
      </c>
    </row>
    <row r="735" spans="1:4" x14ac:dyDescent="0.2">
      <c r="A735" s="5">
        <v>674</v>
      </c>
      <c r="B735" s="138">
        <f>'Expenditures 15-22'!C55</f>
        <v>432477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432477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51058</v>
      </c>
      <c r="D739" s="2" t="str">
        <f t="shared" si="10"/>
        <v>Error?</v>
      </c>
    </row>
    <row r="740" spans="1:4" x14ac:dyDescent="0.2">
      <c r="A740" s="5">
        <v>679</v>
      </c>
      <c r="B740" s="138">
        <f>'Expenditures 15-22'!C61</f>
        <v>242028</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172413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465499</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2000</v>
      </c>
      <c r="D754" s="2" t="str">
        <f t="shared" si="10"/>
        <v>Error?</v>
      </c>
    </row>
    <row r="755" spans="1:4" x14ac:dyDescent="0.2">
      <c r="A755" s="5">
        <v>694</v>
      </c>
      <c r="B755" s="138">
        <f>'Expenditures 15-22'!C74</f>
        <v>1483197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5131940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298924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9621</v>
      </c>
      <c r="D775" s="2" t="str">
        <f t="shared" si="11"/>
        <v>Error?</v>
      </c>
    </row>
    <row r="776" spans="1:4" x14ac:dyDescent="0.2">
      <c r="A776" s="5">
        <v>715</v>
      </c>
      <c r="B776" s="138">
        <f>'Expenditures 15-22'!D14</f>
        <v>9336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432991</v>
      </c>
      <c r="C778" s="2" t="s">
        <v>573</v>
      </c>
      <c r="D778" s="2" t="str">
        <f t="shared" si="11"/>
        <v>Error?</v>
      </c>
    </row>
    <row r="779" spans="1:4" x14ac:dyDescent="0.2">
      <c r="A779" s="5">
        <v>718</v>
      </c>
      <c r="B779" s="138">
        <f>'Expenditures 15-22'!D36</f>
        <v>1316</v>
      </c>
      <c r="D779" s="2" t="str">
        <f t="shared" si="11"/>
        <v>Error?</v>
      </c>
    </row>
    <row r="780" spans="1:4" x14ac:dyDescent="0.2">
      <c r="A780" s="5">
        <v>719</v>
      </c>
      <c r="B780" s="138">
        <f>'Expenditures 15-22'!D37</f>
        <v>10834</v>
      </c>
      <c r="D780" s="2" t="str">
        <f t="shared" si="11"/>
        <v>Error?</v>
      </c>
    </row>
    <row r="781" spans="1:4" x14ac:dyDescent="0.2">
      <c r="A781" s="5">
        <v>720</v>
      </c>
      <c r="B781" s="138">
        <f>'Expenditures 15-22'!D38</f>
        <v>1763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10543</v>
      </c>
      <c r="D784" s="2" t="str">
        <f t="shared" si="11"/>
        <v>Error?</v>
      </c>
    </row>
    <row r="785" spans="1:4" x14ac:dyDescent="0.2">
      <c r="A785" s="5">
        <v>724</v>
      </c>
      <c r="B785" s="138">
        <f>'Expenditures 15-22'!D42</f>
        <v>24456</v>
      </c>
      <c r="C785" s="2" t="s">
        <v>573</v>
      </c>
      <c r="D785" s="2" t="str">
        <f t="shared" si="11"/>
        <v>Error?</v>
      </c>
    </row>
    <row r="786" spans="1:4" x14ac:dyDescent="0.2">
      <c r="A786" s="5">
        <v>725</v>
      </c>
      <c r="B786" s="138">
        <f>'Expenditures 15-22'!D44</f>
        <v>36471</v>
      </c>
      <c r="D786" s="2" t="str">
        <f t="shared" si="11"/>
        <v>Error?</v>
      </c>
    </row>
    <row r="787" spans="1:4" x14ac:dyDescent="0.2">
      <c r="A787" s="5">
        <v>726</v>
      </c>
      <c r="B787" s="138">
        <f>'Expenditures 15-22'!D45</f>
        <v>5357</v>
      </c>
      <c r="D787" s="2" t="str">
        <f t="shared" si="11"/>
        <v>Error?</v>
      </c>
    </row>
    <row r="788" spans="1:4" x14ac:dyDescent="0.2">
      <c r="A788" s="5">
        <v>727</v>
      </c>
      <c r="B788" s="138">
        <f>'Expenditures 15-22'!D46</f>
        <v>0</v>
      </c>
      <c r="D788" s="2" t="str">
        <f t="shared" si="11"/>
        <v>Error?</v>
      </c>
    </row>
    <row r="789" spans="1:4" x14ac:dyDescent="0.2">
      <c r="A789" s="5">
        <v>728</v>
      </c>
      <c r="B789" s="138">
        <f>'Expenditures 15-22'!D47</f>
        <v>41828</v>
      </c>
      <c r="C789" s="2" t="s">
        <v>573</v>
      </c>
      <c r="D789" s="2" t="str">
        <f t="shared" si="11"/>
        <v>Error?</v>
      </c>
    </row>
    <row r="790" spans="1:4" x14ac:dyDescent="0.2">
      <c r="A790" s="5">
        <v>729</v>
      </c>
      <c r="B790" s="138">
        <f>'Expenditures 15-22'!D49</f>
        <v>20</v>
      </c>
      <c r="D790" s="2" t="str">
        <f t="shared" si="11"/>
        <v>Error?</v>
      </c>
    </row>
    <row r="791" spans="1:4" x14ac:dyDescent="0.2">
      <c r="A791" s="5">
        <v>730</v>
      </c>
      <c r="B791" s="138">
        <f>'Expenditures 15-22'!D50</f>
        <v>31275</v>
      </c>
      <c r="D791" s="2" t="str">
        <f t="shared" si="11"/>
        <v>Error?</v>
      </c>
    </row>
    <row r="792" spans="1:4" x14ac:dyDescent="0.2">
      <c r="A792" s="5">
        <v>731</v>
      </c>
      <c r="B792" s="138">
        <f>'Expenditures 15-22'!D53</f>
        <v>31295</v>
      </c>
      <c r="C792" s="2" t="s">
        <v>573</v>
      </c>
      <c r="D792" s="2" t="str">
        <f t="shared" si="11"/>
        <v>Error?</v>
      </c>
    </row>
    <row r="793" spans="1:4" x14ac:dyDescent="0.2">
      <c r="A793" s="5">
        <v>732</v>
      </c>
      <c r="B793" s="138">
        <f>'Expenditures 15-22'!D55</f>
        <v>17865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17865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5623</v>
      </c>
      <c r="D797" s="2" t="str">
        <f t="shared" si="11"/>
        <v>Error?</v>
      </c>
    </row>
    <row r="798" spans="1:4" x14ac:dyDescent="0.2">
      <c r="A798" s="5">
        <v>737</v>
      </c>
      <c r="B798" s="138">
        <f>'Expenditures 15-22'!D61</f>
        <v>37855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31660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75138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190582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623573</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24861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6220</v>
      </c>
      <c r="D833" s="2" t="str">
        <f t="shared" si="12"/>
        <v>Error?</v>
      </c>
    </row>
    <row r="834" spans="1:4" x14ac:dyDescent="0.2">
      <c r="A834" s="5">
        <v>773</v>
      </c>
      <c r="B834" s="138">
        <f>'Expenditures 15-22'!E14</f>
        <v>32231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94384</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89801</v>
      </c>
      <c r="D842" s="2" t="str">
        <f t="shared" si="12"/>
        <v>Error?</v>
      </c>
    </row>
    <row r="843" spans="1:4" x14ac:dyDescent="0.2">
      <c r="A843" s="5">
        <v>782</v>
      </c>
      <c r="B843" s="138">
        <f>'Expenditures 15-22'!E42</f>
        <v>89826</v>
      </c>
      <c r="C843" s="2" t="s">
        <v>573</v>
      </c>
      <c r="D843" s="2" t="str">
        <f t="shared" si="12"/>
        <v>Error?</v>
      </c>
    </row>
    <row r="844" spans="1:4" x14ac:dyDescent="0.2">
      <c r="A844" s="5">
        <v>783</v>
      </c>
      <c r="B844" s="138">
        <f>'Expenditures 15-22'!E44</f>
        <v>45615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13849</v>
      </c>
      <c r="D846" s="2" t="str">
        <f t="shared" si="12"/>
        <v>Error?</v>
      </c>
    </row>
    <row r="847" spans="1:4" x14ac:dyDescent="0.2">
      <c r="A847" s="5">
        <v>786</v>
      </c>
      <c r="B847" s="138">
        <f>'Expenditures 15-22'!E47</f>
        <v>59464</v>
      </c>
      <c r="C847" s="2" t="s">
        <v>573</v>
      </c>
      <c r="D847" s="2" t="str">
        <f t="shared" si="12"/>
        <v>Error?</v>
      </c>
    </row>
    <row r="848" spans="1:4" x14ac:dyDescent="0.2">
      <c r="A848" s="5">
        <v>787</v>
      </c>
      <c r="B848" s="138">
        <f>'Expenditures 15-22'!E49</f>
        <v>28825</v>
      </c>
      <c r="D848" s="2" t="str">
        <f t="shared" si="12"/>
        <v>Error?</v>
      </c>
    </row>
    <row r="849" spans="1:4" x14ac:dyDescent="0.2">
      <c r="A849" s="5">
        <v>788</v>
      </c>
      <c r="B849" s="138">
        <f>'Expenditures 15-22'!E50</f>
        <v>3881</v>
      </c>
      <c r="D849" s="2" t="str">
        <f t="shared" si="12"/>
        <v>Error?</v>
      </c>
    </row>
    <row r="850" spans="1:4" x14ac:dyDescent="0.2">
      <c r="A850" s="5">
        <v>789</v>
      </c>
      <c r="B850" s="138">
        <f>'Expenditures 15-22'!E53</f>
        <v>32706</v>
      </c>
      <c r="C850" s="2" t="s">
        <v>573</v>
      </c>
      <c r="D850" s="2" t="str">
        <f t="shared" si="12"/>
        <v>Error?</v>
      </c>
    </row>
    <row r="851" spans="1:4" x14ac:dyDescent="0.2">
      <c r="A851" s="5">
        <v>790</v>
      </c>
      <c r="B851" s="138">
        <f>'Expenditures 15-22'!E55</f>
        <v>1298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1298</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5578</v>
      </c>
      <c r="D855" s="2" t="str">
        <f t="shared" si="12"/>
        <v>Error?</v>
      </c>
    </row>
    <row r="856" spans="1:4" x14ac:dyDescent="0.2">
      <c r="A856" s="5">
        <v>795</v>
      </c>
      <c r="B856" s="138">
        <f>'Expenditures 15-22'!E61</f>
        <v>11183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5147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21908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205202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1003204</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95597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9660</v>
      </c>
      <c r="D891" s="2" t="str">
        <f t="shared" si="12"/>
        <v>Error?</v>
      </c>
    </row>
    <row r="892" spans="1:4" x14ac:dyDescent="0.2">
      <c r="A892" s="5">
        <v>831</v>
      </c>
      <c r="B892" s="138">
        <f>'Expenditures 15-22'!F14</f>
        <v>21216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216518</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2338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98827</v>
      </c>
      <c r="D900" s="2" t="str">
        <f t="shared" si="13"/>
        <v>Error?</v>
      </c>
    </row>
    <row r="901" spans="1:4" x14ac:dyDescent="0.2">
      <c r="A901" s="5">
        <v>840</v>
      </c>
      <c r="B901" s="138">
        <f>'Expenditures 15-22'!F42</f>
        <v>101165</v>
      </c>
      <c r="C901" s="2" t="s">
        <v>573</v>
      </c>
      <c r="D901" s="2" t="str">
        <f t="shared" si="13"/>
        <v>Error?</v>
      </c>
    </row>
    <row r="902" spans="1:4" x14ac:dyDescent="0.2">
      <c r="A902" s="5">
        <v>841</v>
      </c>
      <c r="B902" s="138">
        <f>'Expenditures 15-22'!F44</f>
        <v>938</v>
      </c>
      <c r="D902" s="2" t="str">
        <f t="shared" si="13"/>
        <v>Error?</v>
      </c>
    </row>
    <row r="903" spans="1:4" x14ac:dyDescent="0.2">
      <c r="A903" s="5">
        <v>842</v>
      </c>
      <c r="B903" s="138">
        <f>'Expenditures 15-22'!F45</f>
        <v>6838</v>
      </c>
      <c r="D903" s="2" t="str">
        <f t="shared" si="13"/>
        <v>Error?</v>
      </c>
    </row>
    <row r="904" spans="1:4" x14ac:dyDescent="0.2">
      <c r="A904" s="5">
        <v>843</v>
      </c>
      <c r="B904" s="138">
        <f>'Expenditures 15-22'!F46</f>
        <v>3803</v>
      </c>
      <c r="D904" s="2" t="str">
        <f t="shared" si="13"/>
        <v>Error?</v>
      </c>
    </row>
    <row r="905" spans="1:4" x14ac:dyDescent="0.2">
      <c r="A905" s="5">
        <v>844</v>
      </c>
      <c r="B905" s="138">
        <f>'Expenditures 15-22'!F47</f>
        <v>11579</v>
      </c>
      <c r="C905" s="2" t="s">
        <v>573</v>
      </c>
      <c r="D905" s="2" t="str">
        <f t="shared" si="13"/>
        <v>Error?</v>
      </c>
    </row>
    <row r="906" spans="1:4" x14ac:dyDescent="0.2">
      <c r="A906" s="5">
        <v>845</v>
      </c>
      <c r="B906" s="138">
        <f>'Expenditures 15-22'!F49</f>
        <v>6126</v>
      </c>
      <c r="D906" s="2" t="str">
        <f t="shared" si="13"/>
        <v>Error?</v>
      </c>
    </row>
    <row r="907" spans="1:4" x14ac:dyDescent="0.2">
      <c r="A907" s="5">
        <v>846</v>
      </c>
      <c r="B907" s="138">
        <f>'Expenditures 15-22'!F50</f>
        <v>2334</v>
      </c>
      <c r="D907" s="2" t="str">
        <f t="shared" si="13"/>
        <v>Error?</v>
      </c>
    </row>
    <row r="908" spans="1:4" x14ac:dyDescent="0.2">
      <c r="A908" s="5">
        <v>847</v>
      </c>
      <c r="B908" s="138">
        <f>'Expenditures 15-22'!F53</f>
        <v>8460</v>
      </c>
      <c r="C908" s="2" t="s">
        <v>573</v>
      </c>
      <c r="D908" s="2" t="str">
        <f t="shared" si="13"/>
        <v>Error?</v>
      </c>
    </row>
    <row r="909" spans="1:4" x14ac:dyDescent="0.2">
      <c r="A909" s="5">
        <v>848</v>
      </c>
      <c r="B909" s="138">
        <f>'Expenditures 15-22'!F55</f>
        <v>1936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1936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1106</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261717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262823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385963</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602481</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2435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182304</v>
      </c>
      <c r="D958" s="2" t="str">
        <f t="shared" si="13"/>
        <v>Error?</v>
      </c>
    </row>
    <row r="959" spans="1:4" x14ac:dyDescent="0.2">
      <c r="A959" s="5">
        <v>898</v>
      </c>
      <c r="B959" s="138">
        <f>'Expenditures 15-22'!G42</f>
        <v>182304</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6742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6742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189046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191481</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4159</v>
      </c>
      <c r="D1022" s="2" t="str">
        <f t="shared" si="14"/>
        <v>Error?</v>
      </c>
    </row>
    <row r="1023" spans="1:4" x14ac:dyDescent="0.2">
      <c r="A1023" s="5">
        <v>962</v>
      </c>
      <c r="B1023" s="138">
        <f>'Expenditures 15-22'!H50</f>
        <v>1400</v>
      </c>
      <c r="D1023" s="2" t="str">
        <f t="shared" ref="D1023:D1086" si="15">IF(ISBLANK(B1023),"OK",IF(A1023-B1023=0,"OK","Error?"))</f>
        <v>Error?</v>
      </c>
    </row>
    <row r="1024" spans="1:4" x14ac:dyDescent="0.2">
      <c r="A1024" s="5">
        <v>963</v>
      </c>
      <c r="B1024" s="138">
        <f>'Expenditures 15-22'!H53</f>
        <v>5559</v>
      </c>
      <c r="C1024" s="2" t="s">
        <v>573</v>
      </c>
      <c r="D1024" s="2" t="str">
        <f t="shared" si="15"/>
        <v>Error?</v>
      </c>
    </row>
    <row r="1025" spans="1:4" x14ac:dyDescent="0.2">
      <c r="A1025" s="5">
        <v>964</v>
      </c>
      <c r="B1025" s="138">
        <f>'Expenditures 15-22'!H55</f>
        <v>1425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1425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6984</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4528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11512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2965301</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189817</v>
      </c>
      <c r="C1105" s="2" t="s">
        <v>573</v>
      </c>
      <c r="D1105" s="2" t="str">
        <f t="shared" si="16"/>
        <v>Error?</v>
      </c>
    </row>
    <row r="1106" spans="1:4" x14ac:dyDescent="0.2">
      <c r="A1106" s="5">
        <v>1045</v>
      </c>
      <c r="B1106" s="138">
        <f>'Expenditures 15-22'!K14</f>
        <v>202077</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4395071</v>
      </c>
      <c r="C1108" s="2" t="s">
        <v>573</v>
      </c>
      <c r="D1108" s="2" t="str">
        <f t="shared" si="16"/>
        <v>Error?</v>
      </c>
    </row>
    <row r="1109" spans="1:4" x14ac:dyDescent="0.2">
      <c r="A1109" s="5">
        <v>1048</v>
      </c>
      <c r="B1109" s="138">
        <f>'Expenditures 15-22'!K36</f>
        <v>32100</v>
      </c>
      <c r="C1109" s="2" t="s">
        <v>573</v>
      </c>
      <c r="D1109" s="2" t="str">
        <f t="shared" si="16"/>
        <v>Error?</v>
      </c>
    </row>
    <row r="1110" spans="1:4" x14ac:dyDescent="0.2">
      <c r="A1110" s="5">
        <v>1049</v>
      </c>
      <c r="B1110" s="138">
        <f>'Expenditures 15-22'!K37</f>
        <v>137107</v>
      </c>
      <c r="C1110" s="2" t="s">
        <v>573</v>
      </c>
      <c r="D1110" s="2" t="str">
        <f t="shared" si="16"/>
        <v>Error?</v>
      </c>
    </row>
    <row r="1111" spans="1:4" x14ac:dyDescent="0.2">
      <c r="A1111" s="5">
        <v>1050</v>
      </c>
      <c r="B1111" s="138">
        <f>'Expenditures 15-22'!K38</f>
        <v>30963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518744</v>
      </c>
      <c r="C1114" s="2" t="s">
        <v>573</v>
      </c>
      <c r="D1114" s="2" t="str">
        <f t="shared" si="16"/>
        <v>Error?</v>
      </c>
    </row>
    <row r="1115" spans="1:4" x14ac:dyDescent="0.2">
      <c r="A1115" s="5">
        <v>1054</v>
      </c>
      <c r="B1115" s="138">
        <f>'Expenditures 15-22'!K42</f>
        <v>718914</v>
      </c>
      <c r="C1115" s="2" t="s">
        <v>573</v>
      </c>
      <c r="D1115" s="2" t="str">
        <f t="shared" si="16"/>
        <v>Error?</v>
      </c>
    </row>
    <row r="1116" spans="1:4" x14ac:dyDescent="0.2">
      <c r="A1116" s="5">
        <v>1055</v>
      </c>
      <c r="B1116" s="138">
        <f>'Expenditures 15-22'!K44</f>
        <v>157866</v>
      </c>
      <c r="C1116" s="2" t="s">
        <v>573</v>
      </c>
      <c r="D1116" s="2" t="str">
        <f t="shared" si="16"/>
        <v>Error?</v>
      </c>
    </row>
    <row r="1117" spans="1:4" x14ac:dyDescent="0.2">
      <c r="A1117" s="5">
        <v>1056</v>
      </c>
      <c r="B1117" s="138">
        <f>'Expenditures 15-22'!K45</f>
        <v>41208</v>
      </c>
      <c r="C1117" s="2" t="s">
        <v>573</v>
      </c>
      <c r="D1117" s="2" t="str">
        <f t="shared" si="16"/>
        <v>Error?</v>
      </c>
    </row>
    <row r="1118" spans="1:4" x14ac:dyDescent="0.2">
      <c r="A1118" s="5">
        <v>1057</v>
      </c>
      <c r="B1118" s="138">
        <f>'Expenditures 15-22'!K46</f>
        <v>17652</v>
      </c>
      <c r="C1118" s="2" t="s">
        <v>573</v>
      </c>
      <c r="D1118" s="2" t="str">
        <f t="shared" si="16"/>
        <v>Error?</v>
      </c>
    </row>
    <row r="1119" spans="1:4" x14ac:dyDescent="0.2">
      <c r="A1119" s="5">
        <v>1058</v>
      </c>
      <c r="B1119" s="138">
        <f>'Expenditures 15-22'!K47</f>
        <v>216726</v>
      </c>
      <c r="C1119" s="2" t="s">
        <v>573</v>
      </c>
      <c r="D1119" s="2" t="str">
        <f t="shared" si="16"/>
        <v>Error?</v>
      </c>
    </row>
    <row r="1120" spans="1:4" x14ac:dyDescent="0.2">
      <c r="A1120" s="5">
        <v>1059</v>
      </c>
      <c r="B1120" s="138">
        <f>'Expenditures 15-22'!K49</f>
        <v>72658</v>
      </c>
      <c r="C1120" s="2" t="s">
        <v>573</v>
      </c>
      <c r="D1120" s="2" t="str">
        <f t="shared" si="16"/>
        <v>Error?</v>
      </c>
    </row>
    <row r="1121" spans="1:4" x14ac:dyDescent="0.2">
      <c r="A1121" s="5">
        <v>1060</v>
      </c>
      <c r="B1121" s="138">
        <f>'Expenditures 15-22'!K50</f>
        <v>163565</v>
      </c>
      <c r="C1121" s="2" t="s">
        <v>573</v>
      </c>
      <c r="D1121" s="2" t="str">
        <f t="shared" si="16"/>
        <v>Error?</v>
      </c>
    </row>
    <row r="1122" spans="1:4" x14ac:dyDescent="0.2">
      <c r="A1122" s="5">
        <v>1061</v>
      </c>
      <c r="B1122" s="138">
        <f>'Expenditures 15-22'!K53</f>
        <v>236223</v>
      </c>
      <c r="C1122" s="2" t="s">
        <v>573</v>
      </c>
      <c r="D1122" s="2" t="str">
        <f t="shared" si="16"/>
        <v>Error?</v>
      </c>
    </row>
    <row r="1123" spans="1:4" x14ac:dyDescent="0.2">
      <c r="A1123" s="5">
        <v>1062</v>
      </c>
      <c r="B1123" s="138">
        <f>'Expenditures 15-22'!K55</f>
        <v>455001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455001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63365</v>
      </c>
      <c r="C1127" s="2" t="s">
        <v>573</v>
      </c>
      <c r="D1127" s="2" t="str">
        <f t="shared" si="16"/>
        <v>Error?</v>
      </c>
    </row>
    <row r="1128" spans="1:4" x14ac:dyDescent="0.2">
      <c r="A1128" s="5">
        <v>1067</v>
      </c>
      <c r="B1128" s="138">
        <f>'Expenditures 15-22'!K61</f>
        <v>291066</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477679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832110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2000</v>
      </c>
      <c r="C1142" s="2" t="s">
        <v>573</v>
      </c>
      <c r="D1142" s="2" t="str">
        <f t="shared" si="16"/>
        <v>Error?</v>
      </c>
    </row>
    <row r="1143" spans="1:4" x14ac:dyDescent="0.2">
      <c r="A1143" s="5">
        <v>1082</v>
      </c>
      <c r="B1143" s="138">
        <f>'Expenditures 15-22'!K74</f>
        <v>2460974</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708146</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7564191</v>
      </c>
      <c r="C1152" s="2" t="s">
        <v>573</v>
      </c>
      <c r="D1152" s="2" t="str">
        <f t="shared" si="17"/>
        <v>Error?</v>
      </c>
    </row>
    <row r="1153" spans="1:4" x14ac:dyDescent="0.2">
      <c r="A1153" s="5">
        <v>1092</v>
      </c>
      <c r="B1153" s="138">
        <f>'Expenditures 15-22'!K115</f>
        <v>-788708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75557</v>
      </c>
      <c r="D1221" s="2" t="str">
        <f t="shared" si="18"/>
        <v>Error?</v>
      </c>
    </row>
    <row r="1222" spans="1:4" x14ac:dyDescent="0.2">
      <c r="A1222" s="10">
        <v>1161</v>
      </c>
      <c r="D1222" s="2" t="str">
        <f t="shared" si="18"/>
        <v>OK</v>
      </c>
    </row>
    <row r="1223" spans="1:4" x14ac:dyDescent="0.2">
      <c r="A1223" s="5">
        <v>1162</v>
      </c>
      <c r="B1223" s="138">
        <f>'Expenditures 15-22'!C127</f>
        <v>75557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75557</v>
      </c>
      <c r="C1225" s="2" t="s">
        <v>573</v>
      </c>
      <c r="D1225" s="2" t="str">
        <f t="shared" si="18"/>
        <v>Error?</v>
      </c>
    </row>
    <row r="1226" spans="1:4" x14ac:dyDescent="0.2">
      <c r="A1226" s="5">
        <v>1165</v>
      </c>
      <c r="B1226" s="138">
        <f>'Expenditures 15-22'!C151</f>
        <v>75557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7521</v>
      </c>
      <c r="D1229" s="2" t="str">
        <f t="shared" si="18"/>
        <v>Error?</v>
      </c>
    </row>
    <row r="1230" spans="1:4" x14ac:dyDescent="0.2">
      <c r="A1230" s="10">
        <v>1169</v>
      </c>
      <c r="D1230" s="2" t="str">
        <f t="shared" si="18"/>
        <v>OK</v>
      </c>
    </row>
    <row r="1231" spans="1:4" x14ac:dyDescent="0.2">
      <c r="A1231" s="5">
        <v>1170</v>
      </c>
      <c r="B1231" s="138">
        <f>'Expenditures 15-22'!D127</f>
        <v>7521</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7521</v>
      </c>
      <c r="C1233" s="2" t="s">
        <v>573</v>
      </c>
      <c r="D1233" s="2" t="str">
        <f t="shared" si="18"/>
        <v>Error?</v>
      </c>
    </row>
    <row r="1234" spans="1:4" x14ac:dyDescent="0.2">
      <c r="A1234" s="5">
        <v>1173</v>
      </c>
      <c r="B1234" s="138">
        <f>'Expenditures 15-22'!D151</f>
        <v>7521</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276333</v>
      </c>
      <c r="D1237" s="2" t="str">
        <f t="shared" si="18"/>
        <v>Error?</v>
      </c>
    </row>
    <row r="1238" spans="1:4" x14ac:dyDescent="0.2">
      <c r="A1238" s="10">
        <v>1177</v>
      </c>
      <c r="D1238" s="2" t="str">
        <f t="shared" si="18"/>
        <v>OK</v>
      </c>
    </row>
    <row r="1239" spans="1:4" x14ac:dyDescent="0.2">
      <c r="A1239" s="5">
        <v>1178</v>
      </c>
      <c r="B1239" s="138">
        <f>'Expenditures 15-22'!E127</f>
        <v>276333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276333</v>
      </c>
      <c r="C1241" s="2" t="s">
        <v>573</v>
      </c>
      <c r="D1241" s="2" t="str">
        <f t="shared" si="18"/>
        <v>Error?</v>
      </c>
    </row>
    <row r="1242" spans="1:4" x14ac:dyDescent="0.2">
      <c r="A1242" s="5">
        <v>1181</v>
      </c>
      <c r="B1242" s="138">
        <f>'Expenditures 15-22'!E151</f>
        <v>276333</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71635</v>
      </c>
      <c r="D1245" s="2" t="str">
        <f t="shared" si="18"/>
        <v>Error?</v>
      </c>
    </row>
    <row r="1246" spans="1:4" x14ac:dyDescent="0.2">
      <c r="A1246" s="10">
        <v>1185</v>
      </c>
      <c r="D1246" s="2" t="str">
        <f t="shared" si="18"/>
        <v>OK</v>
      </c>
    </row>
    <row r="1247" spans="1:4" x14ac:dyDescent="0.2">
      <c r="A1247" s="5">
        <v>1186</v>
      </c>
      <c r="B1247" s="138">
        <f>'Expenditures 15-22'!F127</f>
        <v>71635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71635</v>
      </c>
      <c r="C1249" s="2" t="s">
        <v>573</v>
      </c>
      <c r="D1249" s="2" t="str">
        <f t="shared" si="18"/>
        <v>Error?</v>
      </c>
    </row>
    <row r="1250" spans="1:4" x14ac:dyDescent="0.2">
      <c r="A1250" s="5">
        <v>1189</v>
      </c>
      <c r="B1250" s="138">
        <f>'Expenditures 15-22'!F151</f>
        <v>71635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20804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20804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20804</v>
      </c>
      <c r="C1258" s="2" t="s">
        <v>573</v>
      </c>
      <c r="D1258" s="2" t="str">
        <f t="shared" si="18"/>
        <v>Error?</v>
      </c>
    </row>
    <row r="1259" spans="1:4" x14ac:dyDescent="0.2">
      <c r="A1259" s="5">
        <v>1198</v>
      </c>
      <c r="B1259" s="138">
        <f>'Expenditures 15-22'!G151</f>
        <v>20804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451850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451850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451850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451850</v>
      </c>
      <c r="C1288" s="2" t="s">
        <v>573</v>
      </c>
      <c r="D1288" s="2" t="str">
        <f t="shared" si="19"/>
        <v>Error?</v>
      </c>
    </row>
    <row r="1289" spans="1:4" x14ac:dyDescent="0.2">
      <c r="A1289" s="5">
        <v>1228</v>
      </c>
      <c r="B1289" s="138">
        <f>'Expenditures 15-22'!K152</f>
        <v>-59148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30500</v>
      </c>
      <c r="D1307" s="2" t="str">
        <f t="shared" si="19"/>
        <v>Error?</v>
      </c>
    </row>
    <row r="1308" spans="1:4" x14ac:dyDescent="0.2">
      <c r="A1308" s="5">
        <v>1247</v>
      </c>
      <c r="B1308" s="138">
        <f>'Expenditures 15-22'!E172</f>
        <v>30500</v>
      </c>
      <c r="C1308" s="2" t="s">
        <v>573</v>
      </c>
      <c r="D1308" s="2" t="str">
        <f t="shared" si="19"/>
        <v>Error?</v>
      </c>
    </row>
    <row r="1309" spans="1:4" x14ac:dyDescent="0.2">
      <c r="A1309" s="5">
        <v>1248</v>
      </c>
      <c r="B1309" s="138">
        <f>'Expenditures 15-22'!E174</f>
        <v>30500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178000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495739</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673739</v>
      </c>
      <c r="C1317" s="2" t="s">
        <v>573</v>
      </c>
      <c r="D1317" s="2" t="str">
        <f t="shared" si="19"/>
        <v>Error?</v>
      </c>
    </row>
    <row r="1318" spans="1:4" x14ac:dyDescent="0.2">
      <c r="A1318" s="5">
        <v>1257</v>
      </c>
      <c r="B1318" s="138">
        <f>'Expenditures 15-22'!H174</f>
        <v>673739</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178000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495739</v>
      </c>
      <c r="C1329" s="2" t="s">
        <v>573</v>
      </c>
      <c r="D1329" s="2" t="str">
        <f t="shared" si="19"/>
        <v>Error?</v>
      </c>
    </row>
    <row r="1330" spans="1:4" x14ac:dyDescent="0.2">
      <c r="A1330" s="5">
        <v>1269</v>
      </c>
      <c r="B1330" s="138">
        <f>'Expenditures 15-22'!K171</f>
        <v>30500</v>
      </c>
      <c r="C1330" s="2" t="s">
        <v>573</v>
      </c>
      <c r="D1330" s="2" t="str">
        <f t="shared" si="19"/>
        <v>Error?</v>
      </c>
    </row>
    <row r="1331" spans="1:4" x14ac:dyDescent="0.2">
      <c r="A1331" s="5">
        <v>1270</v>
      </c>
      <c r="B1331" s="138">
        <f>'Expenditures 15-22'!K172</f>
        <v>704239</v>
      </c>
      <c r="C1331" s="2" t="s">
        <v>573</v>
      </c>
      <c r="D1331" s="2" t="str">
        <f t="shared" si="19"/>
        <v>Error?</v>
      </c>
    </row>
    <row r="1332" spans="1:4" x14ac:dyDescent="0.2">
      <c r="A1332" s="5">
        <v>1271</v>
      </c>
      <c r="B1332" s="138">
        <f>'Expenditures 15-22'!K174</f>
        <v>704239</v>
      </c>
      <c r="C1332" s="2" t="s">
        <v>573</v>
      </c>
      <c r="D1332" s="2" t="str">
        <f t="shared" si="19"/>
        <v>Error?</v>
      </c>
    </row>
    <row r="1333" spans="1:4" x14ac:dyDescent="0.2">
      <c r="A1333" s="5">
        <v>1272</v>
      </c>
      <c r="B1333" s="138">
        <f>'Expenditures 15-22'!K175</f>
        <v>-523333</v>
      </c>
      <c r="C1333" s="2" t="s">
        <v>573</v>
      </c>
      <c r="D1333" s="2" t="str">
        <f t="shared" si="19"/>
        <v>Error?</v>
      </c>
    </row>
    <row r="1334" spans="1:4" x14ac:dyDescent="0.2">
      <c r="A1334" s="10">
        <v>1273</v>
      </c>
      <c r="D1334" s="2" t="str">
        <f t="shared" si="19"/>
        <v>OK</v>
      </c>
    </row>
    <row r="1335" spans="1:4" x14ac:dyDescent="0.2">
      <c r="A1335" s="5">
        <v>1274</v>
      </c>
      <c r="B1335" s="138">
        <f>'Expenditures 15-22'!C182</f>
        <v>241200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241200</v>
      </c>
      <c r="C1339" s="2" t="s">
        <v>573</v>
      </c>
      <c r="D1339" s="2" t="str">
        <f t="shared" si="19"/>
        <v>Error?</v>
      </c>
    </row>
    <row r="1340" spans="1:4" x14ac:dyDescent="0.2">
      <c r="A1340" s="5">
        <v>1279</v>
      </c>
      <c r="B1340" s="138">
        <f>'Expenditures 15-22'!C210</f>
        <v>241200</v>
      </c>
      <c r="C1340" s="2" t="s">
        <v>573</v>
      </c>
      <c r="D1340" s="2" t="str">
        <f t="shared" si="19"/>
        <v>Error?</v>
      </c>
    </row>
    <row r="1341" spans="1:4" x14ac:dyDescent="0.2">
      <c r="A1341" s="5">
        <v>1280</v>
      </c>
      <c r="B1341" s="138">
        <f>'Expenditures 15-22'!D182</f>
        <v>17438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17438</v>
      </c>
      <c r="C1345" s="2" t="s">
        <v>573</v>
      </c>
      <c r="D1345" s="2" t="str">
        <f t="shared" si="20"/>
        <v>Error?</v>
      </c>
    </row>
    <row r="1346" spans="1:4" x14ac:dyDescent="0.2">
      <c r="A1346" s="5">
        <v>1285</v>
      </c>
      <c r="B1346" s="138">
        <f>'Expenditures 15-22'!D210</f>
        <v>17438</v>
      </c>
      <c r="C1346" s="2" t="s">
        <v>573</v>
      </c>
      <c r="D1346" s="2" t="str">
        <f t="shared" si="20"/>
        <v>Error?</v>
      </c>
    </row>
    <row r="1347" spans="1:4" x14ac:dyDescent="0.2">
      <c r="A1347" s="5">
        <v>1286</v>
      </c>
      <c r="B1347" s="138">
        <f>'Expenditures 15-22'!E182</f>
        <v>158184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158184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158184</v>
      </c>
      <c r="C1353" s="2" t="s">
        <v>573</v>
      </c>
      <c r="D1353" s="2" t="str">
        <f t="shared" si="20"/>
        <v>Error?</v>
      </c>
    </row>
    <row r="1354" spans="1:4" x14ac:dyDescent="0.2">
      <c r="A1354" s="5">
        <v>1293</v>
      </c>
      <c r="B1354" s="138">
        <f>'Expenditures 15-22'!F182</f>
        <v>61006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61006</v>
      </c>
      <c r="C1358" s="2" t="s">
        <v>573</v>
      </c>
      <c r="D1358" s="2" t="str">
        <f t="shared" si="20"/>
        <v>Error?</v>
      </c>
    </row>
    <row r="1359" spans="1:4" x14ac:dyDescent="0.2">
      <c r="A1359" s="5">
        <v>1298</v>
      </c>
      <c r="B1359" s="138">
        <f>'Expenditures 15-22'!F210</f>
        <v>61006</v>
      </c>
      <c r="C1359" s="2" t="s">
        <v>573</v>
      </c>
      <c r="D1359" s="2" t="str">
        <f t="shared" si="20"/>
        <v>Error?</v>
      </c>
    </row>
    <row r="1360" spans="1:4" x14ac:dyDescent="0.2">
      <c r="A1360" s="5">
        <v>1299</v>
      </c>
      <c r="B1360" s="138">
        <f>'Expenditures 15-22'!G182</f>
        <v>5839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5839</v>
      </c>
      <c r="C1364" s="2" t="s">
        <v>573</v>
      </c>
      <c r="D1364" s="2" t="str">
        <f t="shared" si="20"/>
        <v>Error?</v>
      </c>
    </row>
    <row r="1365" spans="1:4" x14ac:dyDescent="0.2">
      <c r="A1365" s="5">
        <v>1304</v>
      </c>
      <c r="B1365" s="138">
        <f>'Expenditures 15-22'!G210</f>
        <v>5839</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483667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483667</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483667</v>
      </c>
      <c r="C1388" s="2" t="s">
        <v>573</v>
      </c>
      <c r="D1388" s="2" t="str">
        <f t="shared" si="20"/>
        <v>Error?</v>
      </c>
    </row>
    <row r="1389" spans="1:4" x14ac:dyDescent="0.2">
      <c r="A1389" s="5">
        <v>1328</v>
      </c>
      <c r="B1389" s="138">
        <f>'Expenditures 15-22'!K211</f>
        <v>7930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2255</v>
      </c>
      <c r="D1407" s="2" t="str">
        <f t="shared" ref="D1407:D1470" si="21">IF(ISBLANK(B1407),"OK",IF(A1407-B1407=0,"OK","Error?"))</f>
        <v>Error?</v>
      </c>
    </row>
    <row r="1408" spans="1:4" x14ac:dyDescent="0.2">
      <c r="A1408" s="5">
        <v>1347</v>
      </c>
      <c r="B1408" s="138">
        <f>'Expenditures 15-22'!D223</f>
        <v>5522</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63936</v>
      </c>
      <c r="C1410" s="2" t="s">
        <v>573</v>
      </c>
      <c r="D1410" s="2" t="str">
        <f t="shared" si="21"/>
        <v>Error?</v>
      </c>
    </row>
    <row r="1411" spans="1:4" x14ac:dyDescent="0.2">
      <c r="A1411" s="5">
        <v>1350</v>
      </c>
      <c r="B1411" s="138">
        <f>'Expenditures 15-22'!D232</f>
        <v>2746</v>
      </c>
      <c r="D1411" s="2" t="str">
        <f t="shared" si="21"/>
        <v>Error?</v>
      </c>
    </row>
    <row r="1412" spans="1:4" x14ac:dyDescent="0.2">
      <c r="A1412" s="5">
        <v>1351</v>
      </c>
      <c r="B1412" s="138">
        <f>'Expenditures 15-22'!D233</f>
        <v>1784</v>
      </c>
      <c r="D1412" s="2" t="str">
        <f t="shared" si="21"/>
        <v>Error?</v>
      </c>
    </row>
    <row r="1413" spans="1:4" x14ac:dyDescent="0.2">
      <c r="A1413" s="5">
        <v>1352</v>
      </c>
      <c r="B1413" s="138">
        <f>'Expenditures 15-22'!D234</f>
        <v>2368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11876</v>
      </c>
      <c r="D1416" s="2" t="str">
        <f t="shared" si="21"/>
        <v>Error?</v>
      </c>
    </row>
    <row r="1417" spans="1:4" x14ac:dyDescent="0.2">
      <c r="A1417" s="5">
        <v>1356</v>
      </c>
      <c r="B1417" s="138">
        <f>'Expenditures 15-22'!D238</f>
        <v>18774</v>
      </c>
      <c r="C1417" s="2" t="s">
        <v>573</v>
      </c>
      <c r="D1417" s="2" t="str">
        <f t="shared" si="21"/>
        <v>Error?</v>
      </c>
    </row>
    <row r="1418" spans="1:4" x14ac:dyDescent="0.2">
      <c r="A1418" s="5">
        <v>1357</v>
      </c>
      <c r="B1418" s="138">
        <f>'Expenditures 15-22'!D240</f>
        <v>981</v>
      </c>
      <c r="D1418" s="2" t="str">
        <f t="shared" si="21"/>
        <v>Error?</v>
      </c>
    </row>
    <row r="1419" spans="1:4" x14ac:dyDescent="0.2">
      <c r="A1419" s="5">
        <v>1358</v>
      </c>
      <c r="B1419" s="138">
        <f>'Expenditures 15-22'!D241</f>
        <v>2550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3531</v>
      </c>
      <c r="C1421" s="2" t="s">
        <v>573</v>
      </c>
      <c r="D1421" s="2" t="str">
        <f t="shared" si="21"/>
        <v>Error?</v>
      </c>
    </row>
    <row r="1422" spans="1:4" x14ac:dyDescent="0.2">
      <c r="A1422" s="5">
        <v>1361</v>
      </c>
      <c r="B1422" s="138">
        <f>'Expenditures 15-22'!D245</f>
        <v>2975</v>
      </c>
      <c r="D1422" s="2" t="str">
        <f t="shared" si="21"/>
        <v>Error?</v>
      </c>
    </row>
    <row r="1423" spans="1:4" x14ac:dyDescent="0.2">
      <c r="A1423" s="5">
        <v>1362</v>
      </c>
      <c r="B1423" s="138">
        <f>'Expenditures 15-22'!D246</f>
        <v>2028</v>
      </c>
      <c r="D1423" s="2" t="str">
        <f t="shared" si="21"/>
        <v>Error?</v>
      </c>
    </row>
    <row r="1424" spans="1:4" x14ac:dyDescent="0.2">
      <c r="A1424" s="5">
        <v>1363</v>
      </c>
      <c r="B1424" s="138">
        <f>'Expenditures 15-22'!D257</f>
        <v>5003</v>
      </c>
      <c r="C1424" s="2" t="s">
        <v>573</v>
      </c>
      <c r="D1424" s="2" t="str">
        <f t="shared" si="21"/>
        <v>Error?</v>
      </c>
    </row>
    <row r="1425" spans="1:4" x14ac:dyDescent="0.2">
      <c r="A1425" s="5">
        <v>1364</v>
      </c>
      <c r="B1425" s="138">
        <f>'Expenditures 15-22'!D259</f>
        <v>14440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14440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4515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27719</v>
      </c>
      <c r="D1431" s="2" t="str">
        <f t="shared" si="21"/>
        <v>Error?</v>
      </c>
    </row>
    <row r="1432" spans="1:4" x14ac:dyDescent="0.2">
      <c r="A1432" s="5">
        <v>1371</v>
      </c>
      <c r="B1432" s="138">
        <f>'Expenditures 15-22'!D267</f>
        <v>20697</v>
      </c>
      <c r="D1432" s="2" t="str">
        <f t="shared" si="21"/>
        <v>Error?</v>
      </c>
    </row>
    <row r="1433" spans="1:4" x14ac:dyDescent="0.2">
      <c r="A1433" s="5">
        <v>1372</v>
      </c>
      <c r="B1433" s="138">
        <f>'Expenditures 15-22'!D268</f>
        <v>15150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68081</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169</v>
      </c>
      <c r="D1445" s="2" t="str">
        <f t="shared" si="21"/>
        <v>Error?</v>
      </c>
    </row>
    <row r="1446" spans="1:4" x14ac:dyDescent="0.2">
      <c r="A1446" s="5">
        <v>1385</v>
      </c>
      <c r="B1446" s="138">
        <f>'Expenditures 15-22'!D279</f>
        <v>109998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173934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2255</v>
      </c>
      <c r="C1471" s="2" t="s">
        <v>573</v>
      </c>
      <c r="D1471" s="2" t="str">
        <f t="shared" ref="D1471:D1534" si="22">IF(ISBLANK(B1471),"OK",IF(A1471-B1471=0,"OK","Error?"))</f>
        <v>Error?</v>
      </c>
    </row>
    <row r="1472" spans="1:4" x14ac:dyDescent="0.2">
      <c r="A1472" s="5">
        <v>1411</v>
      </c>
      <c r="B1472" s="138">
        <f>'Expenditures 15-22'!K223</f>
        <v>5522</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63936</v>
      </c>
      <c r="C1474" s="2" t="s">
        <v>573</v>
      </c>
      <c r="D1474" s="2" t="str">
        <f t="shared" si="22"/>
        <v>Error?</v>
      </c>
    </row>
    <row r="1475" spans="1:4" x14ac:dyDescent="0.2">
      <c r="A1475" s="5">
        <v>1414</v>
      </c>
      <c r="B1475" s="138">
        <f>'Expenditures 15-22'!K232</f>
        <v>2746</v>
      </c>
      <c r="C1475" s="2" t="s">
        <v>573</v>
      </c>
      <c r="D1475" s="2" t="str">
        <f t="shared" si="22"/>
        <v>Error?</v>
      </c>
    </row>
    <row r="1476" spans="1:4" x14ac:dyDescent="0.2">
      <c r="A1476" s="5">
        <v>1415</v>
      </c>
      <c r="B1476" s="138">
        <f>'Expenditures 15-22'!K233</f>
        <v>1784</v>
      </c>
      <c r="C1476" s="2" t="s">
        <v>573</v>
      </c>
      <c r="D1476" s="2" t="str">
        <f t="shared" si="22"/>
        <v>Error?</v>
      </c>
    </row>
    <row r="1477" spans="1:4" x14ac:dyDescent="0.2">
      <c r="A1477" s="5">
        <v>1416</v>
      </c>
      <c r="B1477" s="138">
        <f>'Expenditures 15-22'!K234</f>
        <v>2368</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11876</v>
      </c>
      <c r="C1480" s="2" t="s">
        <v>573</v>
      </c>
      <c r="D1480" s="2" t="str">
        <f t="shared" si="22"/>
        <v>Error?</v>
      </c>
    </row>
    <row r="1481" spans="1:4" x14ac:dyDescent="0.2">
      <c r="A1481" s="5">
        <v>1420</v>
      </c>
      <c r="B1481" s="138">
        <f>'Expenditures 15-22'!K238</f>
        <v>18774</v>
      </c>
      <c r="C1481" s="2" t="s">
        <v>573</v>
      </c>
      <c r="D1481" s="2" t="str">
        <f t="shared" si="22"/>
        <v>Error?</v>
      </c>
    </row>
    <row r="1482" spans="1:4" x14ac:dyDescent="0.2">
      <c r="A1482" s="5">
        <v>1421</v>
      </c>
      <c r="B1482" s="138">
        <f>'Expenditures 15-22'!K240</f>
        <v>981</v>
      </c>
      <c r="C1482" s="2" t="s">
        <v>573</v>
      </c>
      <c r="D1482" s="2" t="str">
        <f t="shared" si="22"/>
        <v>Error?</v>
      </c>
    </row>
    <row r="1483" spans="1:4" x14ac:dyDescent="0.2">
      <c r="A1483" s="5">
        <v>1422</v>
      </c>
      <c r="B1483" s="138">
        <f>'Expenditures 15-22'!K241</f>
        <v>2550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3531</v>
      </c>
      <c r="C1485" s="2" t="s">
        <v>573</v>
      </c>
      <c r="D1485" s="2" t="str">
        <f t="shared" si="22"/>
        <v>Error?</v>
      </c>
    </row>
    <row r="1486" spans="1:4" x14ac:dyDescent="0.2">
      <c r="A1486" s="5">
        <v>1425</v>
      </c>
      <c r="B1486" s="138">
        <f>'Expenditures 15-22'!K245</f>
        <v>2975</v>
      </c>
      <c r="C1486" s="2" t="s">
        <v>573</v>
      </c>
      <c r="D1486" s="2" t="str">
        <f t="shared" si="22"/>
        <v>Error?</v>
      </c>
    </row>
    <row r="1487" spans="1:4" x14ac:dyDescent="0.2">
      <c r="A1487" s="5">
        <v>1426</v>
      </c>
      <c r="B1487" s="138">
        <f>'Expenditures 15-22'!K246</f>
        <v>2028</v>
      </c>
      <c r="C1487" s="2" t="s">
        <v>573</v>
      </c>
      <c r="D1487" s="2" t="str">
        <f t="shared" si="22"/>
        <v>Error?</v>
      </c>
    </row>
    <row r="1488" spans="1:4" x14ac:dyDescent="0.2">
      <c r="A1488" s="5">
        <v>1427</v>
      </c>
      <c r="B1488" s="138">
        <f>'Expenditures 15-22'!K257</f>
        <v>5003</v>
      </c>
      <c r="C1488" s="2" t="s">
        <v>573</v>
      </c>
      <c r="D1488" s="2" t="str">
        <f t="shared" si="22"/>
        <v>Error?</v>
      </c>
    </row>
    <row r="1489" spans="1:4" x14ac:dyDescent="0.2">
      <c r="A1489" s="5">
        <v>1428</v>
      </c>
      <c r="B1489" s="138">
        <f>'Expenditures 15-22'!K259</f>
        <v>14440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14440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4515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27719</v>
      </c>
      <c r="C1495" s="2" t="s">
        <v>573</v>
      </c>
      <c r="D1495" s="2" t="str">
        <f t="shared" si="22"/>
        <v>Error?</v>
      </c>
    </row>
    <row r="1496" spans="1:4" x14ac:dyDescent="0.2">
      <c r="A1496" s="5">
        <v>1435</v>
      </c>
      <c r="B1496" s="138">
        <f>'Expenditures 15-22'!K267</f>
        <v>20697</v>
      </c>
      <c r="C1496" s="2" t="s">
        <v>573</v>
      </c>
      <c r="D1496" s="2" t="str">
        <f t="shared" si="22"/>
        <v>Error?</v>
      </c>
    </row>
    <row r="1497" spans="1:4" x14ac:dyDescent="0.2">
      <c r="A1497" s="5">
        <v>1436</v>
      </c>
      <c r="B1497" s="138">
        <f>'Expenditures 15-22'!K268</f>
        <v>15150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68081</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169</v>
      </c>
      <c r="C1509" s="2" t="s">
        <v>573</v>
      </c>
      <c r="D1509" s="2" t="str">
        <f t="shared" si="22"/>
        <v>Error?</v>
      </c>
    </row>
    <row r="1510" spans="1:4" x14ac:dyDescent="0.2">
      <c r="A1510" s="5">
        <v>1449</v>
      </c>
      <c r="B1510" s="138">
        <f>'Expenditures 15-22'!K279</f>
        <v>109998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173934</v>
      </c>
      <c r="C1517" s="2" t="s">
        <v>573</v>
      </c>
      <c r="D1517" s="2" t="str">
        <f t="shared" si="22"/>
        <v>Error?</v>
      </c>
    </row>
    <row r="1518" spans="1:4" x14ac:dyDescent="0.2">
      <c r="A1518" s="5">
        <v>1457</v>
      </c>
      <c r="B1518" s="138">
        <f>'Expenditures 15-22'!K296</f>
        <v>-31962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331941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331941</v>
      </c>
      <c r="C1547" s="2" t="s">
        <v>573</v>
      </c>
      <c r="D1547" s="2" t="str">
        <f t="shared" si="23"/>
        <v>Error?</v>
      </c>
    </row>
    <row r="1548" spans="1:4" x14ac:dyDescent="0.2">
      <c r="A1548" s="5">
        <v>1487</v>
      </c>
      <c r="B1548" s="138">
        <f>'Expenditures 15-22'!G312</f>
        <v>331941</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331941</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331941</v>
      </c>
      <c r="C1559" s="2" t="s">
        <v>573</v>
      </c>
      <c r="D1559" s="2" t="str">
        <f t="shared" si="23"/>
        <v>Error?</v>
      </c>
    </row>
    <row r="1560" spans="1:4" x14ac:dyDescent="0.2">
      <c r="A1560" s="5">
        <v>1499</v>
      </c>
      <c r="B1560" s="138">
        <f>'Expenditures 15-22'!K312</f>
        <v>331941</v>
      </c>
      <c r="C1560" s="2" t="s">
        <v>573</v>
      </c>
      <c r="D1560" s="2" t="str">
        <f t="shared" si="23"/>
        <v>Error?</v>
      </c>
    </row>
    <row r="1561" spans="1:4" x14ac:dyDescent="0.2">
      <c r="A1561" s="5">
        <v>1500</v>
      </c>
      <c r="B1561" s="138">
        <f>'Expenditures 15-22'!K313</f>
        <v>107387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9624643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8835935</v>
      </c>
      <c r="C1630" s="2" t="s">
        <v>573</v>
      </c>
      <c r="D1630" s="2" t="str">
        <f t="shared" si="24"/>
        <v>Error?</v>
      </c>
    </row>
    <row r="1631" spans="1:4" x14ac:dyDescent="0.2">
      <c r="A1631" s="5">
        <v>1570</v>
      </c>
      <c r="B1631" s="138">
        <f>'Acct Summary 7-8'!D79</f>
        <v>1154756</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1095608</v>
      </c>
      <c r="C1644" s="2" t="s">
        <v>573</v>
      </c>
      <c r="D1644" s="2" t="str">
        <f t="shared" si="24"/>
        <v>Error?</v>
      </c>
    </row>
    <row r="1645" spans="1:4" x14ac:dyDescent="0.2">
      <c r="A1645" s="5">
        <v>1584</v>
      </c>
      <c r="B1645" s="138">
        <f>'Acct Summary 7-8'!E79</f>
        <v>501507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8523</v>
      </c>
      <c r="C1658" s="2" t="s">
        <v>573</v>
      </c>
      <c r="D1658" s="2" t="str">
        <f t="shared" si="24"/>
        <v>Error?</v>
      </c>
    </row>
    <row r="1659" spans="1:4" x14ac:dyDescent="0.2">
      <c r="A1659" s="5">
        <v>1598</v>
      </c>
      <c r="B1659" s="138">
        <f>'Acct Summary 7-8'!F79</f>
        <v>1486390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1494320</v>
      </c>
      <c r="C1672" s="2" t="s">
        <v>573</v>
      </c>
      <c r="D1672" s="2" t="str">
        <f t="shared" si="25"/>
        <v>Error?</v>
      </c>
    </row>
    <row r="1673" spans="1:4" x14ac:dyDescent="0.2">
      <c r="A1673" s="5">
        <v>1612</v>
      </c>
      <c r="B1673" s="138">
        <f>'Acct Summary 7-8'!G79</f>
        <v>569394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537432</v>
      </c>
      <c r="C1686" s="2" t="s">
        <v>573</v>
      </c>
      <c r="D1686" s="2" t="str">
        <f t="shared" si="25"/>
        <v>Error?</v>
      </c>
    </row>
    <row r="1687" spans="1:4" x14ac:dyDescent="0.2">
      <c r="A1687" s="5">
        <v>1626</v>
      </c>
      <c r="B1687" s="138">
        <f>'Acct Summary 7-8'!H79</f>
        <v>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107390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1607068</v>
      </c>
      <c r="C1744" s="2" t="s">
        <v>573</v>
      </c>
      <c r="D1744" s="2" t="str">
        <f t="shared" si="26"/>
        <v>Error?</v>
      </c>
    </row>
    <row r="1745" spans="1:5" x14ac:dyDescent="0.2">
      <c r="A1745" s="5">
        <v>1684</v>
      </c>
      <c r="B1745" s="138">
        <f>'Tax Sched 23'!B5</f>
        <v>247250</v>
      </c>
      <c r="C1745" s="2" t="s">
        <v>573</v>
      </c>
      <c r="D1745" s="2" t="str">
        <f t="shared" si="26"/>
        <v>Error?</v>
      </c>
    </row>
    <row r="1746" spans="1:5" x14ac:dyDescent="0.2">
      <c r="A1746" s="5">
        <v>1685</v>
      </c>
      <c r="B1746" s="138">
        <f>'Tax Sched 23'!B6</f>
        <v>88635</v>
      </c>
      <c r="C1746" s="2" t="s">
        <v>573</v>
      </c>
      <c r="D1746" s="2" t="str">
        <f t="shared" si="26"/>
        <v>Error?</v>
      </c>
    </row>
    <row r="1747" spans="1:5" x14ac:dyDescent="0.2">
      <c r="A1747" s="5">
        <v>1686</v>
      </c>
      <c r="B1747" s="138">
        <f>'Tax Sched 23'!B7</f>
        <v>222525</v>
      </c>
      <c r="C1747" s="2" t="s">
        <v>573</v>
      </c>
      <c r="D1747" s="2" t="str">
        <f t="shared" si="26"/>
        <v>Error?</v>
      </c>
    </row>
    <row r="1748" spans="1:5" x14ac:dyDescent="0.2">
      <c r="A1748" s="5">
        <v>1687</v>
      </c>
      <c r="B1748" s="138">
        <f>'Tax Sched 23'!B8</f>
        <v>58149</v>
      </c>
      <c r="C1748" s="2" t="s">
        <v>573</v>
      </c>
      <c r="D1748" s="2" t="str">
        <f t="shared" si="26"/>
        <v>Error?</v>
      </c>
    </row>
    <row r="1749" spans="1:5" x14ac:dyDescent="0.2">
      <c r="A1749" s="5">
        <v>1688</v>
      </c>
      <c r="B1749" s="138">
        <f>'Tax Sched 23'!B10</f>
        <v>24645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143894</v>
      </c>
      <c r="C1752" s="2" t="s">
        <v>573</v>
      </c>
      <c r="D1752" s="2" t="str">
        <f t="shared" si="26"/>
        <v>Error?</v>
      </c>
    </row>
    <row r="1753" spans="1:5" x14ac:dyDescent="0.2">
      <c r="A1753" s="5">
        <v>1692</v>
      </c>
      <c r="B1753" s="138">
        <f>'Tax Sched 23'!B12</f>
        <v>24645</v>
      </c>
      <c r="C1753" s="2" t="s">
        <v>573</v>
      </c>
      <c r="D1753" s="2" t="str">
        <f t="shared" si="26"/>
        <v>Error?</v>
      </c>
    </row>
    <row r="1754" spans="1:5" x14ac:dyDescent="0.2">
      <c r="A1754" s="5">
        <v>1693</v>
      </c>
      <c r="B1754" s="138">
        <f>'Tax Sched 23'!B14</f>
        <v>19711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2531955</v>
      </c>
      <c r="C1759" s="2" t="s">
        <v>573</v>
      </c>
      <c r="D1759" s="2" t="str">
        <f t="shared" si="26"/>
        <v>Error?</v>
      </c>
    </row>
    <row r="1760" spans="1:5" x14ac:dyDescent="0.2">
      <c r="A1760" s="5">
        <v>1699</v>
      </c>
      <c r="B1760" s="138">
        <f>'Tax Sched 23'!D4</f>
        <v>1452465</v>
      </c>
      <c r="C1760" s="2" t="s">
        <v>573</v>
      </c>
      <c r="D1760" s="2" t="str">
        <f t="shared" si="26"/>
        <v>Error?</v>
      </c>
    </row>
    <row r="1761" spans="1:5" x14ac:dyDescent="0.2">
      <c r="A1761" s="5">
        <v>1700</v>
      </c>
      <c r="B1761" s="138">
        <f>'Tax Sched 23'!D5</f>
        <v>223372</v>
      </c>
      <c r="C1761" s="2" t="s">
        <v>573</v>
      </c>
      <c r="D1761" s="2" t="str">
        <f t="shared" si="26"/>
        <v>Error?</v>
      </c>
    </row>
    <row r="1762" spans="1:5" s="8" customFormat="1" x14ac:dyDescent="0.2">
      <c r="A1762" s="5">
        <v>1701</v>
      </c>
      <c r="B1762" s="138">
        <f>'Tax Sched 23'!D6</f>
        <v>80465</v>
      </c>
      <c r="C1762" s="2" t="s">
        <v>573</v>
      </c>
      <c r="D1762" s="2" t="str">
        <f t="shared" si="26"/>
        <v>Error?</v>
      </c>
      <c r="E1762" s="9"/>
    </row>
    <row r="1763" spans="1:5" x14ac:dyDescent="0.2">
      <c r="A1763" s="5">
        <v>1702</v>
      </c>
      <c r="B1763" s="138">
        <f>'Tax Sched 23'!D7</f>
        <v>201035</v>
      </c>
      <c r="C1763" s="2" t="s">
        <v>573</v>
      </c>
      <c r="D1763" s="2" t="str">
        <f t="shared" si="26"/>
        <v>Error?</v>
      </c>
    </row>
    <row r="1764" spans="1:5" x14ac:dyDescent="0.2">
      <c r="A1764" s="5">
        <v>1703</v>
      </c>
      <c r="B1764" s="138">
        <f>'Tax Sched 23'!D8</f>
        <v>56920</v>
      </c>
      <c r="C1764" s="2" t="s">
        <v>573</v>
      </c>
      <c r="D1764" s="2" t="str">
        <f t="shared" si="26"/>
        <v>Error?</v>
      </c>
    </row>
    <row r="1765" spans="1:5" x14ac:dyDescent="0.2">
      <c r="A1765" s="5">
        <v>1704</v>
      </c>
      <c r="B1765" s="138">
        <f>'Tax Sched 23'!D10</f>
        <v>22257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128294</v>
      </c>
      <c r="C1768" s="2" t="s">
        <v>573</v>
      </c>
      <c r="D1768" s="2" t="str">
        <f t="shared" si="26"/>
        <v>Error?</v>
      </c>
    </row>
    <row r="1769" spans="1:5" x14ac:dyDescent="0.2">
      <c r="A1769" s="5">
        <v>1708</v>
      </c>
      <c r="B1769" s="138">
        <f>'Tax Sched 23'!D12</f>
        <v>22257</v>
      </c>
      <c r="C1769" s="2" t="s">
        <v>573</v>
      </c>
      <c r="D1769" s="2" t="str">
        <f t="shared" si="26"/>
        <v>Error?</v>
      </c>
    </row>
    <row r="1770" spans="1:5" x14ac:dyDescent="0.2">
      <c r="A1770" s="5">
        <v>1709</v>
      </c>
      <c r="B1770" s="138">
        <f>'Tax Sched 23'!D14</f>
        <v>17801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2289638</v>
      </c>
      <c r="C1775" s="2" t="s">
        <v>573</v>
      </c>
      <c r="D1775" s="2" t="str">
        <f t="shared" si="26"/>
        <v>Error?</v>
      </c>
    </row>
    <row r="1776" spans="1:5" x14ac:dyDescent="0.2">
      <c r="A1776" s="5">
        <v>1715</v>
      </c>
      <c r="B1776" s="138">
        <f>'Tax Sched 23'!C4</f>
        <v>154603</v>
      </c>
      <c r="D1776" s="2" t="str">
        <f t="shared" si="26"/>
        <v>Error?</v>
      </c>
    </row>
    <row r="1777" spans="1:4" x14ac:dyDescent="0.2">
      <c r="A1777" s="5">
        <v>1716</v>
      </c>
      <c r="B1777" s="138">
        <f>'Tax Sched 23'!C5</f>
        <v>23878</v>
      </c>
      <c r="D1777" s="2" t="str">
        <f t="shared" si="26"/>
        <v>Error?</v>
      </c>
    </row>
    <row r="1778" spans="1:4" x14ac:dyDescent="0.2">
      <c r="A1778" s="5">
        <v>1717</v>
      </c>
      <c r="B1778" s="138">
        <f>'Tax Sched 23'!C6</f>
        <v>8170</v>
      </c>
      <c r="D1778" s="2" t="str">
        <f t="shared" si="26"/>
        <v>Error?</v>
      </c>
    </row>
    <row r="1779" spans="1:4" x14ac:dyDescent="0.2">
      <c r="A1779" s="5">
        <v>1718</v>
      </c>
      <c r="B1779" s="138">
        <f>'Tax Sched 23'!C7</f>
        <v>21490</v>
      </c>
      <c r="D1779" s="2" t="str">
        <f t="shared" si="26"/>
        <v>Error?</v>
      </c>
    </row>
    <row r="1780" spans="1:4" x14ac:dyDescent="0.2">
      <c r="A1780" s="5">
        <v>1719</v>
      </c>
      <c r="B1780" s="138">
        <f>'Tax Sched 23'!C8</f>
        <v>1229</v>
      </c>
      <c r="D1780" s="2" t="str">
        <f t="shared" si="26"/>
        <v>Error?</v>
      </c>
    </row>
    <row r="1781" spans="1:4" x14ac:dyDescent="0.2">
      <c r="A1781" s="5">
        <v>1720</v>
      </c>
      <c r="B1781" s="138">
        <f>'Tax Sched 23'!C10</f>
        <v>2388</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15600</v>
      </c>
      <c r="D1784" s="2" t="str">
        <f t="shared" si="26"/>
        <v>Error?</v>
      </c>
    </row>
    <row r="1785" spans="1:4" x14ac:dyDescent="0.2">
      <c r="A1785" s="5">
        <v>1724</v>
      </c>
      <c r="B1785" s="138">
        <f>'Tax Sched 23'!C12</f>
        <v>2388</v>
      </c>
      <c r="D1785" s="2" t="str">
        <f t="shared" si="26"/>
        <v>Error?</v>
      </c>
    </row>
    <row r="1786" spans="1:4" x14ac:dyDescent="0.2">
      <c r="A1786" s="5">
        <v>1725</v>
      </c>
      <c r="B1786" s="138">
        <f>'Tax Sched 23'!C14</f>
        <v>1910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242317</v>
      </c>
      <c r="C1791" s="2" t="s">
        <v>573</v>
      </c>
      <c r="D1791" s="2" t="str">
        <f t="shared" ref="D1791:D1854" si="27">IF(ISBLANK(B1791),"OK",IF(A1791-B1791=0,"OK","Error?"))</f>
        <v>Error?</v>
      </c>
    </row>
    <row r="1792" spans="1:4" x14ac:dyDescent="0.2">
      <c r="A1792" s="5">
        <v>1731</v>
      </c>
      <c r="B1792" s="138">
        <f>'Tax Sched 23'!F4</f>
        <v>3122107</v>
      </c>
      <c r="C1792" s="2" t="s">
        <v>573</v>
      </c>
      <c r="D1792" s="2" t="str">
        <f t="shared" si="27"/>
        <v>Error?</v>
      </c>
    </row>
    <row r="1793" spans="1:4" x14ac:dyDescent="0.2">
      <c r="A1793" s="5">
        <v>1732</v>
      </c>
      <c r="B1793" s="138">
        <f>'Tax Sched 23'!F5</f>
        <v>481220</v>
      </c>
      <c r="C1793" s="2" t="s">
        <v>573</v>
      </c>
      <c r="D1793" s="2" t="str">
        <f t="shared" si="27"/>
        <v>Error?</v>
      </c>
    </row>
    <row r="1794" spans="1:4" x14ac:dyDescent="0.2">
      <c r="A1794" s="5">
        <v>1733</v>
      </c>
      <c r="B1794" s="138">
        <f>'Tax Sched 23'!F6</f>
        <v>164675</v>
      </c>
      <c r="C1794" s="2" t="s">
        <v>573</v>
      </c>
      <c r="D1794" s="2" t="str">
        <f t="shared" si="27"/>
        <v>Error?</v>
      </c>
    </row>
    <row r="1795" spans="1:4" x14ac:dyDescent="0.2">
      <c r="A1795" s="5">
        <v>1734</v>
      </c>
      <c r="B1795" s="138">
        <f>'Tax Sched 23'!F7</f>
        <v>433098</v>
      </c>
      <c r="C1795" s="2" t="s">
        <v>573</v>
      </c>
      <c r="D1795" s="2" t="str">
        <f t="shared" si="27"/>
        <v>Error?</v>
      </c>
    </row>
    <row r="1796" spans="1:4" x14ac:dyDescent="0.2">
      <c r="A1796" s="5">
        <v>1735</v>
      </c>
      <c r="B1796" s="138">
        <f>'Tax Sched 23'!F8</f>
        <v>24834</v>
      </c>
      <c r="C1796" s="2" t="s">
        <v>573</v>
      </c>
      <c r="D1796" s="2" t="str">
        <f t="shared" si="27"/>
        <v>Error?</v>
      </c>
    </row>
    <row r="1797" spans="1:4" x14ac:dyDescent="0.2">
      <c r="A1797" s="5">
        <v>1736</v>
      </c>
      <c r="B1797" s="138">
        <f>'Tax Sched 23'!F10</f>
        <v>48122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314431</v>
      </c>
      <c r="C1800" s="2" t="s">
        <v>573</v>
      </c>
      <c r="D1800" s="2" t="str">
        <f t="shared" si="27"/>
        <v>Error?</v>
      </c>
    </row>
    <row r="1801" spans="1:4" x14ac:dyDescent="0.2">
      <c r="A1801" s="5">
        <v>1740</v>
      </c>
      <c r="B1801" s="138">
        <f>'Tax Sched 23'!F12</f>
        <v>48122</v>
      </c>
      <c r="C1801" s="2" t="s">
        <v>573</v>
      </c>
      <c r="D1801" s="2" t="str">
        <f t="shared" si="27"/>
        <v>Error?</v>
      </c>
    </row>
    <row r="1802" spans="1:4" x14ac:dyDescent="0.2">
      <c r="A1802" s="5">
        <v>1741</v>
      </c>
      <c r="B1802" s="138">
        <f>'Tax Sched 23'!F14</f>
        <v>38498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4890023</v>
      </c>
      <c r="C1807" s="2" t="s">
        <v>573</v>
      </c>
      <c r="D1807" s="2" t="str">
        <f t="shared" si="27"/>
        <v>Error?</v>
      </c>
    </row>
    <row r="1808" spans="1:4" x14ac:dyDescent="0.2">
      <c r="A1808" s="5">
        <v>1747</v>
      </c>
      <c r="B1808" s="138">
        <f>'Tax Sched 23'!E4</f>
        <v>3276710</v>
      </c>
      <c r="D1808" s="2" t="str">
        <f t="shared" si="27"/>
        <v>Error?</v>
      </c>
    </row>
    <row r="1809" spans="1:4" x14ac:dyDescent="0.2">
      <c r="A1809" s="5">
        <v>1748</v>
      </c>
      <c r="B1809" s="138">
        <f>'Tax Sched 23'!E5</f>
        <v>505098</v>
      </c>
      <c r="D1809" s="2" t="str">
        <f t="shared" si="27"/>
        <v>Error?</v>
      </c>
    </row>
    <row r="1810" spans="1:4" x14ac:dyDescent="0.2">
      <c r="A1810" s="5">
        <v>1749</v>
      </c>
      <c r="B1810" s="138">
        <f>'Tax Sched 23'!E6</f>
        <v>172845</v>
      </c>
      <c r="D1810" s="2" t="str">
        <f t="shared" si="27"/>
        <v>Error?</v>
      </c>
    </row>
    <row r="1811" spans="1:4" x14ac:dyDescent="0.2">
      <c r="A1811" s="5">
        <v>1750</v>
      </c>
      <c r="B1811" s="138">
        <f>'Tax Sched 23'!E7</f>
        <v>454588</v>
      </c>
      <c r="D1811" s="2" t="str">
        <f t="shared" si="27"/>
        <v>Error?</v>
      </c>
    </row>
    <row r="1812" spans="1:4" x14ac:dyDescent="0.2">
      <c r="A1812" s="5">
        <v>1751</v>
      </c>
      <c r="B1812" s="138">
        <f>'Tax Sched 23'!E8</f>
        <v>26063</v>
      </c>
      <c r="D1812" s="2" t="str">
        <f t="shared" si="27"/>
        <v>Error?</v>
      </c>
    </row>
    <row r="1813" spans="1:4" x14ac:dyDescent="0.2">
      <c r="A1813" s="5">
        <v>1752</v>
      </c>
      <c r="B1813" s="138">
        <f>'Tax Sched 23'!E10</f>
        <v>50510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330031</v>
      </c>
      <c r="D1816" s="2" t="str">
        <f t="shared" si="27"/>
        <v>Error?</v>
      </c>
    </row>
    <row r="1817" spans="1:4" x14ac:dyDescent="0.2">
      <c r="A1817" s="5">
        <v>1756</v>
      </c>
      <c r="B1817" s="138">
        <f>'Tax Sched 23'!E12</f>
        <v>50510</v>
      </c>
      <c r="D1817" s="2" t="str">
        <f t="shared" si="27"/>
        <v>Error?</v>
      </c>
    </row>
    <row r="1818" spans="1:4" x14ac:dyDescent="0.2">
      <c r="A1818" s="5">
        <v>1757</v>
      </c>
      <c r="B1818" s="138">
        <f>'Tax Sched 23'!E14</f>
        <v>40408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5132340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495739</v>
      </c>
      <c r="C1939" s="2" t="s">
        <v>573</v>
      </c>
      <c r="D1939" s="2" t="str">
        <f t="shared" si="29"/>
        <v>Error?</v>
      </c>
    </row>
    <row r="1940" spans="1:5" x14ac:dyDescent="0.2">
      <c r="A1940" s="5">
        <v>1879</v>
      </c>
      <c r="B1940" s="138">
        <f>'Short-Term Long-Term Debt 24'!F49</f>
        <v>1500000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19711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19711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19711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48351</v>
      </c>
      <c r="D2008" s="2" t="str">
        <f t="shared" si="30"/>
        <v>Error?</v>
      </c>
    </row>
    <row r="2009" spans="1:4" x14ac:dyDescent="0.2">
      <c r="A2009" s="5">
        <v>1948</v>
      </c>
      <c r="B2009" s="138">
        <f>'Cap Outlay Deprec 26'!C8</f>
        <v>6569310</v>
      </c>
      <c r="D2009" s="2" t="str">
        <f t="shared" si="30"/>
        <v>Error?</v>
      </c>
    </row>
    <row r="2010" spans="1:4" x14ac:dyDescent="0.2">
      <c r="A2010" s="5">
        <v>1949</v>
      </c>
      <c r="B2010" s="138">
        <f>'Cap Outlay Deprec 26'!C10</f>
        <v>415372</v>
      </c>
      <c r="D2010" s="2" t="str">
        <f t="shared" si="30"/>
        <v>Error?</v>
      </c>
    </row>
    <row r="2011" spans="1:4" x14ac:dyDescent="0.2">
      <c r="A2011" s="5">
        <v>1950</v>
      </c>
      <c r="B2011" s="138">
        <f>'Cap Outlay Deprec 26'!C12</f>
        <v>988149</v>
      </c>
      <c r="D2011" s="2" t="str">
        <f t="shared" si="30"/>
        <v>Error?</v>
      </c>
    </row>
    <row r="2012" spans="1:4" x14ac:dyDescent="0.2">
      <c r="A2012" s="5">
        <v>1951</v>
      </c>
      <c r="B2012" s="138">
        <f>'Cap Outlay Deprec 26'!C13</f>
        <v>930693</v>
      </c>
      <c r="D2012" s="2" t="str">
        <f t="shared" si="30"/>
        <v>Error?</v>
      </c>
    </row>
    <row r="2013" spans="1:4" x14ac:dyDescent="0.2">
      <c r="A2013" s="5">
        <v>1952</v>
      </c>
      <c r="B2013" s="138">
        <f>'Cap Outlay Deprec 26'!C16</f>
        <v>9016747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325511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31006</v>
      </c>
      <c r="D2017" s="2" t="str">
        <f t="shared" si="30"/>
        <v>Error?</v>
      </c>
    </row>
    <row r="2018" spans="1:4" x14ac:dyDescent="0.2">
      <c r="A2018" s="5">
        <v>1957</v>
      </c>
      <c r="B2018" s="138">
        <f>'Cap Outlay Deprec 26'!D13</f>
        <v>7340</v>
      </c>
      <c r="D2018" s="2" t="str">
        <f t="shared" si="30"/>
        <v>Error?</v>
      </c>
    </row>
    <row r="2019" spans="1:4" x14ac:dyDescent="0.2">
      <c r="A2019" s="5">
        <v>1958</v>
      </c>
      <c r="B2019" s="138">
        <f>'Cap Outlay Deprec 26'!D16</f>
        <v>601525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48351</v>
      </c>
      <c r="C2026" s="2" t="s">
        <v>573</v>
      </c>
      <c r="D2026" s="2" t="str">
        <f t="shared" si="30"/>
        <v>Error?</v>
      </c>
    </row>
    <row r="2027" spans="1:4" x14ac:dyDescent="0.2">
      <c r="A2027" s="5">
        <v>1966</v>
      </c>
      <c r="B2027" s="138">
        <f>'Cap Outlay Deprec 26'!F8</f>
        <v>6894821</v>
      </c>
      <c r="C2027" s="2" t="s">
        <v>573</v>
      </c>
      <c r="D2027" s="2" t="str">
        <f t="shared" si="30"/>
        <v>Error?</v>
      </c>
    </row>
    <row r="2028" spans="1:4" x14ac:dyDescent="0.2">
      <c r="A2028" s="5">
        <v>1967</v>
      </c>
      <c r="B2028" s="138">
        <f>'Cap Outlay Deprec 26'!F10</f>
        <v>415372</v>
      </c>
      <c r="C2028" s="2" t="s">
        <v>573</v>
      </c>
      <c r="D2028" s="2" t="str">
        <f t="shared" si="30"/>
        <v>Error?</v>
      </c>
    </row>
    <row r="2029" spans="1:4" x14ac:dyDescent="0.2">
      <c r="A2029" s="5">
        <v>1968</v>
      </c>
      <c r="B2029" s="138">
        <f>'Cap Outlay Deprec 26'!F12</f>
        <v>1019155</v>
      </c>
      <c r="C2029" s="2" t="s">
        <v>573</v>
      </c>
      <c r="D2029" s="2" t="str">
        <f t="shared" si="30"/>
        <v>Error?</v>
      </c>
    </row>
    <row r="2030" spans="1:4" x14ac:dyDescent="0.2">
      <c r="A2030" s="5">
        <v>1969</v>
      </c>
      <c r="B2030" s="138">
        <f>'Cap Outlay Deprec 26'!F13</f>
        <v>938033</v>
      </c>
      <c r="C2030" s="2" t="s">
        <v>573</v>
      </c>
      <c r="D2030" s="2" t="str">
        <f t="shared" si="30"/>
        <v>Error?</v>
      </c>
    </row>
    <row r="2031" spans="1:4" x14ac:dyDescent="0.2">
      <c r="A2031" s="5">
        <v>1970</v>
      </c>
      <c r="B2031" s="138">
        <f>'Cap Outlay Deprec 26'!F16</f>
        <v>9618272</v>
      </c>
      <c r="C2031" s="2" t="s">
        <v>573</v>
      </c>
      <c r="D2031" s="2" t="str">
        <f t="shared" si="30"/>
        <v>Error?</v>
      </c>
    </row>
    <row r="2032" spans="1:4" x14ac:dyDescent="0.2">
      <c r="A2032" s="10">
        <v>1971</v>
      </c>
      <c r="D2032" s="2" t="str">
        <f t="shared" si="30"/>
        <v>OK</v>
      </c>
    </row>
    <row r="2033" spans="1:4" x14ac:dyDescent="0.2">
      <c r="A2033" s="5">
        <v>1972</v>
      </c>
      <c r="B2033" s="138">
        <f>'Cap Outlay Deprec 26'!H8</f>
        <v>2793361</v>
      </c>
      <c r="D2033" s="2" t="str">
        <f t="shared" si="30"/>
        <v>Error?</v>
      </c>
    </row>
    <row r="2034" spans="1:4" x14ac:dyDescent="0.2">
      <c r="A2034" s="5">
        <v>1973</v>
      </c>
      <c r="B2034" s="138">
        <f>'Cap Outlay Deprec 26'!H10</f>
        <v>206596</v>
      </c>
      <c r="D2034" s="2" t="str">
        <f t="shared" si="30"/>
        <v>Error?</v>
      </c>
    </row>
    <row r="2035" spans="1:4" x14ac:dyDescent="0.2">
      <c r="A2035" s="5">
        <v>1974</v>
      </c>
      <c r="B2035" s="138">
        <f>'Cap Outlay Deprec 26'!H12</f>
        <v>620518</v>
      </c>
      <c r="D2035" s="2" t="str">
        <f t="shared" si="30"/>
        <v>Error?</v>
      </c>
    </row>
    <row r="2036" spans="1:4" x14ac:dyDescent="0.2">
      <c r="A2036" s="5">
        <v>1975</v>
      </c>
      <c r="B2036" s="138">
        <f>'Cap Outlay Deprec 26'!H13</f>
        <v>654508</v>
      </c>
      <c r="D2036" s="2" t="str">
        <f t="shared" si="30"/>
        <v>Error?</v>
      </c>
    </row>
    <row r="2037" spans="1:4" x14ac:dyDescent="0.2">
      <c r="A2037" s="5">
        <v>1976</v>
      </c>
      <c r="B2037" s="138">
        <f>'Cap Outlay Deprec 26'!H16</f>
        <v>4305683</v>
      </c>
      <c r="C2037" s="2" t="s">
        <v>573</v>
      </c>
      <c r="D2037" s="2" t="str">
        <f t="shared" si="30"/>
        <v>Error?</v>
      </c>
    </row>
    <row r="2038" spans="1:4" x14ac:dyDescent="0.2">
      <c r="A2038" s="10">
        <v>1977</v>
      </c>
      <c r="D2038" s="2" t="str">
        <f t="shared" si="30"/>
        <v>OK</v>
      </c>
    </row>
    <row r="2039" spans="1:4" x14ac:dyDescent="0.2">
      <c r="A2039" s="5">
        <v>1978</v>
      </c>
      <c r="B2039" s="138">
        <f>'Cap Outlay Deprec 26'!I8</f>
        <v>104221</v>
      </c>
      <c r="D2039" s="2" t="str">
        <f t="shared" si="30"/>
        <v>Error?</v>
      </c>
    </row>
    <row r="2040" spans="1:4" x14ac:dyDescent="0.2">
      <c r="A2040" s="5">
        <v>1979</v>
      </c>
      <c r="B2040" s="138">
        <f>'Cap Outlay Deprec 26'!I10</f>
        <v>20768</v>
      </c>
      <c r="D2040" s="2" t="str">
        <f t="shared" si="30"/>
        <v>Error?</v>
      </c>
    </row>
    <row r="2041" spans="1:4" x14ac:dyDescent="0.2">
      <c r="A2041" s="5">
        <v>1980</v>
      </c>
      <c r="B2041" s="138">
        <f>'Cap Outlay Deprec 26'!I12</f>
        <v>101916</v>
      </c>
      <c r="D2041" s="2" t="str">
        <f t="shared" si="30"/>
        <v>Error?</v>
      </c>
    </row>
    <row r="2042" spans="1:4" x14ac:dyDescent="0.2">
      <c r="A2042" s="5">
        <v>1981</v>
      </c>
      <c r="B2042" s="138">
        <f>'Cap Outlay Deprec 26'!I13</f>
        <v>91322</v>
      </c>
      <c r="D2042" s="2" t="str">
        <f t="shared" si="30"/>
        <v>Error?</v>
      </c>
    </row>
    <row r="2043" spans="1:4" x14ac:dyDescent="0.2">
      <c r="A2043" s="5">
        <v>1982</v>
      </c>
      <c r="B2043" s="138">
        <f>'Cap Outlay Deprec 26'!I16</f>
        <v>401920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2897582</v>
      </c>
      <c r="C2051" s="2" t="s">
        <v>573</v>
      </c>
      <c r="D2051" s="2" t="str">
        <f t="shared" si="31"/>
        <v>Error?</v>
      </c>
    </row>
    <row r="2052" spans="1:4" x14ac:dyDescent="0.2">
      <c r="A2052" s="5">
        <v>1991</v>
      </c>
      <c r="B2052" s="138">
        <f>'Cap Outlay Deprec 26'!K10</f>
        <v>227364</v>
      </c>
      <c r="C2052" s="2" t="s">
        <v>573</v>
      </c>
      <c r="D2052" s="2" t="str">
        <f t="shared" si="31"/>
        <v>Error?</v>
      </c>
    </row>
    <row r="2053" spans="1:4" x14ac:dyDescent="0.2">
      <c r="A2053" s="5">
        <v>1992</v>
      </c>
      <c r="B2053" s="138">
        <f>'Cap Outlay Deprec 26'!K12</f>
        <v>722434</v>
      </c>
      <c r="C2053" s="2" t="s">
        <v>573</v>
      </c>
      <c r="D2053" s="2" t="str">
        <f t="shared" si="31"/>
        <v>Error?</v>
      </c>
    </row>
    <row r="2054" spans="1:4" x14ac:dyDescent="0.2">
      <c r="A2054" s="5">
        <v>1993</v>
      </c>
      <c r="B2054" s="138">
        <f>'Cap Outlay Deprec 26'!K13</f>
        <v>745830</v>
      </c>
      <c r="C2054" s="2" t="s">
        <v>573</v>
      </c>
      <c r="D2054" s="2" t="str">
        <f t="shared" si="31"/>
        <v>Error?</v>
      </c>
    </row>
    <row r="2055" spans="1:4" x14ac:dyDescent="0.2">
      <c r="A2055" s="5">
        <v>1994</v>
      </c>
      <c r="B2055" s="138">
        <f>'Cap Outlay Deprec 26'!K16</f>
        <v>4707603</v>
      </c>
      <c r="C2055" s="2" t="s">
        <v>573</v>
      </c>
      <c r="D2055" s="2" t="str">
        <f t="shared" si="31"/>
        <v>Error?</v>
      </c>
    </row>
    <row r="2056" spans="1:4" x14ac:dyDescent="0.2">
      <c r="A2056" s="5">
        <v>1995</v>
      </c>
      <c r="B2056" s="138">
        <f>'Cap Outlay Deprec 26'!L5</f>
        <v>48351</v>
      </c>
      <c r="C2056" s="2" t="s">
        <v>573</v>
      </c>
      <c r="D2056" s="2" t="str">
        <f t="shared" si="31"/>
        <v>Error?</v>
      </c>
    </row>
    <row r="2057" spans="1:4" x14ac:dyDescent="0.2">
      <c r="A2057" s="5">
        <v>1996</v>
      </c>
      <c r="B2057" s="138">
        <f>'Cap Outlay Deprec 26'!L8</f>
        <v>3997239</v>
      </c>
      <c r="C2057" s="2" t="s">
        <v>573</v>
      </c>
      <c r="D2057" s="2" t="str">
        <f t="shared" si="31"/>
        <v>Error?</v>
      </c>
    </row>
    <row r="2058" spans="1:4" x14ac:dyDescent="0.2">
      <c r="A2058" s="5">
        <v>1997</v>
      </c>
      <c r="B2058" s="138">
        <f>'Cap Outlay Deprec 26'!L10</f>
        <v>188008</v>
      </c>
      <c r="C2058" s="2" t="s">
        <v>573</v>
      </c>
      <c r="D2058" s="2" t="str">
        <f t="shared" si="31"/>
        <v>Error?</v>
      </c>
    </row>
    <row r="2059" spans="1:4" x14ac:dyDescent="0.2">
      <c r="A2059" s="5">
        <v>1998</v>
      </c>
      <c r="B2059" s="138">
        <f>'Cap Outlay Deprec 26'!L12</f>
        <v>296721</v>
      </c>
      <c r="C2059" s="2" t="s">
        <v>573</v>
      </c>
      <c r="D2059" s="2" t="str">
        <f t="shared" si="31"/>
        <v>Error?</v>
      </c>
    </row>
    <row r="2060" spans="1:4" x14ac:dyDescent="0.2">
      <c r="A2060" s="5">
        <v>1999</v>
      </c>
      <c r="B2060" s="138">
        <f>'Cap Outlay Deprec 26'!L13</f>
        <v>192203</v>
      </c>
      <c r="C2060" s="2" t="s">
        <v>573</v>
      </c>
      <c r="D2060" s="2" t="str">
        <f t="shared" si="31"/>
        <v>Error?</v>
      </c>
    </row>
    <row r="2061" spans="1:4" x14ac:dyDescent="0.2">
      <c r="A2061" s="5">
        <v>2000</v>
      </c>
      <c r="B2061" s="138">
        <f>'Cap Outlay Deprec 26'!L16</f>
        <v>4910669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4528</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708146</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353</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107390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2081722</v>
      </c>
      <c r="C2551" s="2" t="s">
        <v>573</v>
      </c>
      <c r="D2551" s="2" t="str">
        <f t="shared" si="38"/>
        <v>Error?</v>
      </c>
    </row>
    <row r="2552" spans="1:4" x14ac:dyDescent="0.2">
      <c r="A2552" s="10">
        <v>2491</v>
      </c>
      <c r="D2552" s="2" t="str">
        <f t="shared" si="38"/>
        <v>OK</v>
      </c>
    </row>
    <row r="2553" spans="1:4" x14ac:dyDescent="0.2">
      <c r="A2553" s="5">
        <v>2492</v>
      </c>
      <c r="B2553" s="138">
        <f>'Acct Summary 7-8'!C6</f>
        <v>4056419</v>
      </c>
      <c r="C2553" s="2" t="s">
        <v>573</v>
      </c>
      <c r="D2553" s="2" t="str">
        <f t="shared" si="38"/>
        <v>Error?</v>
      </c>
    </row>
    <row r="2554" spans="1:4" x14ac:dyDescent="0.2">
      <c r="A2554" s="5">
        <v>2493</v>
      </c>
      <c r="B2554" s="138">
        <f>'Acct Summary 7-8'!C7</f>
        <v>637342</v>
      </c>
      <c r="C2554" s="2" t="s">
        <v>573</v>
      </c>
      <c r="D2554" s="2" t="str">
        <f t="shared" si="38"/>
        <v>Error?</v>
      </c>
    </row>
    <row r="2555" spans="1:4" x14ac:dyDescent="0.2">
      <c r="A2555" s="5">
        <v>2494</v>
      </c>
      <c r="B2555" s="138">
        <f>'Acct Summary 7-8'!C8</f>
        <v>6775483</v>
      </c>
      <c r="C2555" s="2" t="s">
        <v>573</v>
      </c>
      <c r="D2555" s="2" t="str">
        <f t="shared" si="38"/>
        <v>Error?</v>
      </c>
    </row>
    <row r="2556" spans="1:4" x14ac:dyDescent="0.2">
      <c r="A2556" s="5">
        <v>2495</v>
      </c>
      <c r="B2556" s="138">
        <f>'Acct Summary 7-8'!C12</f>
        <v>4395071</v>
      </c>
      <c r="C2556" s="2" t="s">
        <v>573</v>
      </c>
      <c r="D2556" s="2" t="str">
        <f t="shared" si="38"/>
        <v>Error?</v>
      </c>
    </row>
    <row r="2557" spans="1:4" x14ac:dyDescent="0.2">
      <c r="A2557" s="5">
        <v>2496</v>
      </c>
      <c r="B2557" s="138">
        <f>'Acct Summary 7-8'!C13</f>
        <v>2460974</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708146</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7564191</v>
      </c>
      <c r="C2561" s="2" t="s">
        <v>573</v>
      </c>
      <c r="D2561" s="2" t="str">
        <f t="shared" si="39"/>
        <v>Error?</v>
      </c>
    </row>
    <row r="2562" spans="1:4" x14ac:dyDescent="0.2">
      <c r="A2562" s="5">
        <v>2501</v>
      </c>
      <c r="B2562" s="138">
        <f>'Acct Summary 7-8'!C20</f>
        <v>-788708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392702</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392702</v>
      </c>
      <c r="C2568" s="2" t="s">
        <v>573</v>
      </c>
      <c r="D2568" s="2" t="str">
        <f t="shared" si="39"/>
        <v>Error?</v>
      </c>
    </row>
    <row r="2569" spans="1:4" x14ac:dyDescent="0.2">
      <c r="A2569" s="5">
        <v>2508</v>
      </c>
      <c r="B2569" s="138">
        <f>'Acct Summary 7-8'!D13</f>
        <v>451850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451850</v>
      </c>
      <c r="C2573" s="2" t="s">
        <v>573</v>
      </c>
      <c r="D2573" s="2" t="str">
        <f t="shared" si="39"/>
        <v>Error?</v>
      </c>
    </row>
    <row r="2574" spans="1:4" x14ac:dyDescent="0.2">
      <c r="A2574" s="5">
        <v>2513</v>
      </c>
      <c r="B2574" s="138">
        <f>'Acct Summary 7-8'!D20</f>
        <v>-59148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251767</v>
      </c>
      <c r="C2591" s="2" t="s">
        <v>573</v>
      </c>
      <c r="D2591" s="2" t="str">
        <f t="shared" si="39"/>
        <v>Error?</v>
      </c>
    </row>
    <row r="2592" spans="1:4" x14ac:dyDescent="0.2">
      <c r="A2592" s="10">
        <v>2531</v>
      </c>
      <c r="D2592" s="2" t="str">
        <f t="shared" si="39"/>
        <v>OK</v>
      </c>
    </row>
    <row r="2593" spans="1:4" x14ac:dyDescent="0.2">
      <c r="A2593" s="5">
        <v>2532</v>
      </c>
      <c r="B2593" s="138">
        <f>'Acct Summary 7-8'!F6</f>
        <v>239830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491597</v>
      </c>
      <c r="C2595" s="2" t="s">
        <v>573</v>
      </c>
      <c r="D2595" s="2" t="str">
        <f t="shared" si="39"/>
        <v>Error?</v>
      </c>
    </row>
    <row r="2596" spans="1:4" x14ac:dyDescent="0.2">
      <c r="A2596" s="5">
        <v>2535</v>
      </c>
      <c r="B2596" s="138">
        <f>'Acct Summary 7-8'!F13</f>
        <v>483667</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483667</v>
      </c>
      <c r="C2600" s="2" t="s">
        <v>573</v>
      </c>
      <c r="D2600" s="2" t="str">
        <f t="shared" si="39"/>
        <v>Error?</v>
      </c>
    </row>
    <row r="2601" spans="1:4" x14ac:dyDescent="0.2">
      <c r="A2601" s="5">
        <v>2540</v>
      </c>
      <c r="B2601" s="138">
        <f>'Acct Summary 7-8'!F20</f>
        <v>7930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141972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141972</v>
      </c>
      <c r="C2606" s="2" t="s">
        <v>573</v>
      </c>
      <c r="D2606" s="2" t="str">
        <f t="shared" si="39"/>
        <v>Error?</v>
      </c>
    </row>
    <row r="2607" spans="1:4" x14ac:dyDescent="0.2">
      <c r="A2607" s="5">
        <v>2546</v>
      </c>
      <c r="B2607" s="138">
        <f>'Acct Summary 7-8'!G12</f>
        <v>63936</v>
      </c>
      <c r="C2607" s="2" t="s">
        <v>573</v>
      </c>
      <c r="D2607" s="2" t="str">
        <f t="shared" si="39"/>
        <v>Error?</v>
      </c>
    </row>
    <row r="2608" spans="1:4" x14ac:dyDescent="0.2">
      <c r="A2608" s="5">
        <v>2547</v>
      </c>
      <c r="B2608" s="138">
        <f>'Acct Summary 7-8'!G13</f>
        <v>109998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173934</v>
      </c>
      <c r="C2612" s="2" t="s">
        <v>573</v>
      </c>
      <c r="D2612" s="2" t="str">
        <f t="shared" si="39"/>
        <v>Error?</v>
      </c>
    </row>
    <row r="2613" spans="1:4" x14ac:dyDescent="0.2">
      <c r="A2613" s="5">
        <v>2552</v>
      </c>
      <c r="B2613" s="138">
        <f>'Acct Summary 7-8'!G20</f>
        <v>-31962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180906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180906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704239</v>
      </c>
      <c r="C2634" s="2" t="s">
        <v>573</v>
      </c>
      <c r="D2634" s="2" t="str">
        <f t="shared" si="40"/>
        <v>Error?</v>
      </c>
    </row>
    <row r="2635" spans="1:4" x14ac:dyDescent="0.2">
      <c r="A2635" s="5">
        <v>2574</v>
      </c>
      <c r="B2635" s="138">
        <f>'Acct Summary 7-8'!E17</f>
        <v>704239</v>
      </c>
      <c r="C2635" s="2" t="s">
        <v>573</v>
      </c>
      <c r="D2635" s="2" t="str">
        <f t="shared" si="40"/>
        <v>Error?</v>
      </c>
    </row>
    <row r="2636" spans="1:4" x14ac:dyDescent="0.2">
      <c r="A2636" s="5">
        <v>2575</v>
      </c>
      <c r="B2636" s="138">
        <f>'Acct Summary 7-8'!E20</f>
        <v>-523333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439328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439328</v>
      </c>
      <c r="C2658" s="2" t="s">
        <v>573</v>
      </c>
      <c r="D2658" s="2" t="str">
        <f t="shared" si="40"/>
        <v>Error?</v>
      </c>
    </row>
    <row r="2659" spans="1:4" x14ac:dyDescent="0.2">
      <c r="A2659" s="5">
        <v>2598</v>
      </c>
      <c r="B2659" s="138">
        <f>'Acct Summary 7-8'!H13</f>
        <v>331941</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331941</v>
      </c>
      <c r="C2661" s="2" t="s">
        <v>573</v>
      </c>
      <c r="D2661" s="2" t="str">
        <f t="shared" si="40"/>
        <v>Error?</v>
      </c>
    </row>
    <row r="2662" spans="1:4" x14ac:dyDescent="0.2">
      <c r="A2662" s="5">
        <v>2601</v>
      </c>
      <c r="B2662" s="138">
        <f>'Acct Summary 7-8'!H20</f>
        <v>107387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703618</v>
      </c>
      <c r="C2789" s="2" t="s">
        <v>573</v>
      </c>
      <c r="D2789" s="2" t="str">
        <f t="shared" si="42"/>
        <v>Error?</v>
      </c>
    </row>
    <row r="2790" spans="1:4" x14ac:dyDescent="0.2">
      <c r="A2790" s="5">
        <v>2729</v>
      </c>
      <c r="B2790" s="138">
        <f>'Expenditures 15-22'!E102</f>
        <v>703618</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51458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773200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983377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180419</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983377</v>
      </c>
      <c r="D2912" s="2" t="str">
        <f t="shared" si="44"/>
        <v>Error?</v>
      </c>
    </row>
    <row r="2913" spans="1:4" x14ac:dyDescent="0.2">
      <c r="A2913" s="5">
        <v>2852</v>
      </c>
      <c r="B2913" s="138">
        <f>'Assets-Liab 5-6'!I41</f>
        <v>983377</v>
      </c>
      <c r="C2913" s="2" t="s">
        <v>573</v>
      </c>
      <c r="D2913" s="2" t="str">
        <f t="shared" si="44"/>
        <v>Error?</v>
      </c>
    </row>
    <row r="2914" spans="1:4" x14ac:dyDescent="0.2">
      <c r="A2914" s="5">
        <v>2853</v>
      </c>
      <c r="B2914" s="138">
        <f>'Assets-Liab 5-6'!L33</f>
        <v>180419</v>
      </c>
      <c r="D2914" s="2" t="str">
        <f t="shared" si="44"/>
        <v>Error?</v>
      </c>
    </row>
    <row r="2915" spans="1:4" x14ac:dyDescent="0.2">
      <c r="A2915" s="10">
        <v>2854</v>
      </c>
      <c r="D2915" s="2" t="str">
        <f t="shared" si="44"/>
        <v>OK</v>
      </c>
    </row>
    <row r="2916" spans="1:4" x14ac:dyDescent="0.2">
      <c r="A2916" s="5">
        <v>2855</v>
      </c>
      <c r="B2916" s="138">
        <f>'Assets-Liab 5-6'!L34</f>
        <v>180419</v>
      </c>
      <c r="C2916" s="2" t="s">
        <v>573</v>
      </c>
      <c r="D2916" s="2" t="str">
        <f t="shared" si="44"/>
        <v>Error?</v>
      </c>
    </row>
    <row r="2917" spans="1:4" x14ac:dyDescent="0.2">
      <c r="A2917" s="5">
        <v>2856</v>
      </c>
      <c r="B2917" s="138">
        <f>'Assets-Liab 5-6'!L41</f>
        <v>180419</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4016</v>
      </c>
      <c r="D2949" s="2" t="str">
        <f t="shared" si="45"/>
        <v>Error?</v>
      </c>
    </row>
    <row r="2950" spans="1:4" x14ac:dyDescent="0.2">
      <c r="A2950" s="5">
        <v>2889</v>
      </c>
      <c r="B2950" s="138">
        <f>'Expenditures 15-22'!E79</f>
        <v>699602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4528</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4016</v>
      </c>
      <c r="C2973" s="2" t="s">
        <v>573</v>
      </c>
      <c r="D2973" s="2" t="str">
        <f t="shared" si="45"/>
        <v>Error?</v>
      </c>
    </row>
    <row r="2974" spans="1:4" x14ac:dyDescent="0.2">
      <c r="A2974" s="5">
        <v>2913</v>
      </c>
      <c r="B2974" s="138">
        <f>'Expenditures 15-22'!K79</f>
        <v>699602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4528</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134518</v>
      </c>
      <c r="D3055" s="2" t="str">
        <f t="shared" si="46"/>
        <v>Error?</v>
      </c>
    </row>
    <row r="3056" spans="1:4" x14ac:dyDescent="0.2">
      <c r="A3056" s="5">
        <v>2995</v>
      </c>
      <c r="B3056" s="138">
        <f>'Expenditures 15-22'!D10</f>
        <v>36762</v>
      </c>
      <c r="D3056" s="2" t="str">
        <f t="shared" si="46"/>
        <v>Error?</v>
      </c>
    </row>
    <row r="3057" spans="1:4" x14ac:dyDescent="0.2">
      <c r="A3057" s="5">
        <v>2996</v>
      </c>
      <c r="B3057" s="138">
        <f>'Expenditures 15-22'!E10</f>
        <v>31072</v>
      </c>
      <c r="D3057" s="2" t="str">
        <f t="shared" si="46"/>
        <v>Error?</v>
      </c>
    </row>
    <row r="3058" spans="1:4" x14ac:dyDescent="0.2">
      <c r="A3058" s="5">
        <v>2997</v>
      </c>
      <c r="B3058" s="138">
        <f>'Expenditures 15-22'!F10</f>
        <v>77727</v>
      </c>
      <c r="D3058" s="2" t="str">
        <f t="shared" si="46"/>
        <v>Error?</v>
      </c>
    </row>
    <row r="3059" spans="1:4" x14ac:dyDescent="0.2">
      <c r="A3059" s="5">
        <v>2998</v>
      </c>
      <c r="B3059" s="138">
        <f>'Expenditures 15-22'!G10</f>
        <v>2435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282514</v>
      </c>
      <c r="C3062" s="2" t="s">
        <v>573</v>
      </c>
      <c r="D3062" s="2" t="str">
        <f t="shared" si="46"/>
        <v>Error?</v>
      </c>
    </row>
    <row r="3063" spans="1:4" x14ac:dyDescent="0.2">
      <c r="A3063" s="10">
        <v>3002</v>
      </c>
      <c r="D3063" s="2" t="str">
        <f t="shared" si="46"/>
        <v>OK</v>
      </c>
    </row>
    <row r="3064" spans="1:4" x14ac:dyDescent="0.2">
      <c r="A3064" s="5">
        <v>3003</v>
      </c>
      <c r="B3064" s="138">
        <f>'Expenditures 15-22'!D219</f>
        <v>-1700</v>
      </c>
      <c r="D3064" s="2" t="str">
        <f t="shared" si="46"/>
        <v>Error?</v>
      </c>
    </row>
    <row r="3065" spans="1:4" x14ac:dyDescent="0.2">
      <c r="A3065" s="5">
        <v>3004</v>
      </c>
      <c r="B3065" s="138">
        <f>'Expenditures 15-22'!K219</f>
        <v>-1700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32799</v>
      </c>
      <c r="C3225" s="2" t="s">
        <v>573</v>
      </c>
      <c r="D3225" s="2" t="str">
        <f t="shared" si="49"/>
        <v>Error?</v>
      </c>
    </row>
    <row r="3226" spans="1:4" x14ac:dyDescent="0.2">
      <c r="A3226" s="5">
        <v>3165</v>
      </c>
      <c r="B3226" s="138">
        <f>'Acct Summary 7-8'!I8</f>
        <v>32799</v>
      </c>
      <c r="C3226" s="2" t="s">
        <v>573</v>
      </c>
      <c r="D3226" s="2" t="str">
        <f t="shared" si="49"/>
        <v>Error?</v>
      </c>
    </row>
    <row r="3227" spans="1:4" x14ac:dyDescent="0.2">
      <c r="A3227" s="5">
        <v>3166</v>
      </c>
      <c r="B3227" s="138">
        <f>'Acct Summary 7-8'!I20</f>
        <v>32799</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-788708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-59148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7930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-31962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30349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30349</v>
      </c>
      <c r="C3277" s="2" t="s">
        <v>573</v>
      </c>
      <c r="D3277" s="2" t="str">
        <f t="shared" si="50"/>
        <v>Error?</v>
      </c>
    </row>
    <row r="3278" spans="1:4" x14ac:dyDescent="0.2">
      <c r="A3278" s="5">
        <v>3217</v>
      </c>
      <c r="B3278" s="138">
        <f>'Acct Summary 7-8'!E78</f>
        <v>-492984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107387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32799</v>
      </c>
      <c r="C3320" s="2" t="s">
        <v>573</v>
      </c>
      <c r="D3320" s="2" t="str">
        <f t="shared" si="50"/>
        <v>Error?</v>
      </c>
    </row>
    <row r="3321" spans="1:4" x14ac:dyDescent="0.2">
      <c r="A3321" s="5">
        <v>3260</v>
      </c>
      <c r="B3321" s="138">
        <f>'Acct Summary 7-8'!I79</f>
        <v>950578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983377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422431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48884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3479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474794</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36785</v>
      </c>
      <c r="D3387" s="2" t="str">
        <f t="shared" si="51"/>
        <v>Error?</v>
      </c>
    </row>
    <row r="3388" spans="1:4" x14ac:dyDescent="0.2">
      <c r="A3388" s="5">
        <v>3327</v>
      </c>
      <c r="B3388" s="138">
        <f>'Expenditures 15-22'!D217</f>
        <v>14814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36785</v>
      </c>
      <c r="C3390" s="2" t="s">
        <v>573</v>
      </c>
      <c r="D3390" s="2" t="str">
        <f t="shared" si="51"/>
        <v>Error?</v>
      </c>
    </row>
    <row r="3391" spans="1:4" x14ac:dyDescent="0.2">
      <c r="A3391" s="5">
        <v>3330</v>
      </c>
      <c r="B3391" s="138">
        <f>'Expenditures 15-22'!K217</f>
        <v>14814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5510515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1095608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8523</v>
      </c>
      <c r="D3417" s="2" t="str">
        <f t="shared" si="52"/>
        <v>Error?</v>
      </c>
    </row>
    <row r="3418" spans="1:4" x14ac:dyDescent="0.2">
      <c r="A3418" s="10">
        <v>3357</v>
      </c>
      <c r="D3418" s="2" t="str">
        <f t="shared" si="52"/>
        <v>OK</v>
      </c>
    </row>
    <row r="3419" spans="1:4" x14ac:dyDescent="0.2">
      <c r="A3419" s="5">
        <v>3358</v>
      </c>
      <c r="B3419" s="138">
        <f>'Assets-Liab 5-6'!F4</f>
        <v>992017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537432</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107390</v>
      </c>
      <c r="D3425" s="2" t="str">
        <f t="shared" si="52"/>
        <v>Error?</v>
      </c>
    </row>
    <row r="3426" spans="1:4" x14ac:dyDescent="0.2">
      <c r="A3426" s="10">
        <v>3365</v>
      </c>
      <c r="D3426" s="2" t="str">
        <f t="shared" si="52"/>
        <v>OK</v>
      </c>
    </row>
    <row r="3427" spans="1:4" x14ac:dyDescent="0.2">
      <c r="A3427" s="5">
        <v>3366</v>
      </c>
      <c r="B3427" s="138">
        <f>'Assets-Liab 5-6'!I4</f>
        <v>210177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180419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70788</v>
      </c>
      <c r="C3446" s="2" t="s">
        <v>573</v>
      </c>
      <c r="D3446" s="2" t="str">
        <f t="shared" si="52"/>
        <v>Error?</v>
      </c>
    </row>
    <row r="3447" spans="1:4" x14ac:dyDescent="0.2">
      <c r="A3447" s="5">
        <v>3386</v>
      </c>
      <c r="B3447" s="138">
        <f>'Tax Sched 23'!D16</f>
        <v>62515</v>
      </c>
      <c r="C3447" s="2" t="s">
        <v>573</v>
      </c>
      <c r="D3447" s="2" t="str">
        <f t="shared" si="52"/>
        <v>Error?</v>
      </c>
    </row>
    <row r="3448" spans="1:4" x14ac:dyDescent="0.2">
      <c r="A3448" s="5">
        <v>3387</v>
      </c>
      <c r="B3448" s="138">
        <f>'Tax Sched 23'!C16</f>
        <v>8273</v>
      </c>
      <c r="D3448" s="2" t="str">
        <f t="shared" si="52"/>
        <v>Error?</v>
      </c>
    </row>
    <row r="3449" spans="1:4" x14ac:dyDescent="0.2">
      <c r="A3449" s="5">
        <v>3388</v>
      </c>
      <c r="B3449" s="138">
        <f>'Tax Sched 23'!F16</f>
        <v>166794</v>
      </c>
      <c r="C3449" s="2" t="s">
        <v>573</v>
      </c>
      <c r="D3449" s="2" t="str">
        <f t="shared" si="52"/>
        <v>Error?</v>
      </c>
    </row>
    <row r="3450" spans="1:4" x14ac:dyDescent="0.2">
      <c r="A3450" s="5">
        <v>3389</v>
      </c>
      <c r="B3450" s="138">
        <f>'Tax Sched 23'!E16</f>
        <v>175067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51458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51458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51458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1966788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1966788</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1966788</v>
      </c>
      <c r="D3567" s="2" t="str">
        <f t="shared" si="54"/>
        <v>Error?</v>
      </c>
    </row>
    <row r="3568" spans="1:4" x14ac:dyDescent="0.2">
      <c r="A3568" s="5">
        <v>3507</v>
      </c>
      <c r="B3568" s="138">
        <f>'Assets-Liab 5-6'!K41</f>
        <v>1966788</v>
      </c>
      <c r="C3568" s="2" t="s">
        <v>573</v>
      </c>
      <c r="D3568" s="2" t="str">
        <f t="shared" si="54"/>
        <v>Error?</v>
      </c>
    </row>
    <row r="3569" spans="1:4" x14ac:dyDescent="0.2">
      <c r="A3569" s="5">
        <v>3508</v>
      </c>
      <c r="B3569" s="138">
        <f>'Acct Summary 7-8'!K4</f>
        <v>35160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35160</v>
      </c>
      <c r="C3571" s="2" t="s">
        <v>573</v>
      </c>
      <c r="D3571" s="2" t="str">
        <f t="shared" si="54"/>
        <v>Error?</v>
      </c>
    </row>
    <row r="3572" spans="1:4" x14ac:dyDescent="0.2">
      <c r="A3572" s="5">
        <v>3511</v>
      </c>
      <c r="B3572" s="138">
        <f>'Acct Summary 7-8'!K13</f>
        <v>51458</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51458</v>
      </c>
      <c r="C3575" s="2" t="s">
        <v>573</v>
      </c>
      <c r="D3575" s="2" t="str">
        <f t="shared" si="54"/>
        <v>Error?</v>
      </c>
    </row>
    <row r="3576" spans="1:4" x14ac:dyDescent="0.2">
      <c r="A3576" s="5">
        <v>3515</v>
      </c>
      <c r="B3576" s="138">
        <f>'Acct Summary 7-8'!K20</f>
        <v>-16298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1500000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1500000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1500000</v>
      </c>
      <c r="C3587" s="2" t="s">
        <v>573</v>
      </c>
      <c r="D3587" s="2" t="str">
        <f t="shared" si="55"/>
        <v>Error?</v>
      </c>
    </row>
    <row r="3588" spans="1:4" x14ac:dyDescent="0.2">
      <c r="A3588" s="5">
        <v>3527</v>
      </c>
      <c r="B3588" s="138">
        <f>'Acct Summary 7-8'!K78</f>
        <v>1483702</v>
      </c>
      <c r="C3588" s="2" t="s">
        <v>573</v>
      </c>
      <c r="D3588" s="2" t="str">
        <f t="shared" si="55"/>
        <v>Error?</v>
      </c>
    </row>
    <row r="3589" spans="1:4" x14ac:dyDescent="0.2">
      <c r="A3589" s="5">
        <v>3528</v>
      </c>
      <c r="B3589" s="138">
        <f>'Acct Summary 7-8'!K79</f>
        <v>483086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1966788</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51458</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51458</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51458</v>
      </c>
      <c r="C3649" s="2" t="s">
        <v>573</v>
      </c>
      <c r="D3649" s="2" t="str">
        <f t="shared" si="56"/>
        <v>Error?</v>
      </c>
    </row>
    <row r="3650" spans="1:4" x14ac:dyDescent="0.2">
      <c r="A3650" s="5">
        <v>3589</v>
      </c>
      <c r="B3650" s="138">
        <f>'Expenditures 15-22'!G367</f>
        <v>51458</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51458</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51458</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51458</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51458</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-16298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24645</v>
      </c>
      <c r="C3725" s="2" t="s">
        <v>573</v>
      </c>
      <c r="D3725" s="2" t="str">
        <f t="shared" si="57"/>
        <v>Error?</v>
      </c>
    </row>
    <row r="3726" spans="1:4" x14ac:dyDescent="0.2">
      <c r="A3726" s="5">
        <v>3665</v>
      </c>
      <c r="B3726" s="138">
        <f>'Tax Sched 23'!D13</f>
        <v>22257</v>
      </c>
      <c r="C3726" s="2" t="s">
        <v>573</v>
      </c>
      <c r="D3726" s="2" t="str">
        <f t="shared" si="57"/>
        <v>Error?</v>
      </c>
    </row>
    <row r="3727" spans="1:4" x14ac:dyDescent="0.2">
      <c r="A3727" s="5">
        <v>3666</v>
      </c>
      <c r="B3727" s="138">
        <f>'Tax Sched 23'!C13</f>
        <v>2388</v>
      </c>
      <c r="D3727" s="2" t="str">
        <f t="shared" si="57"/>
        <v>Error?</v>
      </c>
    </row>
    <row r="3728" spans="1:4" x14ac:dyDescent="0.2">
      <c r="A3728" s="5">
        <v>3667</v>
      </c>
      <c r="B3728" s="138">
        <f>'Tax Sched 23'!F13</f>
        <v>48122</v>
      </c>
      <c r="C3728" s="2" t="s">
        <v>573</v>
      </c>
      <c r="D3728" s="2" t="str">
        <f t="shared" si="57"/>
        <v>Error?</v>
      </c>
    </row>
    <row r="3729" spans="1:4" x14ac:dyDescent="0.2">
      <c r="A3729" s="5">
        <v>3668</v>
      </c>
      <c r="B3729" s="138">
        <f>'Tax Sched 23'!E13</f>
        <v>50510</v>
      </c>
      <c r="D3729" s="2" t="str">
        <f t="shared" si="57"/>
        <v>Error?</v>
      </c>
    </row>
    <row r="3730" spans="1:4" x14ac:dyDescent="0.2">
      <c r="A3730" s="5">
        <v>3669</v>
      </c>
      <c r="B3730" s="138">
        <f>'ICR Computation 30'!E10</f>
        <v>257617</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2653772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9429255</v>
      </c>
      <c r="C4122" s="2" t="s">
        <v>573</v>
      </c>
      <c r="D4122" s="2" t="str">
        <f t="shared" si="63"/>
        <v>Error?</v>
      </c>
    </row>
    <row r="4123" spans="1:4" x14ac:dyDescent="0.2">
      <c r="A4123" s="5">
        <v>4062</v>
      </c>
      <c r="B4123" s="138">
        <f>'Acct Summary 7-8'!D10</f>
        <v>392702</v>
      </c>
      <c r="C4123" s="2" t="s">
        <v>573</v>
      </c>
      <c r="D4123" s="2" t="str">
        <f t="shared" si="63"/>
        <v>Error?</v>
      </c>
    </row>
    <row r="4124" spans="1:4" x14ac:dyDescent="0.2">
      <c r="A4124" s="5">
        <v>4063</v>
      </c>
      <c r="B4124" s="138">
        <f>'Acct Summary 7-8'!E10</f>
        <v>180906</v>
      </c>
      <c r="C4124" s="2" t="s">
        <v>573</v>
      </c>
      <c r="D4124" s="2" t="str">
        <f t="shared" si="63"/>
        <v>Error?</v>
      </c>
    </row>
    <row r="4125" spans="1:4" x14ac:dyDescent="0.2">
      <c r="A4125" s="5">
        <v>4064</v>
      </c>
      <c r="B4125" s="138">
        <f>'Acct Summary 7-8'!F10</f>
        <v>491597</v>
      </c>
      <c r="C4125" s="2" t="s">
        <v>573</v>
      </c>
      <c r="D4125" s="2" t="str">
        <f t="shared" si="63"/>
        <v>Error?</v>
      </c>
    </row>
    <row r="4126" spans="1:4" x14ac:dyDescent="0.2">
      <c r="A4126" s="5">
        <v>4065</v>
      </c>
      <c r="B4126" s="138">
        <f>'Acct Summary 7-8'!G10</f>
        <v>141972</v>
      </c>
      <c r="C4126" s="2" t="s">
        <v>573</v>
      </c>
      <c r="D4126" s="2" t="str">
        <f t="shared" si="63"/>
        <v>Error?</v>
      </c>
    </row>
    <row r="4127" spans="1:4" x14ac:dyDescent="0.2">
      <c r="A4127" s="5">
        <v>4066</v>
      </c>
      <c r="B4127" s="138">
        <f>'Acct Summary 7-8'!H10</f>
        <v>439328</v>
      </c>
      <c r="C4127" s="2" t="s">
        <v>573</v>
      </c>
      <c r="D4127" s="2" t="str">
        <f t="shared" si="63"/>
        <v>Error?</v>
      </c>
    </row>
    <row r="4128" spans="1:4" x14ac:dyDescent="0.2">
      <c r="A4128" s="5">
        <v>4067</v>
      </c>
      <c r="B4128" s="138">
        <f>'Acct Summary 7-8'!I10</f>
        <v>32799</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35160</v>
      </c>
      <c r="C4130" s="2" t="s">
        <v>573</v>
      </c>
      <c r="D4130" s="2" t="str">
        <f t="shared" si="63"/>
        <v>Error?</v>
      </c>
    </row>
    <row r="4131" spans="1:4" x14ac:dyDescent="0.2">
      <c r="A4131" s="5">
        <v>4070</v>
      </c>
      <c r="B4131" s="138">
        <f>'Acct Summary 7-8'!C18</f>
        <v>2653772</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10217963</v>
      </c>
      <c r="C4136" s="2" t="s">
        <v>573</v>
      </c>
      <c r="D4136" s="2" t="str">
        <f t="shared" si="63"/>
        <v>Error?</v>
      </c>
    </row>
    <row r="4137" spans="1:4" x14ac:dyDescent="0.2">
      <c r="A4137" s="5">
        <v>4076</v>
      </c>
      <c r="B4137" s="138">
        <f>'Acct Summary 7-8'!D19</f>
        <v>451850</v>
      </c>
      <c r="C4137" s="2" t="s">
        <v>573</v>
      </c>
      <c r="D4137" s="2" t="str">
        <f t="shared" si="63"/>
        <v>Error?</v>
      </c>
    </row>
    <row r="4138" spans="1:4" x14ac:dyDescent="0.2">
      <c r="A4138" s="5">
        <v>4077</v>
      </c>
      <c r="B4138" s="138">
        <f>'Acct Summary 7-8'!E19</f>
        <v>704239</v>
      </c>
      <c r="C4138" s="2" t="s">
        <v>573</v>
      </c>
      <c r="D4138" s="2" t="str">
        <f t="shared" si="63"/>
        <v>Error?</v>
      </c>
    </row>
    <row r="4139" spans="1:4" x14ac:dyDescent="0.2">
      <c r="A4139" s="5">
        <v>4078</v>
      </c>
      <c r="B4139" s="138">
        <f>'Acct Summary 7-8'!F19</f>
        <v>483667</v>
      </c>
      <c r="C4139" s="2" t="s">
        <v>573</v>
      </c>
      <c r="D4139" s="2" t="str">
        <f t="shared" si="63"/>
        <v>Error?</v>
      </c>
    </row>
    <row r="4140" spans="1:4" x14ac:dyDescent="0.2">
      <c r="A4140" s="5">
        <v>4079</v>
      </c>
      <c r="B4140" s="138">
        <f>'Acct Summary 7-8'!G19</f>
        <v>173934</v>
      </c>
      <c r="C4140" s="2" t="s">
        <v>573</v>
      </c>
      <c r="D4140" s="2" t="str">
        <f t="shared" si="63"/>
        <v>Error?</v>
      </c>
    </row>
    <row r="4141" spans="1:4" x14ac:dyDescent="0.2">
      <c r="A4141" s="5">
        <v>4080</v>
      </c>
      <c r="B4141" s="138">
        <f>'Acct Summary 7-8'!H19</f>
        <v>331941</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51458</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1500000</v>
      </c>
      <c r="C4171" s="2" t="s">
        <v>573</v>
      </c>
      <c r="D4171" s="2" t="str">
        <f t="shared" si="64"/>
        <v>Error?</v>
      </c>
    </row>
    <row r="4172" spans="1:4" x14ac:dyDescent="0.2">
      <c r="A4172" s="5">
        <v>4111</v>
      </c>
      <c r="B4172" s="138">
        <f>'Short-Term Long-Term Debt 24'!J49</f>
        <v>1491477</v>
      </c>
      <c r="C4172" s="2" t="s">
        <v>573</v>
      </c>
      <c r="D4172" s="2" t="str">
        <f t="shared" si="64"/>
        <v>Error?</v>
      </c>
    </row>
    <row r="4173" spans="1:4" x14ac:dyDescent="0.2">
      <c r="A4173" s="5">
        <v>4112</v>
      </c>
      <c r="B4173" s="138">
        <f>'Short-Term Long-Term Debt 24'!H49</f>
        <v>495739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3250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449.99999999999994</v>
      </c>
      <c r="C4267" s="2" t="s">
        <v>573</v>
      </c>
      <c r="D4267" s="2" t="str">
        <f t="shared" si="65"/>
        <v>Error?</v>
      </c>
      <c r="E4267" s="128"/>
    </row>
    <row r="4268" spans="1:5" x14ac:dyDescent="0.2">
      <c r="A4268" s="12">
        <v>4207</v>
      </c>
      <c r="B4268" s="138">
        <f>('FP Info 3'!J10)*100000</f>
        <v>4200</v>
      </c>
      <c r="C4268" s="2" t="s">
        <v>573</v>
      </c>
      <c r="D4268" s="2" t="str">
        <f t="shared" si="65"/>
        <v>Error?</v>
      </c>
    </row>
    <row r="4269" spans="1:5" x14ac:dyDescent="0.2">
      <c r="A4269" s="12">
        <v>4208</v>
      </c>
      <c r="B4269" s="138">
        <f>'FP Info 3'!J16</f>
        <v>12409240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3730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14919</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14919</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32141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2090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101019657</v>
      </c>
      <c r="D4995" s="2" t="str">
        <f t="shared" si="77"/>
        <v>Error?</v>
      </c>
    </row>
    <row r="4996" spans="1:4" x14ac:dyDescent="0.2">
      <c r="A4996" s="12">
        <v>4935</v>
      </c>
      <c r="B4996" s="138">
        <f>'FP Info 3'!H31</f>
        <v>13940712.666000001</v>
      </c>
      <c r="D4996" s="2" t="str">
        <f t="shared" si="77"/>
        <v>Error?</v>
      </c>
    </row>
    <row r="4997" spans="1:4" x14ac:dyDescent="0.2">
      <c r="A4997" s="12">
        <v>4936</v>
      </c>
      <c r="B4997" s="138">
        <f>'FP Info 3'!H37</f>
        <v>1500000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24645</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1607068</v>
      </c>
      <c r="D5061" s="2" t="str">
        <f t="shared" si="78"/>
        <v>Error?</v>
      </c>
    </row>
    <row r="5062" spans="1:4" x14ac:dyDescent="0.2">
      <c r="A5062" s="10">
        <v>5001</v>
      </c>
      <c r="D5062" s="2" t="str">
        <f t="shared" si="78"/>
        <v>OK</v>
      </c>
    </row>
    <row r="5063" spans="1:4" x14ac:dyDescent="0.2">
      <c r="A5063" s="5">
        <v>5002</v>
      </c>
      <c r="B5063" s="138">
        <f>'Revenues 9-14'!C7</f>
        <v>19711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1651424</v>
      </c>
      <c r="C5066" s="2" t="s">
        <v>573</v>
      </c>
      <c r="D5066" s="2" t="str">
        <f t="shared" si="78"/>
        <v>Error?</v>
      </c>
    </row>
    <row r="5067" spans="1:4" x14ac:dyDescent="0.2">
      <c r="A5067" s="5">
        <v>5006</v>
      </c>
      <c r="B5067" s="138">
        <f>'Revenues 9-14'!C14</f>
        <v>139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139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133386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133386</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67627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5087</v>
      </c>
      <c r="D5094" s="2" t="str">
        <f t="shared" si="78"/>
        <v>Error?</v>
      </c>
    </row>
    <row r="5095" spans="1:4" x14ac:dyDescent="0.2">
      <c r="A5095" s="5">
        <v>5034</v>
      </c>
      <c r="B5095" s="138">
        <f>'Revenues 9-14'!C74</f>
        <v>120</v>
      </c>
      <c r="D5095" s="2" t="str">
        <f t="shared" si="78"/>
        <v>Error?</v>
      </c>
    </row>
    <row r="5096" spans="1:4" x14ac:dyDescent="0.2">
      <c r="A5096" s="5">
        <v>5035</v>
      </c>
      <c r="B5096" s="138">
        <f>'Revenues 9-14'!C75</f>
        <v>162055</v>
      </c>
      <c r="C5096" s="2" t="s">
        <v>573</v>
      </c>
      <c r="D5096" s="2" t="str">
        <f t="shared" si="78"/>
        <v>Error?</v>
      </c>
    </row>
    <row r="5097" spans="1:4" x14ac:dyDescent="0.2">
      <c r="A5097" s="5">
        <v>5036</v>
      </c>
      <c r="B5097" s="138">
        <f>'Revenues 9-14'!C77</f>
        <v>26749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26749</v>
      </c>
      <c r="C5102" s="2" t="s">
        <v>573</v>
      </c>
      <c r="D5102" s="2" t="str">
        <f t="shared" si="78"/>
        <v>Error?</v>
      </c>
    </row>
    <row r="5103" spans="1:4" x14ac:dyDescent="0.2">
      <c r="A5103" s="5">
        <v>5042</v>
      </c>
      <c r="B5103" s="138">
        <f>'Revenues 9-14'!C84</f>
        <v>40656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40656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5894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57221</v>
      </c>
      <c r="D5119" s="2" t="str">
        <f t="shared" ref="D5119:D5182" si="79">IF(ISBLANK(B5119),"OK",IF(A5119-B5119=0,"OK","Error?"))</f>
        <v>Error?</v>
      </c>
    </row>
    <row r="5120" spans="1:4" x14ac:dyDescent="0.2">
      <c r="A5120" s="5">
        <v>5059</v>
      </c>
      <c r="B5120" s="138">
        <f>'Revenues 9-14'!C108</f>
        <v>67313</v>
      </c>
      <c r="C5120" s="2" t="s">
        <v>573</v>
      </c>
      <c r="D5120" s="2" t="str">
        <f t="shared" si="79"/>
        <v>Error?</v>
      </c>
    </row>
    <row r="5121" spans="1:4" x14ac:dyDescent="0.2">
      <c r="A5121" s="5">
        <v>5060</v>
      </c>
      <c r="B5121" s="138">
        <f>'Revenues 9-14'!C109</f>
        <v>2081722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3668984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3668984</v>
      </c>
      <c r="C5132" s="2" t="s">
        <v>573</v>
      </c>
      <c r="D5132" s="2" t="str">
        <f t="shared" si="79"/>
        <v>Error?</v>
      </c>
    </row>
    <row r="5133" spans="1:4" x14ac:dyDescent="0.2">
      <c r="A5133" s="5">
        <v>5072</v>
      </c>
      <c r="B5133" s="138">
        <f>'Revenues 9-14'!C125</f>
        <v>27580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14809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42389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4103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4408</v>
      </c>
      <c r="D5167" s="2" t="str">
        <f t="shared" si="79"/>
        <v>Error?</v>
      </c>
    </row>
    <row r="5168" spans="1:4" x14ac:dyDescent="0.2">
      <c r="A5168" s="5">
        <v>5107</v>
      </c>
      <c r="B5168" s="138">
        <f>'Revenues 9-14'!C148</f>
        <v>10739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323706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387435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4056419</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201048</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56569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257617</v>
      </c>
      <c r="C5246" s="2" t="s">
        <v>573</v>
      </c>
      <c r="D5246" s="2" t="str">
        <f t="shared" si="80"/>
        <v>Error?</v>
      </c>
    </row>
    <row r="5247" spans="1:4" x14ac:dyDescent="0.2">
      <c r="A5247" s="5">
        <v>5186</v>
      </c>
      <c r="B5247" s="138">
        <f>'Revenues 9-14'!C200</f>
        <v>328935</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328935</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637342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637342</v>
      </c>
      <c r="C5326" s="2" t="s">
        <v>573</v>
      </c>
      <c r="D5326" s="2" t="str">
        <f t="shared" si="82"/>
        <v>Error?</v>
      </c>
    </row>
    <row r="5327" spans="1:5" x14ac:dyDescent="0.2">
      <c r="A5327" s="5">
        <v>5266</v>
      </c>
      <c r="B5327" s="138">
        <f>'Revenues 9-14'!C268</f>
        <v>6775483</v>
      </c>
      <c r="C5327" s="2" t="s">
        <v>573</v>
      </c>
      <c r="D5327" s="2" t="str">
        <f t="shared" si="82"/>
        <v>Error?</v>
      </c>
    </row>
    <row r="5328" spans="1:5" x14ac:dyDescent="0.2">
      <c r="A5328" s="5">
        <v>5267</v>
      </c>
      <c r="B5328" s="138">
        <f>'Revenues 9-14'!D5</f>
        <v>247250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247250</v>
      </c>
      <c r="C5334" s="2" t="s">
        <v>573</v>
      </c>
      <c r="D5334" s="2" t="str">
        <f t="shared" si="82"/>
        <v>Error?</v>
      </c>
    </row>
    <row r="5335" spans="1:4" x14ac:dyDescent="0.2">
      <c r="A5335" s="5">
        <v>5274</v>
      </c>
      <c r="B5335" s="138">
        <f>'Revenues 9-14'!D14</f>
        <v>21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129628</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129649</v>
      </c>
      <c r="C5339" s="2" t="s">
        <v>573</v>
      </c>
      <c r="D5339" s="2" t="str">
        <f t="shared" si="82"/>
        <v>Error?</v>
      </c>
    </row>
    <row r="5340" spans="1:4" x14ac:dyDescent="0.2">
      <c r="A5340" s="5">
        <v>5279</v>
      </c>
      <c r="B5340" s="138">
        <f>'Revenues 9-14'!D65</f>
        <v>12487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12487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2784</v>
      </c>
      <c r="D5354" s="2" t="str">
        <f t="shared" si="82"/>
        <v>Error?</v>
      </c>
    </row>
    <row r="5355" spans="1:4" x14ac:dyDescent="0.2">
      <c r="A5355" s="5">
        <v>5294</v>
      </c>
      <c r="B5355" s="138">
        <f>'Revenues 9-14'!D108</f>
        <v>3316</v>
      </c>
      <c r="C5355" s="2" t="s">
        <v>573</v>
      </c>
      <c r="D5355" s="2" t="str">
        <f t="shared" si="82"/>
        <v>Error?</v>
      </c>
    </row>
    <row r="5356" spans="1:4" x14ac:dyDescent="0.2">
      <c r="A5356" s="5">
        <v>5295</v>
      </c>
      <c r="B5356" s="138">
        <f>'Revenues 9-14'!D109</f>
        <v>392702</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392702</v>
      </c>
      <c r="C5508" s="2" t="s">
        <v>573</v>
      </c>
      <c r="D5508" s="2" t="str">
        <f t="shared" si="85"/>
        <v>Error?</v>
      </c>
    </row>
    <row r="5509" spans="1:4" x14ac:dyDescent="0.2">
      <c r="A5509" s="5">
        <v>5448</v>
      </c>
      <c r="B5509" s="138">
        <f>'Revenues 9-14'!E5</f>
        <v>88635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88635</v>
      </c>
      <c r="C5513" s="2" t="s">
        <v>573</v>
      </c>
      <c r="D5513" s="2" t="str">
        <f t="shared" si="85"/>
        <v>Error?</v>
      </c>
    </row>
    <row r="5514" spans="1:4" x14ac:dyDescent="0.2">
      <c r="A5514" s="5">
        <v>5453</v>
      </c>
      <c r="B5514" s="138">
        <f>'Revenues 9-14'!E14</f>
        <v>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7</v>
      </c>
      <c r="C5518" s="2" t="s">
        <v>573</v>
      </c>
      <c r="D5518" s="2" t="str">
        <f t="shared" si="85"/>
        <v>Error?</v>
      </c>
    </row>
    <row r="5519" spans="1:4" x14ac:dyDescent="0.2">
      <c r="A5519" s="5">
        <v>5458</v>
      </c>
      <c r="B5519" s="138">
        <f>'Revenues 9-14'!E65</f>
        <v>2025</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2025</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90239</v>
      </c>
      <c r="C5526" s="2" t="s">
        <v>573</v>
      </c>
      <c r="D5526" s="2" t="str">
        <f t="shared" si="85"/>
        <v>Error?</v>
      </c>
    </row>
    <row r="5527" spans="1:4" x14ac:dyDescent="0.2">
      <c r="A5527" s="5">
        <v>5466</v>
      </c>
      <c r="B5527" s="138">
        <f>'Revenues 9-14'!E109</f>
        <v>180906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180906</v>
      </c>
      <c r="C5552" s="2" t="s">
        <v>573</v>
      </c>
      <c r="D5552" s="2" t="str">
        <f t="shared" si="85"/>
        <v>Error?</v>
      </c>
    </row>
    <row r="5553" spans="1:4" x14ac:dyDescent="0.2">
      <c r="A5553" s="5">
        <v>5492</v>
      </c>
      <c r="B5553" s="138">
        <f>'Revenues 9-14'!F5</f>
        <v>222525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222525</v>
      </c>
      <c r="C5557" s="2" t="s">
        <v>573</v>
      </c>
      <c r="D5557" s="2" t="str">
        <f t="shared" si="85"/>
        <v>Error?</v>
      </c>
    </row>
    <row r="5558" spans="1:4" x14ac:dyDescent="0.2">
      <c r="A5558" s="5">
        <v>5497</v>
      </c>
      <c r="B5558" s="138">
        <f>'Revenues 9-14'!F14</f>
        <v>19</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19</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23141</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23141</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6082</v>
      </c>
      <c r="D5586" s="2" t="str">
        <f t="shared" si="86"/>
        <v>Error?</v>
      </c>
    </row>
    <row r="5587" spans="1:4" x14ac:dyDescent="0.2">
      <c r="A5587" s="5">
        <v>5526</v>
      </c>
      <c r="B5587" s="138">
        <f>'Revenues 9-14'!F108</f>
        <v>6082</v>
      </c>
      <c r="C5587" s="2" t="s">
        <v>573</v>
      </c>
      <c r="D5587" s="2" t="str">
        <f t="shared" si="86"/>
        <v>Error?</v>
      </c>
    </row>
    <row r="5588" spans="1:4" x14ac:dyDescent="0.2">
      <c r="A5588" s="5">
        <v>5527</v>
      </c>
      <c r="B5588" s="138">
        <f>'Revenues 9-14'!F109</f>
        <v>251767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171420</v>
      </c>
      <c r="D5615" s="2" t="str">
        <f t="shared" si="86"/>
        <v>Error?</v>
      </c>
    </row>
    <row r="5616" spans="1:4" x14ac:dyDescent="0.2">
      <c r="A5616" s="10">
        <v>5555</v>
      </c>
      <c r="D5616" s="2" t="str">
        <f t="shared" si="86"/>
        <v>OK</v>
      </c>
    </row>
    <row r="5617" spans="1:5" x14ac:dyDescent="0.2">
      <c r="A5617" s="5">
        <v>5556</v>
      </c>
      <c r="B5617" s="138">
        <f>'Revenues 9-14'!F153</f>
        <v>68410</v>
      </c>
      <c r="D5617" s="2" t="str">
        <f t="shared" si="86"/>
        <v>Error?</v>
      </c>
    </row>
    <row r="5618" spans="1:5" x14ac:dyDescent="0.2">
      <c r="A5618" s="5">
        <v>5557</v>
      </c>
      <c r="B5618" s="138">
        <f>'Revenues 9-14'!F155</f>
        <v>239830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239830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239830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491597</v>
      </c>
      <c r="C5720" s="2" t="s">
        <v>573</v>
      </c>
      <c r="D5720" s="2" t="str">
        <f t="shared" si="88"/>
        <v>Error?</v>
      </c>
    </row>
    <row r="5721" spans="1:4" x14ac:dyDescent="0.2">
      <c r="A5721" s="5">
        <v>5660</v>
      </c>
      <c r="B5721" s="138">
        <f>'Revenues 9-14'!G5</f>
        <v>58149</v>
      </c>
      <c r="D5721" s="2" t="str">
        <f t="shared" si="88"/>
        <v>Error?</v>
      </c>
    </row>
    <row r="5722" spans="1:4" x14ac:dyDescent="0.2">
      <c r="A5722" s="5">
        <v>5661</v>
      </c>
      <c r="B5722" s="138">
        <f>'Revenues 9-14'!G7</f>
        <v>0</v>
      </c>
      <c r="D5722" s="2" t="str">
        <f t="shared" si="88"/>
        <v>Error?</v>
      </c>
    </row>
    <row r="5723" spans="1:4" x14ac:dyDescent="0.2">
      <c r="A5723" s="5">
        <v>5662</v>
      </c>
      <c r="B5723" s="138">
        <f>'Revenues 9-14'!G8</f>
        <v>70788</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128937</v>
      </c>
      <c r="C5725" s="2" t="s">
        <v>573</v>
      </c>
      <c r="D5725" s="2" t="str">
        <f t="shared" si="88"/>
        <v>Error?</v>
      </c>
    </row>
    <row r="5726" spans="1:4" x14ac:dyDescent="0.2">
      <c r="A5726" s="5">
        <v>5665</v>
      </c>
      <c r="B5726" s="138">
        <f>'Revenues 9-14'!G14</f>
        <v>11</v>
      </c>
      <c r="D5726" s="2" t="str">
        <f t="shared" si="88"/>
        <v>Error?</v>
      </c>
    </row>
    <row r="5727" spans="1:4" x14ac:dyDescent="0.2">
      <c r="A5727" s="5">
        <v>5666</v>
      </c>
      <c r="B5727" s="138">
        <f>'Revenues 9-14'!G15</f>
        <v>0</v>
      </c>
      <c r="D5727" s="2" t="str">
        <f t="shared" si="88"/>
        <v>Error?</v>
      </c>
    </row>
    <row r="5728" spans="1:4" x14ac:dyDescent="0.2">
      <c r="A5728" s="5">
        <v>5667</v>
      </c>
      <c r="B5728" s="138">
        <f>'Revenues 9-14'!G16</f>
        <v>6628</v>
      </c>
      <c r="D5728" s="2" t="str">
        <f t="shared" si="88"/>
        <v>Error?</v>
      </c>
    </row>
    <row r="5729" spans="1:4" x14ac:dyDescent="0.2">
      <c r="A5729" s="5">
        <v>5668</v>
      </c>
      <c r="B5729" s="138">
        <f>'Revenues 9-14'!G17</f>
        <v>0</v>
      </c>
      <c r="D5729" s="2" t="str">
        <f t="shared" si="88"/>
        <v>Error?</v>
      </c>
    </row>
    <row r="5730" spans="1:4" x14ac:dyDescent="0.2">
      <c r="A5730" s="5">
        <v>5669</v>
      </c>
      <c r="B5730" s="138">
        <f>'Revenues 9-14'!G18</f>
        <v>6639</v>
      </c>
      <c r="C5730" s="2" t="s">
        <v>573</v>
      </c>
      <c r="D5730" s="2" t="str">
        <f t="shared" si="88"/>
        <v>Error?</v>
      </c>
    </row>
    <row r="5731" spans="1:4" x14ac:dyDescent="0.2">
      <c r="A5731" s="5">
        <v>5670</v>
      </c>
      <c r="B5731" s="138">
        <f>'Revenues 9-14'!G65</f>
        <v>6396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6396</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141972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930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930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438398</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439328</v>
      </c>
      <c r="C5915" s="2" t="s">
        <v>573</v>
      </c>
      <c r="D5915" s="2" t="str">
        <f t="shared" si="91"/>
        <v>Error?</v>
      </c>
    </row>
    <row r="5916" spans="1:4" x14ac:dyDescent="0.2">
      <c r="A5916" s="5">
        <v>5855</v>
      </c>
      <c r="B5916" s="138">
        <f>'Revenues 9-14'!I5</f>
        <v>24645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24645</v>
      </c>
      <c r="C5918" s="2" t="s">
        <v>573</v>
      </c>
      <c r="D5918" s="2" t="str">
        <f t="shared" si="91"/>
        <v>Error?</v>
      </c>
    </row>
    <row r="5919" spans="1:4" x14ac:dyDescent="0.2">
      <c r="A5919" s="5">
        <v>5858</v>
      </c>
      <c r="B5919" s="138">
        <f>'Revenues 9-14'!I14</f>
        <v>2</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2</v>
      </c>
      <c r="C5923" s="2" t="s">
        <v>573</v>
      </c>
      <c r="D5923" s="2" t="str">
        <f t="shared" si="91"/>
        <v>Error?</v>
      </c>
    </row>
    <row r="5924" spans="1:4" x14ac:dyDescent="0.2">
      <c r="A5924" s="5">
        <v>5863</v>
      </c>
      <c r="B5924" s="138">
        <f>'Revenues 9-14'!I65</f>
        <v>8152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8152</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32799</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24645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24645</v>
      </c>
      <c r="C5987" s="2" t="s">
        <v>573</v>
      </c>
      <c r="D5987" s="2" t="str">
        <f t="shared" si="92"/>
        <v>Error?</v>
      </c>
    </row>
    <row r="5988" spans="1:4" x14ac:dyDescent="0.2">
      <c r="A5988" s="5">
        <v>5927</v>
      </c>
      <c r="B5988" s="138">
        <f>'Revenues 9-14'!K14</f>
        <v>2</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2</v>
      </c>
      <c r="C5992" s="2" t="s">
        <v>573</v>
      </c>
      <c r="D5992" s="2" t="str">
        <f t="shared" si="92"/>
        <v>Error?</v>
      </c>
    </row>
    <row r="5993" spans="1:4" x14ac:dyDescent="0.2">
      <c r="A5993" s="5">
        <v>5932</v>
      </c>
      <c r="B5993" s="138">
        <f>'Revenues 9-14'!K65</f>
        <v>10513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10513</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35160</v>
      </c>
      <c r="C6023" s="2" t="s">
        <v>573</v>
      </c>
      <c r="D6023" s="2" t="str">
        <f t="shared" si="93"/>
        <v>Error?</v>
      </c>
    </row>
    <row r="6024" spans="1:5" x14ac:dyDescent="0.2">
      <c r="A6024" s="5">
        <v>5963</v>
      </c>
      <c r="B6024" s="138">
        <f>'Revenues 9-14'!G109</f>
        <v>141972</v>
      </c>
      <c r="C6024" s="2" t="s">
        <v>573</v>
      </c>
      <c r="D6024" s="2" t="str">
        <f t="shared" si="93"/>
        <v>Error?</v>
      </c>
    </row>
    <row r="6025" spans="1:5" x14ac:dyDescent="0.2">
      <c r="A6025" s="5">
        <v>5964</v>
      </c>
      <c r="B6025" s="138">
        <f>'Revenues 9-14'!H109</f>
        <v>439328</v>
      </c>
      <c r="C6025" s="2" t="s">
        <v>573</v>
      </c>
      <c r="D6025" s="2" t="str">
        <f t="shared" si="93"/>
        <v>Error?</v>
      </c>
    </row>
    <row r="6026" spans="1:5" x14ac:dyDescent="0.2">
      <c r="A6026" s="5">
        <v>5965</v>
      </c>
      <c r="B6026" s="138">
        <f>'Revenues 9-14'!I109</f>
        <v>32799</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35160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89221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34256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880.3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56735</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456061</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456061</v>
      </c>
      <c r="D6215" s="2" t="str">
        <f t="shared" si="96"/>
        <v>Error?</v>
      </c>
      <c r="E6215" s="2" t="s">
        <v>190</v>
      </c>
    </row>
    <row r="6216" spans="1:5" x14ac:dyDescent="0.2">
      <c r="A6216">
        <v>6155</v>
      </c>
      <c r="B6216" s="138">
        <f>'Assets-Liab 5-6'!J41</f>
        <v>456061</v>
      </c>
      <c r="D6216" s="2" t="str">
        <f t="shared" si="96"/>
        <v>Error?</v>
      </c>
      <c r="E6216" s="2" t="s">
        <v>190</v>
      </c>
    </row>
    <row r="6217" spans="1:5" x14ac:dyDescent="0.2">
      <c r="A6217">
        <v>6156</v>
      </c>
      <c r="B6217" s="138">
        <f>'Assets-Liab 5-6'!J4</f>
        <v>456061</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148777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148777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148777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161697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161697</v>
      </c>
      <c r="D6229" s="2" t="str">
        <f t="shared" si="96"/>
        <v>Error?</v>
      </c>
      <c r="E6229" s="2" t="s">
        <v>190</v>
      </c>
    </row>
    <row r="6230" spans="1:5" x14ac:dyDescent="0.2">
      <c r="A6230">
        <v>6169</v>
      </c>
      <c r="B6230" s="138">
        <f>'Acct Summary 7-8'!J20</f>
        <v>-12920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-12920</v>
      </c>
      <c r="D6263" s="2" t="str">
        <f t="shared" si="96"/>
        <v>Error?</v>
      </c>
      <c r="E6263" s="2" t="s">
        <v>190</v>
      </c>
    </row>
    <row r="6264" spans="1:5" x14ac:dyDescent="0.2">
      <c r="A6264">
        <v>6203</v>
      </c>
      <c r="B6264" s="138">
        <f>'Acct Summary 7-8'!J79</f>
        <v>468981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456061</v>
      </c>
      <c r="D6266" s="2" t="str">
        <f t="shared" si="96"/>
        <v>Error?</v>
      </c>
      <c r="E6266" s="2" t="s">
        <v>190</v>
      </c>
    </row>
    <row r="6267" spans="1:5" x14ac:dyDescent="0.2">
      <c r="A6267">
        <v>6206</v>
      </c>
      <c r="B6267" s="138">
        <f>'Acct Summary 7-8'!C82</f>
        <v>-788708</v>
      </c>
      <c r="D6267" s="2" t="str">
        <f t="shared" si="96"/>
        <v>Error?</v>
      </c>
      <c r="E6267" s="2" t="s">
        <v>190</v>
      </c>
    </row>
    <row r="6268" spans="1:5" x14ac:dyDescent="0.2">
      <c r="A6268">
        <v>6207</v>
      </c>
      <c r="B6268" s="138">
        <f>'Acct Summary 7-8'!D82</f>
        <v>-59148</v>
      </c>
      <c r="D6268" s="2" t="str">
        <f t="shared" si="96"/>
        <v>Error?</v>
      </c>
      <c r="E6268" s="2" t="s">
        <v>190</v>
      </c>
    </row>
    <row r="6269" spans="1:5" x14ac:dyDescent="0.2">
      <c r="A6269">
        <v>6208</v>
      </c>
      <c r="B6269" s="138">
        <f>'Acct Summary 7-8'!E82</f>
        <v>-492984</v>
      </c>
      <c r="D6269" s="2" t="str">
        <f t="shared" si="96"/>
        <v>Error?</v>
      </c>
      <c r="E6269" s="2" t="s">
        <v>190</v>
      </c>
    </row>
    <row r="6270" spans="1:5" x14ac:dyDescent="0.2">
      <c r="A6270">
        <v>6209</v>
      </c>
      <c r="B6270" s="138">
        <f>'Acct Summary 7-8'!F82</f>
        <v>7930</v>
      </c>
      <c r="D6270" s="2" t="str">
        <f t="shared" si="96"/>
        <v>Error?</v>
      </c>
      <c r="E6270" s="2" t="s">
        <v>190</v>
      </c>
    </row>
    <row r="6271" spans="1:5" x14ac:dyDescent="0.2">
      <c r="A6271">
        <v>6210</v>
      </c>
      <c r="B6271" s="138">
        <f>'Acct Summary 7-8'!G82</f>
        <v>-31962</v>
      </c>
      <c r="D6271" s="2" t="str">
        <f t="shared" ref="D6271:D6334" si="97">IF(ISBLANK(B6271),"OK",IF(A6271-B6271=0,"OK","Error?"))</f>
        <v>Error?</v>
      </c>
      <c r="E6271" s="2" t="s">
        <v>190</v>
      </c>
    </row>
    <row r="6272" spans="1:5" x14ac:dyDescent="0.2">
      <c r="A6272">
        <v>6211</v>
      </c>
      <c r="B6272" s="138">
        <f>'Acct Summary 7-8'!H82</f>
        <v>107387</v>
      </c>
      <c r="D6272" s="2" t="str">
        <f t="shared" si="97"/>
        <v>Error?</v>
      </c>
      <c r="E6272" s="2" t="s">
        <v>190</v>
      </c>
    </row>
    <row r="6273" spans="1:5" x14ac:dyDescent="0.2">
      <c r="A6273">
        <v>6212</v>
      </c>
      <c r="B6273" s="138">
        <f>'Acct Summary 7-8'!I82</f>
        <v>32799</v>
      </c>
      <c r="D6273" s="2" t="str">
        <f t="shared" si="97"/>
        <v>Error?</v>
      </c>
      <c r="E6273" s="2" t="s">
        <v>190</v>
      </c>
    </row>
    <row r="6274" spans="1:5" x14ac:dyDescent="0.2">
      <c r="A6274">
        <v>6213</v>
      </c>
      <c r="B6274" s="138">
        <f>'Acct Summary 7-8'!J82</f>
        <v>-12920</v>
      </c>
      <c r="D6274" s="2" t="str">
        <f t="shared" si="97"/>
        <v>Error?</v>
      </c>
      <c r="E6274" s="2" t="s">
        <v>190</v>
      </c>
    </row>
    <row r="6275" spans="1:5" x14ac:dyDescent="0.2">
      <c r="A6275">
        <v>6214</v>
      </c>
      <c r="B6275" s="138">
        <f>'Acct Summary 7-8'!K82</f>
        <v>1483702</v>
      </c>
      <c r="D6275" s="2" t="str">
        <f t="shared" si="97"/>
        <v>Error?</v>
      </c>
      <c r="E6275" s="2" t="s">
        <v>190</v>
      </c>
    </row>
    <row r="6276" spans="1:5" x14ac:dyDescent="0.2">
      <c r="A6276">
        <v>6215</v>
      </c>
      <c r="B6276" s="138">
        <f>'Acct Summary 7-8'!C83</f>
        <v>-8.9261408102255163E-2</v>
      </c>
      <c r="D6276" s="2" t="str">
        <f t="shared" si="97"/>
        <v>Error?</v>
      </c>
      <c r="E6276" s="2" t="s">
        <v>190</v>
      </c>
    </row>
    <row r="6277" spans="1:5" x14ac:dyDescent="0.2">
      <c r="A6277">
        <v>6216</v>
      </c>
      <c r="B6277" s="138">
        <f>'Acct Summary 7-8'!D83</f>
        <v>-5.3986462311337628E-2</v>
      </c>
      <c r="D6277" s="2" t="str">
        <f t="shared" si="97"/>
        <v>Error?</v>
      </c>
      <c r="E6277" s="2" t="s">
        <v>190</v>
      </c>
    </row>
    <row r="6278" spans="1:5" x14ac:dyDescent="0.2">
      <c r="A6278">
        <v>6217</v>
      </c>
      <c r="B6278" s="138">
        <f>'Acct Summary 7-8'!E83</f>
        <v>-57.841605068637804</v>
      </c>
      <c r="D6278" s="2" t="str">
        <f t="shared" si="97"/>
        <v>Error?</v>
      </c>
      <c r="E6278" s="2" t="s">
        <v>190</v>
      </c>
    </row>
    <row r="6279" spans="1:5" x14ac:dyDescent="0.2">
      <c r="A6279">
        <v>6218</v>
      </c>
      <c r="B6279" s="138">
        <f>'Acct Summary 7-8'!F83</f>
        <v>5.3067616039402538E-3</v>
      </c>
      <c r="D6279" s="2" t="str">
        <f t="shared" si="97"/>
        <v>Error?</v>
      </c>
      <c r="E6279" s="2" t="s">
        <v>190</v>
      </c>
    </row>
    <row r="6280" spans="1:5" x14ac:dyDescent="0.2">
      <c r="A6280">
        <v>6219</v>
      </c>
      <c r="B6280" s="138">
        <f>'Acct Summary 7-8'!G83</f>
        <v>-5.9471709909346672E-2</v>
      </c>
      <c r="D6280" s="2" t="str">
        <f t="shared" si="97"/>
        <v>Error?</v>
      </c>
      <c r="E6280" s="2" t="s">
        <v>190</v>
      </c>
    </row>
    <row r="6281" spans="1:5" x14ac:dyDescent="0.2">
      <c r="A6281">
        <v>6220</v>
      </c>
      <c r="B6281" s="138">
        <f>'Acct Summary 7-8'!H83</f>
        <v>0.99997206443802966</v>
      </c>
      <c r="D6281" s="2" t="str">
        <f t="shared" si="97"/>
        <v>Error?</v>
      </c>
      <c r="E6281" s="2" t="s">
        <v>190</v>
      </c>
    </row>
    <row r="6282" spans="1:5" x14ac:dyDescent="0.2">
      <c r="A6282">
        <v>6221</v>
      </c>
      <c r="B6282" s="138">
        <f>'Acct Summary 7-8'!I83</f>
        <v>3.3353434135636691E-2</v>
      </c>
      <c r="D6282" s="2" t="str">
        <f t="shared" si="97"/>
        <v>Error?</v>
      </c>
      <c r="E6282" s="2" t="s">
        <v>190</v>
      </c>
    </row>
    <row r="6283" spans="1:5" x14ac:dyDescent="0.2">
      <c r="A6283">
        <v>6222</v>
      </c>
      <c r="B6283" s="138">
        <f>'Acct Summary 7-8'!J83</f>
        <v>-2.832954363561015E-2</v>
      </c>
      <c r="D6283" s="2" t="str">
        <f t="shared" si="97"/>
        <v>Error?</v>
      </c>
      <c r="E6283" s="2" t="s">
        <v>190</v>
      </c>
    </row>
    <row r="6284" spans="1:5" x14ac:dyDescent="0.2">
      <c r="A6284">
        <v>6223</v>
      </c>
      <c r="B6284" s="138">
        <f>'Acct Summary 7-8'!K83</f>
        <v>0.75437820446331783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143894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143894</v>
      </c>
      <c r="D6301" s="2" t="str">
        <f t="shared" si="97"/>
        <v>Error?</v>
      </c>
      <c r="E6301" s="2" t="s">
        <v>190</v>
      </c>
    </row>
    <row r="6302" spans="1:5" x14ac:dyDescent="0.2">
      <c r="A6302">
        <v>6241</v>
      </c>
      <c r="B6302" s="138">
        <f>'Revenues 9-14'!J14</f>
        <v>12</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12</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4871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4871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532</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4198</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148777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4103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219703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254990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25578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161697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148777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5966</v>
      </c>
      <c r="D7073" s="2" t="str">
        <f t="shared" si="109"/>
        <v>Error?</v>
      </c>
    </row>
    <row r="7074" spans="1:4" x14ac:dyDescent="0.2">
      <c r="A7074">
        <v>7013</v>
      </c>
      <c r="B7074" s="138">
        <f>'Expenditures 15-22'!K216</f>
        <v>5966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294</v>
      </c>
      <c r="D7079" s="2" t="str">
        <f t="shared" si="109"/>
        <v>Error?</v>
      </c>
    </row>
    <row r="7080" spans="1:4" x14ac:dyDescent="0.2">
      <c r="A7080">
        <v>7019</v>
      </c>
      <c r="B7080" s="138">
        <f>'Expenditures 15-22'!K226</f>
        <v>294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45710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45710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2769</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2769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76800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76800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1519</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1519</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3571</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3571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31328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31328</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113218</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48479</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161697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113218</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48479</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161697</v>
      </c>
      <c r="D7224" s="2" t="str">
        <f t="shared" si="111"/>
        <v>Error?</v>
      </c>
    </row>
    <row r="7225" spans="1:4" x14ac:dyDescent="0.2">
      <c r="A7225">
        <v>7164</v>
      </c>
      <c r="B7225" s="138">
        <f>'Expenditures 15-22'!K343</f>
        <v>-12920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26448</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8839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22562</v>
      </c>
      <c r="D7263" s="2" t="str">
        <f t="shared" si="112"/>
        <v>Error?</v>
      </c>
    </row>
    <row r="7264" spans="1:4" x14ac:dyDescent="0.2">
      <c r="A7264">
        <f t="shared" si="113"/>
        <v>7203</v>
      </c>
      <c r="B7264" s="138">
        <f>'Expenditures 15-22'!D17</f>
        <v>3016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64872</v>
      </c>
      <c r="D7615" s="2" t="str">
        <f t="shared" ref="D7615:D7678" si="124">IF(ISBLANK(B7615),"OK",IF(A7615-B7615=0,"OK","Error?"))</f>
        <v>Error?</v>
      </c>
      <c r="E7615" s="2" t="s">
        <v>19</v>
      </c>
    </row>
    <row r="7616" spans="1:5" x14ac:dyDescent="0.2">
      <c r="A7616">
        <f t="shared" si="123"/>
        <v>7555</v>
      </c>
      <c r="B7616" s="138">
        <f>'Cap Outlay Deprec 26'!D14</f>
        <v>186210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251082</v>
      </c>
      <c r="D7618" s="2" t="str">
        <f t="shared" si="124"/>
        <v>Error?</v>
      </c>
      <c r="E7618" s="2" t="s">
        <v>19</v>
      </c>
    </row>
    <row r="7619" spans="1:5" x14ac:dyDescent="0.2">
      <c r="A7619">
        <f t="shared" si="123"/>
        <v>7558</v>
      </c>
      <c r="B7619" s="138">
        <f>'Cap Outlay Deprec 26'!H14</f>
        <v>30700</v>
      </c>
      <c r="D7619" s="2" t="str">
        <f t="shared" si="124"/>
        <v>Error?</v>
      </c>
      <c r="E7619" s="2" t="s">
        <v>19</v>
      </c>
    </row>
    <row r="7620" spans="1:5" x14ac:dyDescent="0.2">
      <c r="A7620">
        <f t="shared" si="123"/>
        <v>7559</v>
      </c>
      <c r="B7620" s="138">
        <f>'Cap Outlay Deprec 26'!I14</f>
        <v>83693</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114393</v>
      </c>
      <c r="D7622" s="2" t="str">
        <f t="shared" si="124"/>
        <v>Error?</v>
      </c>
      <c r="E7622" s="2" t="s">
        <v>19</v>
      </c>
    </row>
    <row r="7623" spans="1:5" x14ac:dyDescent="0.2">
      <c r="A7623">
        <f t="shared" si="123"/>
        <v>7562</v>
      </c>
      <c r="B7623" s="138">
        <f>'Cap Outlay Deprec 26'!L14</f>
        <v>136689</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401920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409344</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2024</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4198</v>
      </c>
      <c r="D7712" s="2" t="str">
        <f t="shared" si="126"/>
        <v>Error?</v>
      </c>
      <c r="E7712" s="2" t="s">
        <v>827</v>
      </c>
    </row>
    <row r="7713" spans="1:6" x14ac:dyDescent="0.2">
      <c r="A7713">
        <v>7652</v>
      </c>
      <c r="B7713" s="138">
        <f>'Rest Tax Levies-Tort Im 25'!J8</f>
        <v>90239</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92263</v>
      </c>
      <c r="D7718" s="2" t="str">
        <f t="shared" si="126"/>
        <v>Error?</v>
      </c>
      <c r="E7718" s="2" t="s">
        <v>827</v>
      </c>
    </row>
    <row r="7719" spans="1:6" x14ac:dyDescent="0.2">
      <c r="A7719">
        <v>7658</v>
      </c>
      <c r="B7719" s="138">
        <f>'Rest Tax Levies-Tort Im 25'!K12</f>
        <v>4198</v>
      </c>
      <c r="D7719" s="2" t="str">
        <f t="shared" si="126"/>
        <v>Error?</v>
      </c>
      <c r="E7719" s="2" t="s">
        <v>827</v>
      </c>
    </row>
    <row r="7720" spans="1:6" x14ac:dyDescent="0.2">
      <c r="A7720">
        <v>7659</v>
      </c>
      <c r="B7720" s="138">
        <f>'Rest Tax Levies-Tort Im 25'!H14</f>
        <v>19711</v>
      </c>
      <c r="D7720" s="2" t="str">
        <f t="shared" si="126"/>
        <v>Error?</v>
      </c>
      <c r="E7720" s="2" t="s">
        <v>827</v>
      </c>
    </row>
    <row r="7721" spans="1:6" x14ac:dyDescent="0.2">
      <c r="A7721">
        <v>7660</v>
      </c>
      <c r="B7721" s="138">
        <f>'Rest Tax Levies-Tort Im 25'!K14</f>
        <v>4198</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178000</v>
      </c>
      <c r="D7724" s="2" t="str">
        <f t="shared" si="126"/>
        <v>Error?</v>
      </c>
      <c r="E7724" s="2" t="s">
        <v>827</v>
      </c>
      <c r="F7724" s="2"/>
    </row>
    <row r="7725" spans="1:6" x14ac:dyDescent="0.2">
      <c r="A7725">
        <v>7664</v>
      </c>
      <c r="B7725" s="138">
        <f>'Rest Tax Levies-Tort Im 25'!J19</f>
        <v>323254</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501254</v>
      </c>
      <c r="D7727" s="2" t="str">
        <f t="shared" si="126"/>
        <v>Error?</v>
      </c>
      <c r="E7727" s="2" t="s">
        <v>827</v>
      </c>
    </row>
    <row r="7728" spans="1:6" x14ac:dyDescent="0.2">
      <c r="A7728">
        <v>7667</v>
      </c>
      <c r="B7728" s="138">
        <f>'Revenues 9-14'!E103</f>
        <v>90239</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501254</v>
      </c>
      <c r="D7730" s="2" t="str">
        <f t="shared" si="126"/>
        <v>Error?</v>
      </c>
      <c r="E7730" s="2" t="s">
        <v>827</v>
      </c>
    </row>
    <row r="7731" spans="1:6" x14ac:dyDescent="0.2">
      <c r="A7731">
        <v>7670</v>
      </c>
      <c r="B7731" s="138">
        <f>'Revenues 9-14'!H103</f>
        <v>438398</v>
      </c>
      <c r="D7731" s="2" t="str">
        <f t="shared" si="126"/>
        <v>Error?</v>
      </c>
      <c r="E7731" s="2" t="s">
        <v>827</v>
      </c>
    </row>
    <row r="7732" spans="1:6" x14ac:dyDescent="0.2">
      <c r="A7732">
        <v>7671</v>
      </c>
      <c r="B7732" s="138">
        <f>'Rest Tax Levies-Tort Im 25'!J24</f>
        <v>353</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353</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352763</v>
      </c>
      <c r="D7797" s="2" t="str">
        <f t="shared" si="127"/>
        <v>Error?</v>
      </c>
      <c r="E7797" s="4" t="s">
        <v>1903</v>
      </c>
    </row>
    <row r="7798" spans="1:5" x14ac:dyDescent="0.2">
      <c r="A7798">
        <v>7737</v>
      </c>
      <c r="B7798" s="138">
        <f>'Contracts Paid in CY 29'!F142</f>
        <v>100000</v>
      </c>
      <c r="D7798" s="2" t="str">
        <f t="shared" si="127"/>
        <v>Error?</v>
      </c>
      <c r="E7798" s="4" t="s">
        <v>1903</v>
      </c>
    </row>
    <row r="7799" spans="1:5" x14ac:dyDescent="0.2">
      <c r="A7799">
        <v>7738</v>
      </c>
      <c r="B7799" s="138">
        <f>'Contracts Paid in CY 29'!G142</f>
        <v>252763</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horizontalDpi="300" verticalDpi="300"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1987</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Abingdon-Avon CUSD 276</v>
      </c>
      <c r="B7" s="2409"/>
      <c r="C7" s="2409"/>
      <c r="D7" s="2410"/>
      <c r="E7" s="2411">
        <f>COVER!A13</f>
        <v>33048276026</v>
      </c>
      <c r="F7" s="2412"/>
      <c r="G7" s="2418" t="str">
        <f>COVER!T23</f>
        <v>066-005055</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Ginoli &amp; Company Ltd</v>
      </c>
      <c r="H9" s="2424"/>
      <c r="I9" s="2424"/>
      <c r="J9" s="2424"/>
      <c r="K9" s="2424"/>
      <c r="L9" s="2425"/>
    </row>
    <row r="10" spans="1:29" ht="13.5" customHeight="1" x14ac:dyDescent="0.2">
      <c r="A10" s="2398" t="str">
        <f>COVER!A38</f>
        <v>Michael Curry</v>
      </c>
      <c r="B10" s="2399"/>
      <c r="C10" s="2399"/>
      <c r="D10" s="2399"/>
      <c r="E10" s="2399"/>
      <c r="F10" s="2400"/>
      <c r="G10" s="2392" t="str">
        <f>COVER!T17</f>
        <v>7625 N. University Street, Suite A</v>
      </c>
      <c r="H10" s="2393"/>
      <c r="I10" s="2393"/>
      <c r="J10" s="2393"/>
      <c r="K10" s="2393"/>
      <c r="L10" s="2394"/>
    </row>
    <row r="11" spans="1:29" ht="13.5" customHeight="1" x14ac:dyDescent="0.2">
      <c r="A11" s="1184" t="s">
        <v>1519</v>
      </c>
      <c r="B11" s="1185"/>
      <c r="C11" s="1186"/>
      <c r="D11" s="1191"/>
      <c r="E11" s="1186"/>
      <c r="F11" s="1190"/>
      <c r="G11" s="2392" t="str">
        <f>COVER!T19</f>
        <v>Peoria</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mreinken@ginolicpa.com</v>
      </c>
      <c r="J13" s="2405"/>
      <c r="K13" s="2405"/>
      <c r="L13" s="2406"/>
    </row>
    <row r="14" spans="1:29" ht="13.5" customHeight="1" x14ac:dyDescent="0.2">
      <c r="A14" s="2392" t="str">
        <f>COVER!A19</f>
        <v>507 N Monroe Street Ste #3</v>
      </c>
      <c r="B14" s="2393"/>
      <c r="C14" s="2393"/>
      <c r="D14" s="2393"/>
      <c r="E14" s="2393"/>
      <c r="F14" s="2394"/>
      <c r="G14" s="1195" t="s">
        <v>1185</v>
      </c>
      <c r="H14" s="1193"/>
      <c r="I14" s="1193"/>
      <c r="J14" s="1193"/>
      <c r="K14" s="1193"/>
      <c r="L14" s="1194"/>
    </row>
    <row r="15" spans="1:29" ht="13.5" customHeight="1" x14ac:dyDescent="0.2">
      <c r="A15" s="2392" t="str">
        <f>COVER!A21</f>
        <v>Abingdon</v>
      </c>
      <c r="B15" s="2393"/>
      <c r="C15" s="2393"/>
      <c r="D15" s="2393"/>
      <c r="E15" s="2393"/>
      <c r="F15" s="2394"/>
      <c r="G15" s="2389" t="str">
        <f>COVER!T15</f>
        <v>Mark D. Reinken</v>
      </c>
      <c r="H15" s="2390"/>
      <c r="I15" s="2390"/>
      <c r="J15" s="2390"/>
      <c r="K15" s="2390"/>
      <c r="L15" s="2391"/>
    </row>
    <row r="16" spans="1:29" ht="12.2" customHeight="1" x14ac:dyDescent="0.2">
      <c r="A16" s="2414" t="str">
        <f>COVER!A25</f>
        <v>61410-1285</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(309) 671-2350</v>
      </c>
      <c r="H18" s="2409"/>
      <c r="I18" s="2409"/>
      <c r="J18" s="2409"/>
      <c r="K18" s="2408" t="str">
        <f>COVER!X21</f>
        <v>(309) 671-5459</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Abingdon-Avon CUSD 276</v>
      </c>
      <c r="B1" s="2407"/>
      <c r="C1" s="2407"/>
      <c r="D1" s="2407"/>
    </row>
    <row r="2" spans="1:11" s="1212" customFormat="1" ht="12.75" x14ac:dyDescent="0.2">
      <c r="A2" s="2431">
        <f>'Single Audit Cover'!E7</f>
        <v>33048276026</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firstPageNumber="36" fitToHeight="0" orientation="portrait" useFirstPageNumber="1" horizontalDpi="300" verticalDpi="300"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Abingdon-Avon CUSD 276</v>
      </c>
      <c r="B1" s="2434"/>
      <c r="C1" s="2434"/>
      <c r="D1" s="2434"/>
      <c r="E1" s="2434"/>
    </row>
    <row r="2" spans="1:5" x14ac:dyDescent="0.2">
      <c r="A2" s="2435">
        <f>'Single Audit Cover'!E7</f>
        <v>33048276026</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637342</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34256</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671598</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671598</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671598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Abingdon-Avon CUSD 276</v>
      </c>
      <c r="C1" s="2438"/>
      <c r="D1" s="2438"/>
      <c r="E1" s="2438"/>
      <c r="F1" s="2438"/>
      <c r="G1" s="2438"/>
      <c r="H1" s="2438"/>
      <c r="I1" s="2438"/>
      <c r="J1" s="2438"/>
      <c r="K1" s="2438"/>
      <c r="L1" s="2438"/>
      <c r="M1" s="2438"/>
    </row>
    <row r="2" spans="2:14" ht="15" x14ac:dyDescent="0.2">
      <c r="B2" s="2439">
        <f>'Single Audit Cover'!E7</f>
        <v>33048276026</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Abingdon-Avon CUSD 276</v>
      </c>
      <c r="B1" s="2451"/>
      <c r="C1" s="2451"/>
      <c r="D1" s="2451"/>
      <c r="E1" s="2451"/>
      <c r="F1" s="2451"/>
    </row>
    <row r="2" spans="1:7" ht="13.5" customHeight="1" x14ac:dyDescent="0.2">
      <c r="A2" s="2439">
        <f>'Single Audit Cover'!E7</f>
        <v>33048276026</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1" firstPageNumber="39" orientation="portrait" useFirstPageNumber="1" horizontalDpi="300" verticalDpi="300"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7"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1168</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3" t="s">
        <v>1633</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313</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2069</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2069</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t="s">
        <v>2070</v>
      </c>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1323</v>
      </c>
      <c r="B70" s="2076"/>
      <c r="C70" s="2076"/>
      <c r="D70" s="2076"/>
      <c r="E70" s="2077"/>
      <c r="F70" s="2077"/>
      <c r="G70" s="2077"/>
      <c r="H70" s="2077"/>
      <c r="I70" s="207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1320</v>
      </c>
      <c r="B83" s="2078"/>
      <c r="C83" s="2078"/>
      <c r="D83" s="207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2114</v>
      </c>
      <c r="D114" s="206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1330</v>
      </c>
      <c r="D117" s="2071"/>
      <c r="E117" s="2072"/>
      <c r="F117" s="2072"/>
      <c r="G117" s="2072"/>
      <c r="H117" s="2072"/>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Abingdon-Avon CUSD 276</v>
      </c>
      <c r="C1" s="2466"/>
      <c r="D1" s="2466"/>
      <c r="E1" s="2466"/>
      <c r="F1" s="2466"/>
      <c r="G1" s="2466"/>
      <c r="H1" s="2466"/>
      <c r="I1" s="2466"/>
      <c r="J1" s="1406"/>
    </row>
    <row r="2" spans="2:10" s="317" customFormat="1" ht="12.75" customHeight="1" x14ac:dyDescent="0.2">
      <c r="B2" s="2467">
        <f>'Single Audit Cover'!E7</f>
        <v>33048276026</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2062</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horizontalDpi="300" verticalDpi="300"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1" zoomScale="110" zoomScaleNormal="110" workbookViewId="0">
      <selection activeCell="C114" sqref="C114:D1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Abingdon-Avon CUSD 276</v>
      </c>
      <c r="C1" s="2465"/>
      <c r="D1" s="2465"/>
      <c r="E1" s="2465"/>
      <c r="F1" s="2465"/>
      <c r="G1" s="2465"/>
      <c r="H1" s="2465"/>
      <c r="I1" s="2465"/>
      <c r="J1" s="2465"/>
      <c r="K1" s="2465"/>
      <c r="L1" s="1371"/>
      <c r="M1" s="1371"/>
    </row>
    <row r="2" spans="1:13" ht="12" customHeight="1" x14ac:dyDescent="0.2">
      <c r="B2" s="2467">
        <f>'Single Audit Cover'!E7</f>
        <v>33048276026</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2069</v>
      </c>
      <c r="J10" s="1387" t="s">
        <v>1293</v>
      </c>
      <c r="K10" s="322"/>
      <c r="L10" s="1378"/>
    </row>
    <row r="11" spans="1:13" ht="13.5" customHeight="1" x14ac:dyDescent="0.2">
      <c r="B11" s="322"/>
      <c r="C11" s="322"/>
      <c r="D11" s="322"/>
      <c r="E11" s="322"/>
      <c r="F11" s="322"/>
      <c r="G11" s="1380"/>
      <c r="H11" s="322"/>
      <c r="I11" s="1388" t="s">
        <v>1292</v>
      </c>
      <c r="J11" s="322"/>
      <c r="K11" s="1389">
        <v>2014</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t="s">
        <v>2110</v>
      </c>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t="s">
        <v>2111</v>
      </c>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t="s">
        <v>2112</v>
      </c>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t="s">
        <v>2112</v>
      </c>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t="s">
        <v>2112</v>
      </c>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t="s">
        <v>2113</v>
      </c>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t="s">
        <v>2115</v>
      </c>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Abingdon-Avon CUSD 276</v>
      </c>
      <c r="C1" s="2488"/>
      <c r="D1" s="2488"/>
      <c r="E1" s="2488"/>
      <c r="F1" s="2488"/>
      <c r="G1" s="2488"/>
      <c r="H1" s="2488"/>
      <c r="I1" s="2488"/>
      <c r="J1" s="2488"/>
      <c r="K1" s="2488"/>
      <c r="L1" s="1449"/>
    </row>
    <row r="2" spans="1:12" ht="12.75" customHeight="1" x14ac:dyDescent="0.2">
      <c r="B2" s="2489">
        <f>'Single Audit Cover'!E7</f>
        <v>33048276026</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Abingdon-Avon CUSD 276</v>
      </c>
      <c r="C1" s="2465"/>
      <c r="D1" s="2465"/>
      <c r="E1" s="1469"/>
    </row>
    <row r="2" spans="2:5" s="1279" customFormat="1" ht="12.75" customHeight="1" x14ac:dyDescent="0.2">
      <c r="B2" s="2467">
        <f>'Single Audit Cover'!E7</f>
        <v>33048276026</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C114" sqref="C114:D11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386</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101019657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3.2500000000000001E-2</v>
      </c>
      <c r="E10" s="356" t="s">
        <v>1005</v>
      </c>
      <c r="F10" s="355">
        <v>5.0000000000000001E-3</v>
      </c>
      <c r="G10" s="356" t="s">
        <v>1005</v>
      </c>
      <c r="H10" s="355">
        <v>4.4999999999999997E-3</v>
      </c>
      <c r="I10" s="356" t="s">
        <v>1006</v>
      </c>
      <c r="J10" s="1732">
        <f>ROUND(D10+F10+H10,5)</f>
        <v>4.2000000000000003E-2</v>
      </c>
      <c r="K10" s="222"/>
      <c r="L10" s="355">
        <v>5.0000000000000001E-4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7692581</v>
      </c>
      <c r="E16" s="356"/>
      <c r="F16" s="1733">
        <f>SUM('Acct Summary 7-8'!C17,'Acct Summary 7-8'!D17,'Acct Summary 7-8'!F17)</f>
        <v>8499708</v>
      </c>
      <c r="G16" s="356"/>
      <c r="H16" s="1733">
        <f>SUM(D16-F16)</f>
        <v>-807127</v>
      </c>
      <c r="I16" s="222"/>
      <c r="J16" s="1733">
        <f>SUM('Acct Summary 7-8'!C81,'Acct Summary 7-8'!D81,'Acct Summary 7-8'!F81,'Acct Summary 7-8'!I81)</f>
        <v>12409240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13940712.666000001</v>
      </c>
      <c r="I31" s="368"/>
      <c r="J31" s="222"/>
      <c r="K31" s="222"/>
      <c r="L31" s="222"/>
      <c r="M31" s="222"/>
    </row>
    <row r="32" spans="1:13" ht="13.35" customHeight="1" x14ac:dyDescent="0.2">
      <c r="B32" s="369" t="s">
        <v>2069</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1500000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43" zoomScale="110" zoomScaleNormal="110" workbookViewId="0">
      <selection activeCell="C114" sqref="C114:D11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556</v>
      </c>
      <c r="B2" s="2108"/>
      <c r="C2" s="2108"/>
      <c r="D2" s="2108"/>
      <c r="E2" s="2108"/>
      <c r="F2" s="2108"/>
      <c r="G2" s="2108"/>
      <c r="H2" s="2108"/>
      <c r="I2" s="2108"/>
      <c r="J2" s="2108"/>
      <c r="K2" s="2108"/>
      <c r="L2" s="2108"/>
      <c r="M2" s="2108"/>
      <c r="N2" s="2108"/>
      <c r="O2" s="2108"/>
      <c r="P2" s="2108"/>
      <c r="Q2" s="2108"/>
      <c r="R2" s="2108"/>
    </row>
    <row r="3" spans="1:18" ht="12.75" x14ac:dyDescent="0.2">
      <c r="A3" s="2109" t="s">
        <v>1413</v>
      </c>
      <c r="B3" s="2109"/>
      <c r="C3" s="2109"/>
      <c r="D3" s="2109"/>
      <c r="E3" s="2109"/>
      <c r="F3" s="2109"/>
      <c r="G3" s="2109"/>
      <c r="H3" s="2109"/>
      <c r="I3" s="2109"/>
      <c r="J3" s="2109"/>
      <c r="K3" s="2109"/>
      <c r="L3" s="2109"/>
      <c r="M3" s="2109"/>
      <c r="N3" s="2109"/>
      <c r="O3" s="2109"/>
      <c r="P3" s="2109"/>
      <c r="Q3" s="2109"/>
      <c r="R3" s="2109"/>
    </row>
    <row r="4" spans="1:18" x14ac:dyDescent="0.2">
      <c r="A4" s="2110" t="s">
        <v>1554</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Abingdon-Avon CUSD 276</v>
      </c>
      <c r="E7" s="391"/>
      <c r="G7" s="252"/>
      <c r="H7" s="387"/>
      <c r="I7" s="387"/>
      <c r="J7" s="387"/>
      <c r="K7" s="387"/>
      <c r="L7" s="329"/>
      <c r="M7" s="329"/>
      <c r="N7" s="329"/>
      <c r="O7" s="329"/>
      <c r="P7" s="329"/>
    </row>
    <row r="8" spans="1:18" ht="12.75" x14ac:dyDescent="0.2">
      <c r="A8" s="329"/>
      <c r="B8" s="329"/>
      <c r="C8" s="389" t="s">
        <v>1125</v>
      </c>
      <c r="D8" s="392">
        <f>COVER!A13</f>
        <v>33048276026</v>
      </c>
      <c r="E8" s="393"/>
      <c r="G8" s="329"/>
      <c r="H8" s="329"/>
      <c r="I8" s="329"/>
      <c r="J8" s="329"/>
      <c r="K8" s="329"/>
      <c r="L8" s="329"/>
      <c r="M8" s="329"/>
      <c r="N8" s="329"/>
      <c r="O8" s="329"/>
      <c r="P8" s="329"/>
    </row>
    <row r="9" spans="1:18" ht="12.75" x14ac:dyDescent="0.2">
      <c r="A9" s="329"/>
      <c r="B9" s="329"/>
      <c r="C9" s="389" t="s">
        <v>713</v>
      </c>
      <c r="D9" s="394" t="str">
        <f>COVER!A15</f>
        <v>Fulton, Knox, and 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12409240</v>
      </c>
      <c r="I12" s="404"/>
      <c r="J12" s="404"/>
      <c r="K12" s="405">
        <f>TRUNC((H12/H13*100000),5)/100000</f>
        <v>1.6131438849000002</v>
      </c>
      <c r="L12" s="406"/>
      <c r="M12" s="360" t="s">
        <v>1144</v>
      </c>
      <c r="N12" s="360"/>
      <c r="O12" s="407">
        <v>0.35</v>
      </c>
      <c r="P12" s="218"/>
      <c r="Q12" s="218"/>
    </row>
    <row r="13" spans="1:18" s="408" customFormat="1" ht="12.75" x14ac:dyDescent="0.2">
      <c r="A13" s="218"/>
      <c r="B13" s="401"/>
      <c r="C13" s="2106" t="s">
        <v>1324</v>
      </c>
      <c r="D13" s="2107"/>
      <c r="E13" s="218"/>
      <c r="F13" s="409" t="s">
        <v>793</v>
      </c>
      <c r="G13" s="402"/>
      <c r="H13" s="403">
        <f>SUM('Acct Summary 7-8'!C8+'Acct Summary 7-8'!D8+'Acct Summary 7-8'!F8+'Acct Summary 7-8'!I8)+H14</f>
        <v>7692581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8499708</v>
      </c>
      <c r="I17" s="404"/>
      <c r="J17" s="416"/>
      <c r="K17" s="405">
        <f>TRUNC((H17/H18*100000),5)/100000</f>
        <v>1.104922782</v>
      </c>
      <c r="L17" s="406"/>
      <c r="M17" s="417" t="s">
        <v>1171</v>
      </c>
      <c r="O17" s="418" t="str">
        <f>IF(AND(O16="2", J20 &gt; 2),"1",IF(AND(O16 = "1", J20 &gt; 2),"2",IF(AND(O16="1", J20 &gt;1),"1","0")))</f>
        <v>1</v>
      </c>
      <c r="P17" s="218"/>
    </row>
    <row r="18" spans="1:18" s="408" customFormat="1" ht="11.25" x14ac:dyDescent="0.2">
      <c r="A18" s="218"/>
      <c r="B18" s="401"/>
      <c r="C18" s="2106" t="s">
        <v>1317</v>
      </c>
      <c r="D18" s="2107"/>
      <c r="E18" s="218"/>
      <c r="F18" s="419" t="s">
        <v>794</v>
      </c>
      <c r="G18" s="402"/>
      <c r="H18" s="403">
        <f>SUM('Acct Summary 7-8'!C8+'Acct Summary 7-8'!D8+'Acct Summary 7-8'!F8+'Acct Summary 7-8'!I8)+H19</f>
        <v>7692581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14.421499799999999</v>
      </c>
      <c r="K20" s="405">
        <f>IF(K17&lt;=1,"0",IF(AND(O16="2", J20 &gt; 2),TRUNC(((K12-0.1)/(K17-1)*100),5)/100,IF(AND(O16 = "1", J20 &gt; 2),TRUNC(((K12-0.1)/(K17-1)*100),5)/100,IF(AND(O16="1", J20 &gt;1),TRUNC(((K12-0.1)/(K17-1)*100),5)/100,""))))</f>
        <v>14.421499799999999</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3" t="s">
        <v>1412</v>
      </c>
      <c r="D24" s="2103"/>
      <c r="E24" s="218"/>
      <c r="F24" s="218" t="s">
        <v>445</v>
      </c>
      <c r="G24" s="402"/>
      <c r="H24" s="403">
        <f>SUM('Assets-Liab 5-6'!C4+'Assets-Liab 5-6'!D4+'Assets-Liab 5-6'!F4+'Assets-Liab 5-6'!I4+'Assets-Liab 5-6'!C5+'Assets-Liab 5-6'!D5+'Assets-Liab 5-6'!F5+'Assets-Liab 5-6'!I5)</f>
        <v>12352485</v>
      </c>
      <c r="I24" s="422"/>
      <c r="J24" s="422"/>
      <c r="K24" s="423">
        <f>TRUNC(((H24/H25*100000)/100000),2)</f>
        <v>523.17999999999995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23610.3</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3606401.7549000001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1500000</v>
      </c>
      <c r="I32" s="420"/>
      <c r="J32" s="420"/>
      <c r="K32" s="423">
        <f>TRUNC(100-((((H32/H33*100))*100)/100),2)</f>
        <v>89.24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13940712.666000001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3.6499999999999995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8" activePane="bottomLeft" state="frozen"/>
      <selection activeCell="C114" sqref="C114:D114"/>
      <selection pane="bottomLeft" activeCell="M41" sqref="M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3" t="s">
        <v>973</v>
      </c>
      <c r="B3" s="2114"/>
      <c r="C3" s="1559"/>
      <c r="D3" s="1560"/>
      <c r="E3" s="1560"/>
      <c r="F3" s="1560"/>
      <c r="G3" s="1560"/>
      <c r="H3" s="1560"/>
      <c r="I3" s="1560"/>
      <c r="J3" s="1560"/>
      <c r="K3" s="1560"/>
      <c r="L3" s="1560"/>
      <c r="M3" s="1561"/>
      <c r="N3" s="1562"/>
    </row>
    <row r="4" spans="1:14" ht="13.5" customHeight="1" x14ac:dyDescent="0.2">
      <c r="A4" s="463" t="s">
        <v>1651</v>
      </c>
      <c r="B4" s="464"/>
      <c r="C4" s="465">
        <f>3145754+6025+2358737-1</f>
        <v>5510515</v>
      </c>
      <c r="D4" s="466">
        <f>679822+415786</f>
        <v>1095608</v>
      </c>
      <c r="E4" s="466">
        <v>8523</v>
      </c>
      <c r="F4" s="466">
        <f>858101+133915+1</f>
        <v>992017</v>
      </c>
      <c r="G4" s="466">
        <f>384474+152958</f>
        <v>537432</v>
      </c>
      <c r="H4" s="466">
        <v>107390</v>
      </c>
      <c r="I4" s="466">
        <f>3160+207017</f>
        <v>210177</v>
      </c>
      <c r="J4" s="467">
        <f>456060+1</f>
        <v>456061</v>
      </c>
      <c r="K4" s="466">
        <f>1966789-1</f>
        <v>1966788</v>
      </c>
      <c r="L4" s="466">
        <v>180419</v>
      </c>
      <c r="M4" s="468"/>
      <c r="N4" s="469"/>
    </row>
    <row r="5" spans="1:14" x14ac:dyDescent="0.2">
      <c r="A5" s="463" t="s">
        <v>992</v>
      </c>
      <c r="B5" s="470">
        <v>120</v>
      </c>
      <c r="C5" s="465">
        <f>757149+2511516</f>
        <v>3268665</v>
      </c>
      <c r="D5" s="466"/>
      <c r="E5" s="466"/>
      <c r="F5" s="466">
        <v>502303</v>
      </c>
      <c r="G5" s="466"/>
      <c r="H5" s="466"/>
      <c r="I5" s="466">
        <v>773200</v>
      </c>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f>51568+5167</f>
        <v>56735</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8835915</v>
      </c>
      <c r="D13" s="1737">
        <f t="shared" ref="D13:L13" si="0">SUM(D4:D12)</f>
        <v>1095608</v>
      </c>
      <c r="E13" s="1737">
        <f t="shared" si="0"/>
        <v>8523</v>
      </c>
      <c r="F13" s="1737">
        <f t="shared" si="0"/>
        <v>1494320</v>
      </c>
      <c r="G13" s="1737">
        <f t="shared" si="0"/>
        <v>537432</v>
      </c>
      <c r="H13" s="1737">
        <f t="shared" si="0"/>
        <v>107390</v>
      </c>
      <c r="I13" s="1737">
        <f t="shared" si="0"/>
        <v>983377</v>
      </c>
      <c r="J13" s="1737">
        <f t="shared" si="0"/>
        <v>456061</v>
      </c>
      <c r="K13" s="1737">
        <f t="shared" si="0"/>
        <v>1966788</v>
      </c>
      <c r="L13" s="1737">
        <f t="shared" si="0"/>
        <v>180419</v>
      </c>
      <c r="M13" s="468"/>
      <c r="N13" s="469"/>
    </row>
    <row r="14" spans="1:14" ht="18" customHeight="1" thickTop="1" x14ac:dyDescent="0.2">
      <c r="A14" s="2115" t="s">
        <v>147</v>
      </c>
      <c r="B14" s="2116"/>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48351</v>
      </c>
      <c r="N16" s="484"/>
    </row>
    <row r="17" spans="1:14" s="485" customFormat="1" ht="12.75" customHeight="1" x14ac:dyDescent="0.2">
      <c r="A17" s="482" t="s">
        <v>1403</v>
      </c>
      <c r="B17" s="483">
        <v>230</v>
      </c>
      <c r="C17" s="477"/>
      <c r="D17" s="477"/>
      <c r="E17" s="477"/>
      <c r="F17" s="477"/>
      <c r="G17" s="477"/>
      <c r="H17" s="477"/>
      <c r="I17" s="477"/>
      <c r="J17" s="477"/>
      <c r="K17" s="477"/>
      <c r="L17" s="477"/>
      <c r="M17" s="467">
        <v>6894821</v>
      </c>
      <c r="N17" s="484"/>
    </row>
    <row r="18" spans="1:14" s="485" customFormat="1" ht="12.75" customHeight="1" x14ac:dyDescent="0.2">
      <c r="A18" s="482" t="s">
        <v>1404</v>
      </c>
      <c r="B18" s="483">
        <v>240</v>
      </c>
      <c r="C18" s="477"/>
      <c r="D18" s="477"/>
      <c r="E18" s="477"/>
      <c r="F18" s="477"/>
      <c r="G18" s="477"/>
      <c r="H18" s="477"/>
      <c r="I18" s="477"/>
      <c r="J18" s="477"/>
      <c r="K18" s="477"/>
      <c r="L18" s="477"/>
      <c r="M18" s="467">
        <v>415372</v>
      </c>
      <c r="N18" s="484"/>
    </row>
    <row r="19" spans="1:14" s="485" customFormat="1" ht="12.75" customHeight="1" x14ac:dyDescent="0.2">
      <c r="A19" s="482" t="s">
        <v>1405</v>
      </c>
      <c r="B19" s="483">
        <v>250</v>
      </c>
      <c r="C19" s="477"/>
      <c r="D19" s="477"/>
      <c r="E19" s="477"/>
      <c r="F19" s="477"/>
      <c r="G19" s="477"/>
      <c r="H19" s="477"/>
      <c r="I19" s="477"/>
      <c r="J19" s="477"/>
      <c r="K19" s="477"/>
      <c r="L19" s="477"/>
      <c r="M19" s="467">
        <f>1019155+938033+251082</f>
        <v>2208270</v>
      </c>
      <c r="N19" s="484"/>
    </row>
    <row r="20" spans="1:14" s="485" customFormat="1" ht="12.75" customHeight="1" x14ac:dyDescent="0.2">
      <c r="A20" s="482" t="s">
        <v>1406</v>
      </c>
      <c r="B20" s="483">
        <v>260</v>
      </c>
      <c r="C20" s="477"/>
      <c r="D20" s="477"/>
      <c r="E20" s="477"/>
      <c r="F20" s="477"/>
      <c r="G20" s="477"/>
      <c r="H20" s="477"/>
      <c r="I20" s="477"/>
      <c r="J20" s="477"/>
      <c r="K20" s="477"/>
      <c r="L20" s="477"/>
      <c r="M20" s="467">
        <v>51458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8523</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1491477</v>
      </c>
    </row>
    <row r="23" spans="1:14" ht="13.5" customHeight="1" thickBot="1" x14ac:dyDescent="0.25">
      <c r="A23" s="1736" t="s">
        <v>643</v>
      </c>
      <c r="B23" s="1741"/>
      <c r="C23" s="468"/>
      <c r="D23" s="468"/>
      <c r="E23" s="468"/>
      <c r="F23" s="468"/>
      <c r="G23" s="468"/>
      <c r="H23" s="468"/>
      <c r="I23" s="468"/>
      <c r="J23" s="468"/>
      <c r="K23" s="468"/>
      <c r="L23" s="468"/>
      <c r="M23" s="1688">
        <f>SUM(M15:M22)</f>
        <v>9618272</v>
      </c>
      <c r="N23" s="1688">
        <f>SUM(N21:N22)</f>
        <v>1500000</v>
      </c>
    </row>
    <row r="24" spans="1:14" ht="18" customHeight="1" thickTop="1" x14ac:dyDescent="0.2">
      <c r="A24" s="2117" t="s">
        <v>598</v>
      </c>
      <c r="B24" s="2118"/>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v>-20</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180419</v>
      </c>
      <c r="M33" s="468"/>
      <c r="N33" s="469"/>
    </row>
    <row r="34" spans="1:14" ht="13.5" customHeight="1" thickBot="1" x14ac:dyDescent="0.25">
      <c r="A34" s="1738" t="s">
        <v>654</v>
      </c>
      <c r="B34" s="1739"/>
      <c r="C34" s="1740">
        <f>SUM(C25:C33)</f>
        <v>-20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180419</v>
      </c>
      <c r="M34" s="468"/>
      <c r="N34" s="480"/>
    </row>
    <row r="35" spans="1:14" ht="18" customHeight="1" thickTop="1" x14ac:dyDescent="0.2">
      <c r="A35" s="2119" t="s">
        <v>529</v>
      </c>
      <c r="B35" s="2120"/>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1500000</v>
      </c>
    </row>
    <row r="37" spans="1:14" ht="13.5" thickBot="1" x14ac:dyDescent="0.25">
      <c r="A37" s="1736" t="s">
        <v>653</v>
      </c>
      <c r="B37" s="1741"/>
      <c r="C37" s="477"/>
      <c r="D37" s="477"/>
      <c r="E37" s="477"/>
      <c r="F37" s="477"/>
      <c r="G37" s="477"/>
      <c r="H37" s="477"/>
      <c r="I37" s="477"/>
      <c r="J37" s="477"/>
      <c r="K37" s="477"/>
      <c r="L37" s="480"/>
      <c r="M37" s="468"/>
      <c r="N37" s="1688">
        <f>SUM(N36:N36)</f>
        <v>1500000</v>
      </c>
    </row>
    <row r="38" spans="1:14" s="329" customFormat="1" ht="13.5" customHeight="1" thickTop="1" x14ac:dyDescent="0.2">
      <c r="A38" s="496" t="s">
        <v>420</v>
      </c>
      <c r="B38" s="483">
        <v>714</v>
      </c>
      <c r="C38" s="466"/>
      <c r="D38" s="466"/>
      <c r="E38" s="466">
        <v>353</v>
      </c>
      <c r="F38" s="466"/>
      <c r="G38" s="466"/>
      <c r="H38" s="466">
        <v>107390</v>
      </c>
      <c r="I38" s="466"/>
      <c r="J38" s="467"/>
      <c r="K38" s="466"/>
      <c r="L38" s="481"/>
      <c r="M38" s="497"/>
      <c r="N38" s="497"/>
    </row>
    <row r="39" spans="1:14" s="329" customFormat="1" ht="13.5" customHeight="1" x14ac:dyDescent="0.2">
      <c r="A39" s="496" t="s">
        <v>342</v>
      </c>
      <c r="B39" s="483">
        <v>730</v>
      </c>
      <c r="C39" s="466">
        <v>8835935</v>
      </c>
      <c r="D39" s="466">
        <v>1095608</v>
      </c>
      <c r="E39" s="466">
        <f>8523-353</f>
        <v>8170</v>
      </c>
      <c r="F39" s="466">
        <v>1494320</v>
      </c>
      <c r="G39" s="466">
        <v>537432</v>
      </c>
      <c r="H39" s="466">
        <v>0</v>
      </c>
      <c r="I39" s="466">
        <v>983377</v>
      </c>
      <c r="J39" s="467">
        <v>456061</v>
      </c>
      <c r="K39" s="466">
        <v>1966788</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9618272</v>
      </c>
      <c r="N40" s="497"/>
    </row>
    <row r="41" spans="1:14" ht="13.5" customHeight="1" thickBot="1" x14ac:dyDescent="0.25">
      <c r="A41" s="1736" t="s">
        <v>655</v>
      </c>
      <c r="B41" s="1706"/>
      <c r="C41" s="1688">
        <f>(SUM(C34,C37,C38,C39))</f>
        <v>8835915</v>
      </c>
      <c r="D41" s="1688">
        <f t="shared" ref="D41:L41" si="2">SUM(D34,D37,D38:D39)</f>
        <v>1095608</v>
      </c>
      <c r="E41" s="1688">
        <f t="shared" si="2"/>
        <v>8523</v>
      </c>
      <c r="F41" s="1688">
        <f t="shared" si="2"/>
        <v>1494320</v>
      </c>
      <c r="G41" s="1688">
        <f t="shared" si="2"/>
        <v>537432</v>
      </c>
      <c r="H41" s="1688">
        <f t="shared" si="2"/>
        <v>107390</v>
      </c>
      <c r="I41" s="1688">
        <f t="shared" si="2"/>
        <v>983377</v>
      </c>
      <c r="J41" s="1688">
        <f t="shared" si="2"/>
        <v>456061</v>
      </c>
      <c r="K41" s="1688">
        <f t="shared" si="2"/>
        <v>1966788</v>
      </c>
      <c r="L41" s="1688">
        <f t="shared" si="2"/>
        <v>180419</v>
      </c>
      <c r="M41" s="1688">
        <f>SUM(M40)</f>
        <v>9618272</v>
      </c>
      <c r="N41" s="1688">
        <f>SUM(N37)</f>
        <v>1500000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notes to the financial statements are an integral part of this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5" activePane="bottomLeft" state="frozen"/>
      <selection activeCell="C114" sqref="C114:D114"/>
      <selection pane="bottomLeft" activeCell="C114" sqref="C114:D1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0"/>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1" t="s">
        <v>1175</v>
      </c>
      <c r="B3" s="2142"/>
      <c r="C3" s="1573"/>
      <c r="D3" s="1574"/>
      <c r="E3" s="1574"/>
      <c r="F3" s="1574"/>
      <c r="G3" s="1574"/>
      <c r="H3" s="1574"/>
      <c r="I3" s="1574"/>
      <c r="J3" s="1574"/>
      <c r="K3" s="1575"/>
      <c r="L3" s="506"/>
    </row>
    <row r="4" spans="1:13" ht="15.75" customHeight="1" x14ac:dyDescent="0.2">
      <c r="A4" s="1928" t="s">
        <v>1499</v>
      </c>
      <c r="B4" s="1929">
        <v>1000</v>
      </c>
      <c r="C4" s="1742">
        <f>'Revenues 9-14'!C109</f>
        <v>2081722</v>
      </c>
      <c r="D4" s="1742">
        <f>'Revenues 9-14'!D109</f>
        <v>392702</v>
      </c>
      <c r="E4" s="1742">
        <f>'Revenues 9-14'!E109</f>
        <v>180906</v>
      </c>
      <c r="F4" s="1742">
        <f>'Revenues 9-14'!F109</f>
        <v>251767</v>
      </c>
      <c r="G4" s="1742">
        <f>'Revenues 9-14'!G109</f>
        <v>141972</v>
      </c>
      <c r="H4" s="1742">
        <f>'Revenues 9-14'!H109</f>
        <v>439328</v>
      </c>
      <c r="I4" s="1742">
        <f>'Revenues 9-14'!I109</f>
        <v>32799</v>
      </c>
      <c r="J4" s="1742">
        <f>'Revenues 9-14'!J109</f>
        <v>148777</v>
      </c>
      <c r="K4" s="1742">
        <f>'Revenues 9-14'!K109</f>
        <v>35160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4056419</v>
      </c>
      <c r="D6" s="1743">
        <f>'Revenues 9-14'!D170</f>
        <v>0</v>
      </c>
      <c r="E6" s="1743">
        <f>'Revenues 9-14'!E170</f>
        <v>0</v>
      </c>
      <c r="F6" s="1743">
        <f>'Revenues 9-14'!F170</f>
        <v>239830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637342</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6775483</v>
      </c>
      <c r="D8" s="1688">
        <f t="shared" ref="D8:K8" si="0">SUM(D4:D7)</f>
        <v>392702</v>
      </c>
      <c r="E8" s="1688">
        <f t="shared" si="0"/>
        <v>180906</v>
      </c>
      <c r="F8" s="1688">
        <f t="shared" si="0"/>
        <v>491597</v>
      </c>
      <c r="G8" s="1688">
        <f t="shared" si="0"/>
        <v>141972</v>
      </c>
      <c r="H8" s="1688">
        <f t="shared" si="0"/>
        <v>439328</v>
      </c>
      <c r="I8" s="1688">
        <f t="shared" si="0"/>
        <v>32799</v>
      </c>
      <c r="J8" s="1688">
        <f t="shared" si="0"/>
        <v>148777</v>
      </c>
      <c r="K8" s="1688">
        <f t="shared" si="0"/>
        <v>35160</v>
      </c>
      <c r="L8" s="347"/>
    </row>
    <row r="9" spans="1:13" ht="15.75" thickTop="1" x14ac:dyDescent="0.2">
      <c r="A9" s="514" t="s">
        <v>1653</v>
      </c>
      <c r="B9" s="515">
        <v>3998</v>
      </c>
      <c r="C9" s="481">
        <f>2605803+47969</f>
        <v>2653772</v>
      </c>
      <c r="D9" s="516"/>
      <c r="E9" s="481"/>
      <c r="F9" s="481"/>
      <c r="G9" s="517"/>
      <c r="H9" s="481"/>
      <c r="I9" s="509" t="s">
        <v>1169</v>
      </c>
      <c r="J9" s="478"/>
      <c r="K9" s="481"/>
      <c r="L9" s="347"/>
    </row>
    <row r="10" spans="1:13" s="519" customFormat="1" ht="13.5" thickBot="1" x14ac:dyDescent="0.25">
      <c r="A10" s="1736" t="s">
        <v>1173</v>
      </c>
      <c r="B10" s="1709"/>
      <c r="C10" s="1688">
        <f>SUM(C8:C9)</f>
        <v>9429255</v>
      </c>
      <c r="D10" s="1688">
        <f t="shared" ref="D10:K10" si="1">SUM(D8:D9)</f>
        <v>392702</v>
      </c>
      <c r="E10" s="1688">
        <f t="shared" si="1"/>
        <v>180906</v>
      </c>
      <c r="F10" s="1688">
        <f t="shared" si="1"/>
        <v>491597</v>
      </c>
      <c r="G10" s="1688">
        <f t="shared" si="1"/>
        <v>141972</v>
      </c>
      <c r="H10" s="1688">
        <f t="shared" si="1"/>
        <v>439328</v>
      </c>
      <c r="I10" s="1688">
        <f t="shared" si="1"/>
        <v>32799</v>
      </c>
      <c r="J10" s="1688">
        <f t="shared" si="1"/>
        <v>148777</v>
      </c>
      <c r="K10" s="1688">
        <f t="shared" si="1"/>
        <v>35160</v>
      </c>
      <c r="L10" s="518"/>
    </row>
    <row r="11" spans="1:13" s="519" customFormat="1" ht="16.7" customHeight="1" thickTop="1" x14ac:dyDescent="0.2">
      <c r="A11" s="2115" t="s">
        <v>1176</v>
      </c>
      <c r="B11" s="2116"/>
      <c r="C11" s="1570"/>
      <c r="D11" s="1571"/>
      <c r="E11" s="1571"/>
      <c r="F11" s="1571"/>
      <c r="G11" s="1571"/>
      <c r="H11" s="1571"/>
      <c r="I11" s="1571"/>
      <c r="J11" s="1571"/>
      <c r="K11" s="1572"/>
      <c r="L11" s="518"/>
    </row>
    <row r="12" spans="1:13" ht="15.75" customHeight="1" x14ac:dyDescent="0.2">
      <c r="A12" s="1576" t="s">
        <v>456</v>
      </c>
      <c r="B12" s="1578">
        <v>1000</v>
      </c>
      <c r="C12" s="1742">
        <f>'Expenditures 15-22'!K33</f>
        <v>4395071</v>
      </c>
      <c r="D12" s="520" t="s">
        <v>1169</v>
      </c>
      <c r="E12" s="468" t="s">
        <v>1169</v>
      </c>
      <c r="F12" s="468" t="s">
        <v>1169</v>
      </c>
      <c r="G12" s="1742">
        <f>'Expenditures 15-22'!K229</f>
        <v>63936</v>
      </c>
      <c r="H12" s="521"/>
      <c r="I12" s="468" t="s">
        <v>1169</v>
      </c>
      <c r="J12" s="468" t="s">
        <v>1169</v>
      </c>
      <c r="K12" s="521" t="s">
        <v>1169</v>
      </c>
      <c r="L12" s="347"/>
    </row>
    <row r="13" spans="1:13" ht="15.75" customHeight="1" x14ac:dyDescent="0.2">
      <c r="A13" s="1576" t="s">
        <v>457</v>
      </c>
      <c r="B13" s="1578">
        <v>2000</v>
      </c>
      <c r="C13" s="1743">
        <f>'Expenditures 15-22'!K74</f>
        <v>2460974</v>
      </c>
      <c r="D13" s="1743">
        <f>'Expenditures 15-22'!K129</f>
        <v>451850</v>
      </c>
      <c r="E13" s="469" t="s">
        <v>1169</v>
      </c>
      <c r="F13" s="1743">
        <f>'Expenditures 15-22'!K184</f>
        <v>483667</v>
      </c>
      <c r="G13" s="1743">
        <f>'Expenditures 15-22'!K279</f>
        <v>109998</v>
      </c>
      <c r="H13" s="1743">
        <f>'Expenditures 15-22'!K303</f>
        <v>331941</v>
      </c>
      <c r="I13" s="468" t="s">
        <v>1169</v>
      </c>
      <c r="J13" s="1743">
        <f>'Expenditures 15-22'!K330</f>
        <v>161697</v>
      </c>
      <c r="K13" s="1747">
        <f>'Expenditures 15-22'!K352</f>
        <v>51458</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708146</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704239</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7564191</v>
      </c>
      <c r="D17" s="1688">
        <f t="shared" si="2"/>
        <v>451850</v>
      </c>
      <c r="E17" s="1688">
        <f t="shared" si="2"/>
        <v>704239</v>
      </c>
      <c r="F17" s="1688">
        <f t="shared" si="2"/>
        <v>483667</v>
      </c>
      <c r="G17" s="1688">
        <f t="shared" si="2"/>
        <v>173934</v>
      </c>
      <c r="H17" s="1688">
        <f t="shared" si="2"/>
        <v>331941</v>
      </c>
      <c r="I17" s="468"/>
      <c r="J17" s="1688">
        <f>SUM(J12:J16)</f>
        <v>161697</v>
      </c>
      <c r="K17" s="1688">
        <f>SUM(K12:K16)</f>
        <v>51458</v>
      </c>
      <c r="L17" s="347"/>
    </row>
    <row r="18" spans="1:12" ht="15" customHeight="1" thickTop="1" x14ac:dyDescent="0.2">
      <c r="A18" s="1744" t="s">
        <v>1654</v>
      </c>
      <c r="B18" s="1745">
        <v>4180</v>
      </c>
      <c r="C18" s="1742">
        <f t="shared" ref="C18:H18" si="3">C9</f>
        <v>2653772</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10217963</v>
      </c>
      <c r="D19" s="1688">
        <f t="shared" si="4"/>
        <v>451850</v>
      </c>
      <c r="E19" s="1688">
        <f t="shared" si="4"/>
        <v>704239</v>
      </c>
      <c r="F19" s="1688">
        <f t="shared" si="4"/>
        <v>483667</v>
      </c>
      <c r="G19" s="1688">
        <f t="shared" si="4"/>
        <v>173934</v>
      </c>
      <c r="H19" s="1688">
        <f t="shared" si="4"/>
        <v>331941</v>
      </c>
      <c r="I19" s="468"/>
      <c r="J19" s="1688">
        <f>SUM(J17:J18)</f>
        <v>161697</v>
      </c>
      <c r="K19" s="1688">
        <f>SUM(K17:K18)</f>
        <v>51458</v>
      </c>
      <c r="L19" s="347"/>
    </row>
    <row r="20" spans="1:12" ht="16.5" thickTop="1" thickBot="1" x14ac:dyDescent="0.25">
      <c r="A20" s="2131" t="s">
        <v>1655</v>
      </c>
      <c r="B20" s="2132"/>
      <c r="C20" s="1746">
        <f>C8-C17</f>
        <v>-788708</v>
      </c>
      <c r="D20" s="1746">
        <f t="shared" ref="D20:K20" si="5">D8-D17</f>
        <v>-59148</v>
      </c>
      <c r="E20" s="1746">
        <f t="shared" si="5"/>
        <v>-523333</v>
      </c>
      <c r="F20" s="1746">
        <f t="shared" si="5"/>
        <v>7930</v>
      </c>
      <c r="G20" s="1746">
        <f t="shared" si="5"/>
        <v>-31962</v>
      </c>
      <c r="H20" s="1746">
        <f t="shared" si="5"/>
        <v>107387</v>
      </c>
      <c r="I20" s="1746">
        <f t="shared" si="5"/>
        <v>32799</v>
      </c>
      <c r="J20" s="1746">
        <f t="shared" si="5"/>
        <v>-12920</v>
      </c>
      <c r="K20" s="1746">
        <f t="shared" si="5"/>
        <v>-16298</v>
      </c>
      <c r="L20" s="347"/>
    </row>
    <row r="21" spans="1:12" ht="16.7" customHeight="1" thickTop="1" x14ac:dyDescent="0.2">
      <c r="A21" s="2143" t="s">
        <v>595</v>
      </c>
      <c r="B21" s="2144"/>
      <c r="C21" s="1570"/>
      <c r="D21" s="1571"/>
      <c r="E21" s="1571"/>
      <c r="F21" s="1571"/>
      <c r="G21" s="1571"/>
      <c r="H21" s="1571"/>
      <c r="I21" s="1571"/>
      <c r="J21" s="1571"/>
      <c r="K21" s="1572"/>
      <c r="L21" s="524"/>
    </row>
    <row r="22" spans="1:12" ht="15.75" customHeight="1" collapsed="1" x14ac:dyDescent="0.2">
      <c r="A22" s="2139" t="s">
        <v>596</v>
      </c>
      <c r="B22" s="2140"/>
      <c r="C22" s="477"/>
      <c r="D22" s="477"/>
      <c r="E22" s="477"/>
      <c r="F22" s="477"/>
      <c r="G22" s="477"/>
      <c r="H22" s="477"/>
      <c r="I22" s="477"/>
      <c r="J22" s="477"/>
      <c r="K22" s="477"/>
      <c r="L22" s="347"/>
    </row>
    <row r="23" spans="1:12" s="485" customFormat="1" ht="15.75" customHeight="1" x14ac:dyDescent="0.2">
      <c r="A23" s="2135" t="s">
        <v>293</v>
      </c>
      <c r="B23" s="2136"/>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7" t="s">
        <v>981</v>
      </c>
      <c r="B32" s="2138"/>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v>1500000</v>
      </c>
      <c r="L33" s="524"/>
    </row>
    <row r="34" spans="1:12" s="485" customFormat="1" x14ac:dyDescent="0.2">
      <c r="A34" s="1489" t="s">
        <v>1001</v>
      </c>
      <c r="B34" s="525">
        <v>7220</v>
      </c>
      <c r="C34" s="467"/>
      <c r="D34" s="467"/>
      <c r="E34" s="467">
        <v>30349</v>
      </c>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5" t="s">
        <v>374</v>
      </c>
      <c r="B44" s="2146"/>
      <c r="C44" s="1703">
        <f>SUM(C24:C43)</f>
        <v>0</v>
      </c>
      <c r="D44" s="1703">
        <f t="shared" ref="D44:K44" si="6">SUM(D24:D43)</f>
        <v>0</v>
      </c>
      <c r="E44" s="1703">
        <f t="shared" si="6"/>
        <v>30349</v>
      </c>
      <c r="F44" s="1703">
        <f t="shared" si="6"/>
        <v>0</v>
      </c>
      <c r="G44" s="1703">
        <f t="shared" si="6"/>
        <v>0</v>
      </c>
      <c r="H44" s="1703">
        <f t="shared" si="6"/>
        <v>0</v>
      </c>
      <c r="I44" s="1703">
        <f t="shared" si="6"/>
        <v>0</v>
      </c>
      <c r="J44" s="1703">
        <f t="shared" si="6"/>
        <v>0</v>
      </c>
      <c r="K44" s="1703">
        <f t="shared" si="6"/>
        <v>1500000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21" t="s">
        <v>440</v>
      </c>
      <c r="B76" s="2122"/>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3" t="s">
        <v>1177</v>
      </c>
      <c r="B77" s="2124"/>
      <c r="C77" s="1703">
        <f t="shared" ref="C77:K77" si="8">C44-C76</f>
        <v>0</v>
      </c>
      <c r="D77" s="1703">
        <f t="shared" si="8"/>
        <v>0</v>
      </c>
      <c r="E77" s="1703">
        <f t="shared" si="8"/>
        <v>30349</v>
      </c>
      <c r="F77" s="1703">
        <f t="shared" si="8"/>
        <v>0</v>
      </c>
      <c r="G77" s="1703">
        <f t="shared" si="8"/>
        <v>0</v>
      </c>
      <c r="H77" s="1703">
        <f t="shared" si="8"/>
        <v>0</v>
      </c>
      <c r="I77" s="1703">
        <f t="shared" si="8"/>
        <v>0</v>
      </c>
      <c r="J77" s="1703">
        <f t="shared" si="8"/>
        <v>0</v>
      </c>
      <c r="K77" s="1703">
        <f t="shared" si="8"/>
        <v>1500000</v>
      </c>
      <c r="L77" s="347"/>
    </row>
    <row r="78" spans="1:12" ht="21.75" customHeight="1" thickTop="1" thickBot="1" x14ac:dyDescent="0.25">
      <c r="A78" s="2127" t="s">
        <v>597</v>
      </c>
      <c r="B78" s="2128"/>
      <c r="C78" s="1702">
        <f t="shared" ref="C78:K78" si="9">C20+C77</f>
        <v>-788708</v>
      </c>
      <c r="D78" s="1702">
        <f t="shared" si="9"/>
        <v>-59148</v>
      </c>
      <c r="E78" s="1702">
        <f t="shared" si="9"/>
        <v>-492984</v>
      </c>
      <c r="F78" s="1702">
        <f t="shared" si="9"/>
        <v>7930</v>
      </c>
      <c r="G78" s="1702">
        <f t="shared" si="9"/>
        <v>-31962</v>
      </c>
      <c r="H78" s="1702">
        <f t="shared" si="9"/>
        <v>107387</v>
      </c>
      <c r="I78" s="1702">
        <f t="shared" si="9"/>
        <v>32799</v>
      </c>
      <c r="J78" s="1702">
        <f t="shared" si="9"/>
        <v>-12920</v>
      </c>
      <c r="K78" s="1702">
        <f t="shared" si="9"/>
        <v>1483702</v>
      </c>
      <c r="L78" s="533"/>
    </row>
    <row r="79" spans="1:12" ht="13.5" thickTop="1" x14ac:dyDescent="0.2">
      <c r="A79" s="1494" t="s">
        <v>1947</v>
      </c>
      <c r="B79" s="534"/>
      <c r="C79" s="478">
        <v>9624643</v>
      </c>
      <c r="D79" s="535">
        <v>1154756</v>
      </c>
      <c r="E79" s="535">
        <v>501507</v>
      </c>
      <c r="F79" s="535">
        <v>1486390</v>
      </c>
      <c r="G79" s="535">
        <v>569394</v>
      </c>
      <c r="H79" s="535">
        <v>3</v>
      </c>
      <c r="I79" s="535">
        <v>950578</v>
      </c>
      <c r="J79" s="535">
        <v>468981</v>
      </c>
      <c r="K79" s="535">
        <v>483086</v>
      </c>
      <c r="L79" s="347"/>
    </row>
    <row r="80" spans="1:12" x14ac:dyDescent="0.2">
      <c r="A80" s="2133" t="s">
        <v>1795</v>
      </c>
      <c r="B80" s="2134"/>
      <c r="C80" s="467"/>
      <c r="D80" s="467"/>
      <c r="E80" s="467"/>
      <c r="F80" s="467"/>
      <c r="G80" s="467"/>
      <c r="H80" s="467"/>
      <c r="I80" s="467"/>
      <c r="J80" s="467"/>
      <c r="K80" s="467"/>
      <c r="L80" s="347"/>
    </row>
    <row r="81" spans="1:12" ht="13.5" thickBot="1" x14ac:dyDescent="0.25">
      <c r="A81" s="2125" t="s">
        <v>1948</v>
      </c>
      <c r="B81" s="2126"/>
      <c r="C81" s="1688">
        <f>(SUM(C78:C80))</f>
        <v>8835935</v>
      </c>
      <c r="D81" s="1688">
        <f>SUM(D78:D80)</f>
        <v>1095608</v>
      </c>
      <c r="E81" s="1688">
        <f t="shared" ref="E81:K81" si="10">SUM(E78:E80)</f>
        <v>8523</v>
      </c>
      <c r="F81" s="1688">
        <f t="shared" si="10"/>
        <v>1494320</v>
      </c>
      <c r="G81" s="1688">
        <f t="shared" si="10"/>
        <v>537432</v>
      </c>
      <c r="H81" s="1688">
        <f t="shared" si="10"/>
        <v>107390</v>
      </c>
      <c r="I81" s="1688">
        <f t="shared" si="10"/>
        <v>983377</v>
      </c>
      <c r="J81" s="1688">
        <f t="shared" si="10"/>
        <v>456061</v>
      </c>
      <c r="K81" s="1688">
        <f t="shared" si="10"/>
        <v>1966788</v>
      </c>
      <c r="L81" s="347"/>
    </row>
    <row r="82" spans="1:12" ht="0.75" customHeight="1" thickTop="1" thickBot="1" x14ac:dyDescent="0.25">
      <c r="A82" s="536" t="s">
        <v>343</v>
      </c>
      <c r="B82" s="537"/>
      <c r="C82" s="538">
        <f>(C81-C79)</f>
        <v>-788708</v>
      </c>
      <c r="D82" s="538">
        <f t="shared" ref="D82:K82" si="11">(D81-D79)</f>
        <v>-59148</v>
      </c>
      <c r="E82" s="538">
        <f t="shared" si="11"/>
        <v>-492984</v>
      </c>
      <c r="F82" s="538">
        <f t="shared" si="11"/>
        <v>7930</v>
      </c>
      <c r="G82" s="538">
        <f t="shared" si="11"/>
        <v>-31962</v>
      </c>
      <c r="H82" s="538">
        <f t="shared" si="11"/>
        <v>107387</v>
      </c>
      <c r="I82" s="538">
        <f t="shared" si="11"/>
        <v>32799</v>
      </c>
      <c r="J82" s="538">
        <f t="shared" si="11"/>
        <v>-12920</v>
      </c>
      <c r="K82" s="538">
        <f t="shared" si="11"/>
        <v>1483702</v>
      </c>
    </row>
    <row r="83" spans="1:12" ht="14.25" hidden="1" thickTop="1" thickBot="1" x14ac:dyDescent="0.25">
      <c r="A83" s="539" t="s">
        <v>344</v>
      </c>
      <c r="B83" s="464"/>
      <c r="C83" s="540">
        <f>C82/C81</f>
        <v>-8.9261408102255163E-2</v>
      </c>
      <c r="D83" s="540">
        <f t="shared" ref="D83:K83" si="12">D82/D81</f>
        <v>-5.3986462311337628E-2</v>
      </c>
      <c r="E83" s="540">
        <f t="shared" si="12"/>
        <v>-57.841605068637804</v>
      </c>
      <c r="F83" s="540">
        <f t="shared" si="12"/>
        <v>5.3067616039402538E-3</v>
      </c>
      <c r="G83" s="540">
        <f t="shared" si="12"/>
        <v>-5.9471709909346672E-2</v>
      </c>
      <c r="H83" s="540">
        <f t="shared" si="12"/>
        <v>0.99997206443802966</v>
      </c>
      <c r="I83" s="540">
        <f t="shared" si="12"/>
        <v>3.3353434135636691E-2</v>
      </c>
      <c r="J83" s="540">
        <f t="shared" si="12"/>
        <v>-2.832954363561015E-2</v>
      </c>
      <c r="K83" s="540">
        <f t="shared" si="12"/>
        <v>0.75437820446331783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notes to the financial statements are an integral part of this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123" activePane="bottomLeft" state="frozen"/>
      <selection activeCell="C114" sqref="C114:D114"/>
      <selection pane="bottomLeft" activeCell="C125" sqref="C12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1802</v>
      </c>
      <c r="B1" s="452"/>
      <c r="C1" s="453" t="s">
        <v>425</v>
      </c>
      <c r="D1" s="453" t="s">
        <v>426</v>
      </c>
      <c r="E1" s="453" t="s">
        <v>427</v>
      </c>
      <c r="F1" s="453" t="s">
        <v>428</v>
      </c>
      <c r="G1" s="453" t="s">
        <v>429</v>
      </c>
      <c r="H1" s="453" t="s">
        <v>430</v>
      </c>
      <c r="I1" s="453" t="s">
        <v>431</v>
      </c>
      <c r="J1" s="453" t="s">
        <v>432</v>
      </c>
      <c r="K1" s="453" t="s">
        <v>756</v>
      </c>
    </row>
    <row r="2" spans="1:12" ht="36" x14ac:dyDescent="0.2">
      <c r="A2" s="2130"/>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f>1452465+154603</f>
        <v>1607068</v>
      </c>
      <c r="D5" s="481">
        <f>223372+23878</f>
        <v>247250</v>
      </c>
      <c r="E5" s="466">
        <f>80465+8170</f>
        <v>88635</v>
      </c>
      <c r="F5" s="548">
        <f>201035+21490</f>
        <v>222525</v>
      </c>
      <c r="G5" s="466">
        <f>56920+1229</f>
        <v>58149</v>
      </c>
      <c r="H5" s="466"/>
      <c r="I5" s="466">
        <f>22257+2388</f>
        <v>24645</v>
      </c>
      <c r="J5" s="467">
        <f>128293+15600+1</f>
        <v>143894</v>
      </c>
      <c r="K5" s="466">
        <f>22257+2388</f>
        <v>24645</v>
      </c>
    </row>
    <row r="6" spans="1:12" ht="15" x14ac:dyDescent="0.2">
      <c r="A6" s="463" t="s">
        <v>1662</v>
      </c>
      <c r="B6" s="470">
        <v>1130</v>
      </c>
      <c r="C6" s="466">
        <f>22257+2388</f>
        <v>24645</v>
      </c>
      <c r="D6" s="466"/>
      <c r="E6" s="475"/>
      <c r="F6" s="475"/>
      <c r="G6" s="468"/>
      <c r="H6" s="468"/>
      <c r="I6" s="468"/>
      <c r="J6" s="468"/>
      <c r="K6" s="468"/>
    </row>
    <row r="7" spans="1:12" x14ac:dyDescent="0.2">
      <c r="A7" s="463" t="s">
        <v>110</v>
      </c>
      <c r="B7" s="549">
        <v>1140</v>
      </c>
      <c r="C7" s="466">
        <f>17801+1910</f>
        <v>19711</v>
      </c>
      <c r="D7" s="466"/>
      <c r="E7" s="468"/>
      <c r="F7" s="467"/>
      <c r="G7" s="467"/>
      <c r="H7" s="467"/>
      <c r="I7" s="468"/>
      <c r="J7" s="468"/>
      <c r="K7" s="468"/>
    </row>
    <row r="8" spans="1:12" x14ac:dyDescent="0.2">
      <c r="A8" s="463" t="s">
        <v>413</v>
      </c>
      <c r="B8" s="470">
        <v>1150</v>
      </c>
      <c r="C8" s="475"/>
      <c r="D8" s="475"/>
      <c r="E8" s="477"/>
      <c r="F8" s="477"/>
      <c r="G8" s="481">
        <f>62515+8273</f>
        <v>70788</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1651424</v>
      </c>
      <c r="D12" s="1707">
        <f t="shared" si="0"/>
        <v>247250</v>
      </c>
      <c r="E12" s="1707">
        <f t="shared" si="0"/>
        <v>88635</v>
      </c>
      <c r="F12" s="1707">
        <f t="shared" si="0"/>
        <v>222525</v>
      </c>
      <c r="G12" s="1707">
        <f t="shared" si="0"/>
        <v>128937</v>
      </c>
      <c r="H12" s="1707">
        <f t="shared" si="0"/>
        <v>0</v>
      </c>
      <c r="I12" s="1707">
        <f t="shared" si="0"/>
        <v>24645</v>
      </c>
      <c r="J12" s="1707">
        <f t="shared" si="0"/>
        <v>143894</v>
      </c>
      <c r="K12" s="1688">
        <f t="shared" si="0"/>
        <v>24645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139</v>
      </c>
      <c r="D14" s="466">
        <v>21</v>
      </c>
      <c r="E14" s="466">
        <v>7</v>
      </c>
      <c r="F14" s="466">
        <v>19</v>
      </c>
      <c r="G14" s="466">
        <v>11</v>
      </c>
      <c r="H14" s="466"/>
      <c r="I14" s="466">
        <v>2</v>
      </c>
      <c r="J14" s="467">
        <v>12</v>
      </c>
      <c r="K14" s="466">
        <v>2</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v>129628</v>
      </c>
      <c r="E16" s="466"/>
      <c r="F16" s="466"/>
      <c r="G16" s="466">
        <v>6628</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139</v>
      </c>
      <c r="D18" s="1710">
        <f t="shared" ref="D18:K18" si="1">SUM(D14:D17)</f>
        <v>129649</v>
      </c>
      <c r="E18" s="1710">
        <f t="shared" si="1"/>
        <v>7</v>
      </c>
      <c r="F18" s="1710">
        <f t="shared" si="1"/>
        <v>19</v>
      </c>
      <c r="G18" s="1710">
        <f t="shared" si="1"/>
        <v>6639</v>
      </c>
      <c r="H18" s="1710">
        <f t="shared" si="1"/>
        <v>0</v>
      </c>
      <c r="I18" s="1710">
        <f t="shared" si="1"/>
        <v>2</v>
      </c>
      <c r="J18" s="1710">
        <f t="shared" si="1"/>
        <v>12</v>
      </c>
      <c r="K18" s="1711">
        <f t="shared" si="1"/>
        <v>2</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133386</v>
      </c>
      <c r="D65" s="466">
        <v>12487</v>
      </c>
      <c r="E65" s="466">
        <v>2025</v>
      </c>
      <c r="F65" s="467">
        <f>2303+20838</f>
        <v>23141</v>
      </c>
      <c r="G65" s="466">
        <v>6396</v>
      </c>
      <c r="H65" s="466">
        <v>930</v>
      </c>
      <c r="I65" s="466">
        <v>8152</v>
      </c>
      <c r="J65" s="467">
        <v>4871</v>
      </c>
      <c r="K65" s="466">
        <v>10513</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133386</v>
      </c>
      <c r="D67" s="1688">
        <f t="shared" ref="D67:K67" si="2">SUM(D65:D66)</f>
        <v>12487</v>
      </c>
      <c r="E67" s="1688">
        <f t="shared" si="2"/>
        <v>2025</v>
      </c>
      <c r="F67" s="1688">
        <f t="shared" si="2"/>
        <v>23141</v>
      </c>
      <c r="G67" s="1688">
        <f t="shared" si="2"/>
        <v>6396</v>
      </c>
      <c r="H67" s="1688">
        <f t="shared" si="2"/>
        <v>930</v>
      </c>
      <c r="I67" s="1688">
        <f t="shared" si="2"/>
        <v>8152</v>
      </c>
      <c r="J67" s="1688">
        <f t="shared" si="2"/>
        <v>4871</v>
      </c>
      <c r="K67" s="1688">
        <f t="shared" si="2"/>
        <v>10513</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f>29499+23431+23918+12373</f>
        <v>89221</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67627</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5087</v>
      </c>
      <c r="D73" s="468"/>
      <c r="E73" s="468"/>
      <c r="F73" s="468"/>
      <c r="G73" s="468"/>
      <c r="H73" s="468"/>
      <c r="I73" s="468"/>
      <c r="J73" s="468"/>
      <c r="K73" s="468"/>
    </row>
    <row r="74" spans="1:11" ht="12.75" customHeight="1" x14ac:dyDescent="0.2">
      <c r="A74" s="463" t="s">
        <v>25</v>
      </c>
      <c r="B74" s="470">
        <v>1690</v>
      </c>
      <c r="C74" s="551">
        <v>120</v>
      </c>
      <c r="D74" s="468"/>
      <c r="E74" s="468"/>
      <c r="F74" s="468"/>
      <c r="G74" s="468"/>
      <c r="H74" s="468"/>
      <c r="I74" s="468"/>
      <c r="J74" s="468"/>
      <c r="K74" s="468"/>
    </row>
    <row r="75" spans="1:11" ht="12.75" customHeight="1" thickBot="1" x14ac:dyDescent="0.25">
      <c r="A75" s="1708" t="s">
        <v>548</v>
      </c>
      <c r="B75" s="1709"/>
      <c r="C75" s="1688">
        <f>SUM(C69:C74)</f>
        <v>162055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f>11396+1985+3179+1150+3647+5392</f>
        <v>26749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26749</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f>5653+2985+5302+12720+1807+1058+478+9428+1225</f>
        <v>40656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40656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v>532</v>
      </c>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f>5699+195</f>
        <v>5894</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4198</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90239</v>
      </c>
      <c r="F103" s="468"/>
      <c r="G103" s="468"/>
      <c r="H103" s="489">
        <v>438398</v>
      </c>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f>23345+33878-2</f>
        <v>57221</v>
      </c>
      <c r="D107" s="466">
        <v>2784</v>
      </c>
      <c r="E107" s="466"/>
      <c r="F107" s="466">
        <v>6082</v>
      </c>
      <c r="G107" s="466"/>
      <c r="H107" s="466"/>
      <c r="I107" s="466"/>
      <c r="J107" s="467"/>
      <c r="K107" s="466"/>
    </row>
    <row r="108" spans="1:12" ht="12.75" customHeight="1" thickBot="1" x14ac:dyDescent="0.25">
      <c r="A108" s="1708" t="s">
        <v>487</v>
      </c>
      <c r="B108" s="1712"/>
      <c r="C108" s="1707">
        <f>SUM(C95:C107)</f>
        <v>67313</v>
      </c>
      <c r="D108" s="1707">
        <f t="shared" ref="D108:K108" si="3">SUM(D95:D107)</f>
        <v>3316</v>
      </c>
      <c r="E108" s="1707">
        <f t="shared" si="3"/>
        <v>90239</v>
      </c>
      <c r="F108" s="1707">
        <f t="shared" si="3"/>
        <v>6082</v>
      </c>
      <c r="G108" s="1707">
        <f t="shared" si="3"/>
        <v>0</v>
      </c>
      <c r="H108" s="1707">
        <f t="shared" si="3"/>
        <v>438398</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2081722</v>
      </c>
      <c r="D109" s="1715">
        <f t="shared" si="4"/>
        <v>392702</v>
      </c>
      <c r="E109" s="1715">
        <f t="shared" si="4"/>
        <v>180906</v>
      </c>
      <c r="F109" s="1715">
        <f t="shared" si="4"/>
        <v>251767</v>
      </c>
      <c r="G109" s="1715">
        <f t="shared" si="4"/>
        <v>141972</v>
      </c>
      <c r="H109" s="1715">
        <f t="shared" si="4"/>
        <v>439328</v>
      </c>
      <c r="I109" s="1715">
        <f t="shared" si="4"/>
        <v>32799</v>
      </c>
      <c r="J109" s="1715">
        <f t="shared" si="4"/>
        <v>148777</v>
      </c>
      <c r="K109" s="1702">
        <f t="shared" si="4"/>
        <v>35160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3668984</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3668984</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27580</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14809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42389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v>4103</v>
      </c>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4103</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4408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10739</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171420</v>
      </c>
      <c r="G152" s="467"/>
      <c r="H152" s="468"/>
      <c r="I152" s="468"/>
      <c r="J152" s="468"/>
      <c r="K152" s="468"/>
    </row>
    <row r="153" spans="1:11" ht="12.75" customHeight="1" x14ac:dyDescent="0.2">
      <c r="A153" s="463" t="s">
        <v>1057</v>
      </c>
      <c r="B153" s="562">
        <v>3510</v>
      </c>
      <c r="C153" s="551"/>
      <c r="D153" s="466"/>
      <c r="E153" s="561"/>
      <c r="F153" s="466">
        <v>68410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239830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323706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2090</v>
      </c>
      <c r="D168" s="580"/>
      <c r="E168" s="580"/>
      <c r="F168" s="580"/>
      <c r="G168" s="581"/>
      <c r="H168" s="582"/>
      <c r="I168" s="581"/>
      <c r="J168" s="581"/>
      <c r="K168" s="582"/>
    </row>
    <row r="169" spans="1:11" ht="12.75" customHeight="1" thickTop="1" thickBot="1" x14ac:dyDescent="0.25">
      <c r="A169" s="2149" t="s">
        <v>398</v>
      </c>
      <c r="B169" s="2150"/>
      <c r="C169" s="1722">
        <f t="shared" ref="C169:K169" si="6">SUM(C132,C141,C145,C146:C150,C155,C156:C167,C168)</f>
        <v>387435</v>
      </c>
      <c r="D169" s="1722">
        <f t="shared" si="6"/>
        <v>0</v>
      </c>
      <c r="E169" s="1722">
        <f t="shared" si="6"/>
        <v>0</v>
      </c>
      <c r="F169" s="1722">
        <f t="shared" si="6"/>
        <v>239830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4056419</v>
      </c>
      <c r="D170" s="1715">
        <f t="shared" si="7"/>
        <v>0</v>
      </c>
      <c r="E170" s="1715">
        <f t="shared" si="7"/>
        <v>0</v>
      </c>
      <c r="F170" s="1715">
        <f t="shared" si="7"/>
        <v>239830</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1" t="s">
        <v>1492</v>
      </c>
      <c r="B172" s="2152"/>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5" t="s">
        <v>1665</v>
      </c>
      <c r="B175" s="2156"/>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9" t="s">
        <v>1664</v>
      </c>
      <c r="B176" s="2160"/>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7" t="s">
        <v>785</v>
      </c>
      <c r="B181" s="2158"/>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3" t="s">
        <v>1803</v>
      </c>
      <c r="B182" s="2154"/>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14919</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14919</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201048</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56569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257617</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f>328134+801</f>
        <v>328935</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328935</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32141</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3730</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637342</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637342</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6775483</v>
      </c>
      <c r="D268" s="1715">
        <f t="shared" si="12"/>
        <v>392702</v>
      </c>
      <c r="E268" s="1715">
        <f t="shared" si="12"/>
        <v>180906</v>
      </c>
      <c r="F268" s="1715">
        <f t="shared" si="12"/>
        <v>491597</v>
      </c>
      <c r="G268" s="1715">
        <f t="shared" si="12"/>
        <v>141972</v>
      </c>
      <c r="H268" s="1715">
        <f t="shared" si="12"/>
        <v>439328</v>
      </c>
      <c r="I268" s="1715">
        <f t="shared" si="12"/>
        <v>32799</v>
      </c>
      <c r="J268" s="1715">
        <f t="shared" si="12"/>
        <v>148777</v>
      </c>
      <c r="K268" s="1702">
        <f t="shared" si="12"/>
        <v>35160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&amp;F&amp;CThe notes to the financial statements are an integral part of this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58" activePane="bottomLeft" state="frozen"/>
      <selection activeCell="C114" sqref="C114:D114"/>
      <selection pane="bottomLeft" activeCell="C114" sqref="C114:D114"/>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1"/>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7" t="s">
        <v>297</v>
      </c>
      <c r="B3" s="2168"/>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f>2545919</f>
        <v>2545919</v>
      </c>
      <c r="D5" s="466">
        <f>298924</f>
        <v>298924</v>
      </c>
      <c r="E5" s="466">
        <v>24861</v>
      </c>
      <c r="F5" s="466">
        <v>95597</v>
      </c>
      <c r="G5" s="466"/>
      <c r="H5" s="466"/>
      <c r="I5" s="467"/>
      <c r="J5" s="467"/>
      <c r="K5" s="1671">
        <f>SUM(C5:J5)</f>
        <v>2965301</v>
      </c>
      <c r="L5" s="466">
        <v>3072243</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f>219703</f>
        <v>219703</v>
      </c>
      <c r="D7" s="467">
        <f>32414-532-2821-2613</f>
        <v>26448</v>
      </c>
      <c r="E7" s="467"/>
      <c r="F7" s="467">
        <v>8839</v>
      </c>
      <c r="G7" s="467"/>
      <c r="H7" s="467"/>
      <c r="I7" s="467"/>
      <c r="J7" s="467"/>
      <c r="K7" s="1671">
        <f t="shared" ref="K7:K32" si="0">SUM(C7:J7)</f>
        <v>254990</v>
      </c>
      <c r="L7" s="466">
        <v>257481</v>
      </c>
    </row>
    <row r="8" spans="1:14" x14ac:dyDescent="0.2">
      <c r="A8" s="1504" t="s">
        <v>164</v>
      </c>
      <c r="B8" s="614">
        <v>1200</v>
      </c>
      <c r="C8" s="466">
        <f>422431</f>
        <v>422431</v>
      </c>
      <c r="D8" s="466">
        <f>1795+2846+49410-5167</f>
        <v>48884</v>
      </c>
      <c r="E8" s="466"/>
      <c r="F8" s="466">
        <v>3479</v>
      </c>
      <c r="G8" s="466"/>
      <c r="H8" s="466"/>
      <c r="I8" s="467"/>
      <c r="J8" s="467"/>
      <c r="K8" s="1671">
        <f t="shared" si="0"/>
        <v>474794</v>
      </c>
      <c r="L8" s="466">
        <v>495768</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f>134518</f>
        <v>134518</v>
      </c>
      <c r="D10" s="466">
        <f>35062+1437+263</f>
        <v>36762</v>
      </c>
      <c r="E10" s="466">
        <v>31072</v>
      </c>
      <c r="F10" s="466">
        <v>77727</v>
      </c>
      <c r="G10" s="466">
        <v>2435</v>
      </c>
      <c r="H10" s="466"/>
      <c r="I10" s="467"/>
      <c r="J10" s="467"/>
      <c r="K10" s="1671">
        <f t="shared" si="0"/>
        <v>282514</v>
      </c>
      <c r="L10" s="466">
        <v>315272</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f>164316</f>
        <v>164316</v>
      </c>
      <c r="D13" s="466">
        <f>11876-2255</f>
        <v>9621</v>
      </c>
      <c r="E13" s="466">
        <v>6220</v>
      </c>
      <c r="F13" s="466">
        <v>9660</v>
      </c>
      <c r="G13" s="466"/>
      <c r="H13" s="466"/>
      <c r="I13" s="467"/>
      <c r="J13" s="467"/>
      <c r="K13" s="1671">
        <f t="shared" si="0"/>
        <v>189817</v>
      </c>
      <c r="L13" s="466">
        <v>226250</v>
      </c>
    </row>
    <row r="14" spans="1:14" x14ac:dyDescent="0.2">
      <c r="A14" s="1504" t="s">
        <v>963</v>
      </c>
      <c r="B14" s="614">
        <v>1500</v>
      </c>
      <c r="C14" s="466">
        <f>139294</f>
        <v>139294</v>
      </c>
      <c r="D14" s="466">
        <f>14818-105-237-291-52-598-342-80-140-184-368-80-377-61-434-101-434-101-9-347-99-118-131-46-76-35-31-7-3-65-38-151-35-29-50-102-14-148+37</f>
        <v>9336</v>
      </c>
      <c r="E14" s="466">
        <v>32231</v>
      </c>
      <c r="F14" s="466">
        <v>21216</v>
      </c>
      <c r="G14" s="466"/>
      <c r="H14" s="466"/>
      <c r="I14" s="467"/>
      <c r="J14" s="467"/>
      <c r="K14" s="1671">
        <f t="shared" si="0"/>
        <v>202077</v>
      </c>
      <c r="L14" s="466">
        <v>231538</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f>22562</f>
        <v>22562</v>
      </c>
      <c r="D17" s="467">
        <f>3310-294</f>
        <v>3016</v>
      </c>
      <c r="E17" s="467"/>
      <c r="F17" s="467"/>
      <c r="G17" s="467"/>
      <c r="H17" s="467"/>
      <c r="I17" s="467"/>
      <c r="J17" s="467"/>
      <c r="K17" s="1671">
        <f t="shared" si="0"/>
        <v>25578</v>
      </c>
      <c r="L17" s="466">
        <v>25196</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3648743</v>
      </c>
      <c r="D33" s="1670">
        <f t="shared" ref="D33:L33" si="1">SUM(D5:D32)</f>
        <v>432991</v>
      </c>
      <c r="E33" s="1670">
        <f t="shared" si="1"/>
        <v>94384</v>
      </c>
      <c r="F33" s="1670">
        <f t="shared" si="1"/>
        <v>216518</v>
      </c>
      <c r="G33" s="1670">
        <f t="shared" si="1"/>
        <v>2435</v>
      </c>
      <c r="H33" s="1670">
        <f t="shared" si="1"/>
        <v>0</v>
      </c>
      <c r="I33" s="1670">
        <f t="shared" si="1"/>
        <v>0</v>
      </c>
      <c r="J33" s="1670">
        <f t="shared" si="1"/>
        <v>0</v>
      </c>
      <c r="K33" s="1670">
        <f t="shared" si="1"/>
        <v>4395071</v>
      </c>
      <c r="L33" s="1670">
        <f t="shared" si="1"/>
        <v>4623748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30784</v>
      </c>
      <c r="D36" s="481">
        <v>1316</v>
      </c>
      <c r="E36" s="481"/>
      <c r="F36" s="481"/>
      <c r="G36" s="481"/>
      <c r="H36" s="481"/>
      <c r="I36" s="467"/>
      <c r="J36" s="467"/>
      <c r="K36" s="1671">
        <f t="shared" ref="K36:K41" si="2">SUM(C36:J36)</f>
        <v>32100</v>
      </c>
      <c r="L36" s="466">
        <v>32825</v>
      </c>
    </row>
    <row r="37" spans="1:14" x14ac:dyDescent="0.2">
      <c r="A37" s="1504" t="s">
        <v>1090</v>
      </c>
      <c r="B37" s="614">
        <v>2120</v>
      </c>
      <c r="C37" s="466">
        <f>157057-30784</f>
        <v>126273</v>
      </c>
      <c r="D37" s="466">
        <f>1316+739+1172+8923-1316</f>
        <v>10834</v>
      </c>
      <c r="E37" s="466"/>
      <c r="F37" s="466"/>
      <c r="G37" s="466"/>
      <c r="H37" s="466"/>
      <c r="I37" s="467"/>
      <c r="J37" s="467"/>
      <c r="K37" s="1671">
        <f t="shared" si="2"/>
        <v>137107</v>
      </c>
      <c r="L37" s="466">
        <v>138060</v>
      </c>
    </row>
    <row r="38" spans="1:14" x14ac:dyDescent="0.2">
      <c r="A38" s="1504" t="s">
        <v>198</v>
      </c>
      <c r="B38" s="614">
        <v>2130</v>
      </c>
      <c r="C38" s="466">
        <f>26837</f>
        <v>26837</v>
      </c>
      <c r="D38" s="466">
        <f>1763</f>
        <v>1763</v>
      </c>
      <c r="E38" s="466">
        <v>25</v>
      </c>
      <c r="F38" s="466">
        <v>2338</v>
      </c>
      <c r="G38" s="466"/>
      <c r="H38" s="466"/>
      <c r="I38" s="467"/>
      <c r="J38" s="467"/>
      <c r="K38" s="1671">
        <f t="shared" si="2"/>
        <v>30963</v>
      </c>
      <c r="L38" s="466">
        <v>39550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f>137269</f>
        <v>137269</v>
      </c>
      <c r="D41" s="466">
        <f>10543</f>
        <v>10543</v>
      </c>
      <c r="E41" s="466">
        <v>89801</v>
      </c>
      <c r="F41" s="466">
        <v>98827</v>
      </c>
      <c r="G41" s="466">
        <v>182304</v>
      </c>
      <c r="H41" s="466"/>
      <c r="I41" s="467"/>
      <c r="J41" s="467"/>
      <c r="K41" s="1671">
        <f t="shared" si="2"/>
        <v>518744</v>
      </c>
      <c r="L41" s="466">
        <v>533325</v>
      </c>
    </row>
    <row r="42" spans="1:14" ht="12.75" customHeight="1" thickBot="1" x14ac:dyDescent="0.25">
      <c r="A42" s="1668" t="s">
        <v>560</v>
      </c>
      <c r="B42" s="1669" t="s">
        <v>716</v>
      </c>
      <c r="C42" s="1670">
        <f>SUM(C36:C41)</f>
        <v>321163</v>
      </c>
      <c r="D42" s="1670">
        <f t="shared" ref="D42:L42" si="3">SUM(D36:D41)</f>
        <v>24456</v>
      </c>
      <c r="E42" s="1670">
        <f t="shared" si="3"/>
        <v>89826</v>
      </c>
      <c r="F42" s="1670">
        <f t="shared" si="3"/>
        <v>101165</v>
      </c>
      <c r="G42" s="1670">
        <f t="shared" si="3"/>
        <v>182304</v>
      </c>
      <c r="H42" s="1670">
        <f t="shared" si="3"/>
        <v>0</v>
      </c>
      <c r="I42" s="1670">
        <f t="shared" si="3"/>
        <v>0</v>
      </c>
      <c r="J42" s="1670">
        <f t="shared" si="3"/>
        <v>0</v>
      </c>
      <c r="K42" s="1670">
        <f t="shared" si="3"/>
        <v>718914</v>
      </c>
      <c r="L42" s="1670">
        <f t="shared" si="3"/>
        <v>743760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f>74842</f>
        <v>74842</v>
      </c>
      <c r="D44" s="481">
        <f>37452+90-1071</f>
        <v>36471</v>
      </c>
      <c r="E44" s="481">
        <v>45615</v>
      </c>
      <c r="F44" s="481">
        <v>938</v>
      </c>
      <c r="G44" s="481"/>
      <c r="H44" s="481"/>
      <c r="I44" s="467"/>
      <c r="J44" s="467"/>
      <c r="K44" s="1672">
        <f>SUM(C44:J44)</f>
        <v>157866</v>
      </c>
      <c r="L44" s="481">
        <v>214396</v>
      </c>
    </row>
    <row r="45" spans="1:14" x14ac:dyDescent="0.2">
      <c r="A45" s="1504" t="s">
        <v>815</v>
      </c>
      <c r="B45" s="614">
        <v>2220</v>
      </c>
      <c r="C45" s="466">
        <f>29013</f>
        <v>29013</v>
      </c>
      <c r="D45" s="466">
        <f>5357</f>
        <v>5357</v>
      </c>
      <c r="E45" s="466"/>
      <c r="F45" s="466">
        <v>6838</v>
      </c>
      <c r="G45" s="466"/>
      <c r="H45" s="466"/>
      <c r="I45" s="467"/>
      <c r="J45" s="467"/>
      <c r="K45" s="1672">
        <f>SUM(C45:J45)</f>
        <v>41208</v>
      </c>
      <c r="L45" s="466">
        <v>36352</v>
      </c>
    </row>
    <row r="46" spans="1:14" x14ac:dyDescent="0.2">
      <c r="A46" s="1504" t="s">
        <v>816</v>
      </c>
      <c r="B46" s="614">
        <v>2230</v>
      </c>
      <c r="C46" s="466"/>
      <c r="D46" s="466"/>
      <c r="E46" s="466">
        <v>13849</v>
      </c>
      <c r="F46" s="466">
        <v>3803</v>
      </c>
      <c r="G46" s="466"/>
      <c r="H46" s="466"/>
      <c r="I46" s="467"/>
      <c r="J46" s="467"/>
      <c r="K46" s="1672">
        <f>SUM(C46:J46)</f>
        <v>17652</v>
      </c>
      <c r="L46" s="466">
        <v>30926</v>
      </c>
    </row>
    <row r="47" spans="1:14" ht="12.75" customHeight="1" thickBot="1" x14ac:dyDescent="0.25">
      <c r="A47" s="1668" t="s">
        <v>561</v>
      </c>
      <c r="B47" s="1669" t="s">
        <v>32</v>
      </c>
      <c r="C47" s="1670">
        <f>SUM(C44:C46)</f>
        <v>103855</v>
      </c>
      <c r="D47" s="1670">
        <f t="shared" ref="D47:K47" si="4">SUM(D44:D46)</f>
        <v>41828</v>
      </c>
      <c r="E47" s="1670">
        <f t="shared" si="4"/>
        <v>59464</v>
      </c>
      <c r="F47" s="1670">
        <f t="shared" si="4"/>
        <v>11579</v>
      </c>
      <c r="G47" s="1670">
        <f t="shared" si="4"/>
        <v>0</v>
      </c>
      <c r="H47" s="1670">
        <f t="shared" si="4"/>
        <v>0</v>
      </c>
      <c r="I47" s="1670">
        <f t="shared" si="4"/>
        <v>0</v>
      </c>
      <c r="J47" s="1670">
        <f t="shared" si="4"/>
        <v>0</v>
      </c>
      <c r="K47" s="1670">
        <f t="shared" si="4"/>
        <v>216726</v>
      </c>
      <c r="L47" s="1670">
        <f>SUM(L44:L46)</f>
        <v>281674</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f>33528</f>
        <v>33528</v>
      </c>
      <c r="D49" s="481">
        <f>20</f>
        <v>20</v>
      </c>
      <c r="E49" s="481">
        <v>28825</v>
      </c>
      <c r="F49" s="481">
        <v>6126</v>
      </c>
      <c r="G49" s="481"/>
      <c r="H49" s="481">
        <v>4159</v>
      </c>
      <c r="I49" s="467"/>
      <c r="J49" s="467"/>
      <c r="K49" s="1672">
        <f>SUM(C49:J49)</f>
        <v>72658</v>
      </c>
      <c r="L49" s="481">
        <v>199900</v>
      </c>
    </row>
    <row r="50" spans="1:14" x14ac:dyDescent="0.2">
      <c r="A50" s="1504" t="s">
        <v>818</v>
      </c>
      <c r="B50" s="614">
        <v>2320</v>
      </c>
      <c r="C50" s="466">
        <f>124675</f>
        <v>124675</v>
      </c>
      <c r="D50" s="466">
        <f>2972+14757+12726+820</f>
        <v>31275</v>
      </c>
      <c r="E50" s="466">
        <v>3881</v>
      </c>
      <c r="F50" s="466">
        <v>2334</v>
      </c>
      <c r="G50" s="466"/>
      <c r="H50" s="466">
        <v>1400</v>
      </c>
      <c r="I50" s="467"/>
      <c r="J50" s="467"/>
      <c r="K50" s="1672">
        <f>SUM(C50:J50)</f>
        <v>163565</v>
      </c>
      <c r="L50" s="466">
        <v>159177</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158203</v>
      </c>
      <c r="D53" s="1670">
        <f t="shared" ref="D53:L53" si="5">SUM(D49:D52)</f>
        <v>31295</v>
      </c>
      <c r="E53" s="1670">
        <f t="shared" si="5"/>
        <v>32706</v>
      </c>
      <c r="F53" s="1670">
        <f t="shared" si="5"/>
        <v>8460</v>
      </c>
      <c r="G53" s="1670">
        <f t="shared" si="5"/>
        <v>0</v>
      </c>
      <c r="H53" s="1670">
        <f t="shared" si="5"/>
        <v>5559</v>
      </c>
      <c r="I53" s="1670">
        <f t="shared" si="5"/>
        <v>0</v>
      </c>
      <c r="J53" s="1670">
        <f t="shared" si="5"/>
        <v>0</v>
      </c>
      <c r="K53" s="1670">
        <f t="shared" si="5"/>
        <v>236223</v>
      </c>
      <c r="L53" s="1670">
        <f t="shared" si="5"/>
        <v>359077</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f>432477</f>
        <v>432477</v>
      </c>
      <c r="D55" s="481">
        <f>32305-1343-6856-6241</f>
        <v>17865</v>
      </c>
      <c r="E55" s="481">
        <v>1298</v>
      </c>
      <c r="F55" s="481">
        <v>1936</v>
      </c>
      <c r="G55" s="481"/>
      <c r="H55" s="481">
        <v>1425</v>
      </c>
      <c r="I55" s="467"/>
      <c r="J55" s="467"/>
      <c r="K55" s="1672">
        <f>SUM(C55:J55)</f>
        <v>455001</v>
      </c>
      <c r="L55" s="481">
        <v>467472</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432477</v>
      </c>
      <c r="D57" s="1674">
        <f t="shared" ref="D57:K57" si="6">SUM(D55:D56)</f>
        <v>17865</v>
      </c>
      <c r="E57" s="1674">
        <f t="shared" si="6"/>
        <v>1298</v>
      </c>
      <c r="F57" s="1674">
        <f t="shared" si="6"/>
        <v>1936</v>
      </c>
      <c r="G57" s="1674">
        <f t="shared" si="6"/>
        <v>0</v>
      </c>
      <c r="H57" s="1674">
        <f t="shared" si="6"/>
        <v>1425</v>
      </c>
      <c r="I57" s="1674">
        <f t="shared" si="6"/>
        <v>0</v>
      </c>
      <c r="J57" s="1674">
        <f t="shared" si="6"/>
        <v>0</v>
      </c>
      <c r="K57" s="1674">
        <f t="shared" si="6"/>
        <v>455001</v>
      </c>
      <c r="L57" s="1670">
        <f>SUM(L55:L56)</f>
        <v>467472</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51058</v>
      </c>
      <c r="D60" s="466">
        <f>5623</f>
        <v>5623</v>
      </c>
      <c r="E60" s="466">
        <v>5578</v>
      </c>
      <c r="F60" s="466">
        <v>1106</v>
      </c>
      <c r="G60" s="466"/>
      <c r="H60" s="466"/>
      <c r="I60" s="467"/>
      <c r="J60" s="467"/>
      <c r="K60" s="1672">
        <f t="shared" si="7"/>
        <v>63365</v>
      </c>
      <c r="L60" s="466">
        <v>64370</v>
      </c>
      <c r="M60" s="609"/>
      <c r="N60" s="609"/>
    </row>
    <row r="61" spans="1:14" s="343" customFormat="1" x14ac:dyDescent="0.2">
      <c r="A61" s="1504" t="s">
        <v>197</v>
      </c>
      <c r="B61" s="614">
        <v>2540</v>
      </c>
      <c r="C61" s="466">
        <f>317585-22683-52874</f>
        <v>242028</v>
      </c>
      <c r="D61" s="466">
        <f>37855</f>
        <v>37855</v>
      </c>
      <c r="E61" s="466">
        <f>11183</f>
        <v>11183</v>
      </c>
      <c r="F61" s="466"/>
      <c r="G61" s="466"/>
      <c r="H61" s="466"/>
      <c r="I61" s="467"/>
      <c r="J61" s="467"/>
      <c r="K61" s="1672">
        <f t="shared" si="7"/>
        <v>291066</v>
      </c>
      <c r="L61" s="466">
        <v>312175</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f>172413</f>
        <v>172413</v>
      </c>
      <c r="D63" s="466">
        <f>31660</f>
        <v>31660</v>
      </c>
      <c r="E63" s="466">
        <v>5147</v>
      </c>
      <c r="F63" s="466">
        <v>261717</v>
      </c>
      <c r="G63" s="466">
        <v>6742</v>
      </c>
      <c r="H63" s="466"/>
      <c r="I63" s="467"/>
      <c r="J63" s="467"/>
      <c r="K63" s="1672">
        <f t="shared" si="7"/>
        <v>477679</v>
      </c>
      <c r="L63" s="466">
        <v>504150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465499</v>
      </c>
      <c r="D65" s="1670">
        <f t="shared" ref="D65:L65" si="8">SUM(D59:D64)</f>
        <v>75138</v>
      </c>
      <c r="E65" s="1670">
        <f t="shared" si="8"/>
        <v>21908</v>
      </c>
      <c r="F65" s="1670">
        <f t="shared" si="8"/>
        <v>262823</v>
      </c>
      <c r="G65" s="1670">
        <f t="shared" si="8"/>
        <v>6742</v>
      </c>
      <c r="H65" s="1670">
        <f t="shared" si="8"/>
        <v>0</v>
      </c>
      <c r="I65" s="1670">
        <f t="shared" si="8"/>
        <v>0</v>
      </c>
      <c r="J65" s="1670">
        <f t="shared" si="8"/>
        <v>0</v>
      </c>
      <c r="K65" s="1670">
        <f t="shared" si="8"/>
        <v>832110</v>
      </c>
      <c r="L65" s="1670">
        <f t="shared" si="8"/>
        <v>880695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v>2000</v>
      </c>
      <c r="D73" s="573"/>
      <c r="E73" s="573"/>
      <c r="F73" s="573"/>
      <c r="G73" s="573"/>
      <c r="H73" s="573"/>
      <c r="I73" s="531"/>
      <c r="J73" s="531"/>
      <c r="K73" s="1670">
        <f>SUM(C73:J73)</f>
        <v>2000</v>
      </c>
      <c r="L73" s="576">
        <v>29606</v>
      </c>
      <c r="M73" s="609"/>
      <c r="N73" s="609"/>
    </row>
    <row r="74" spans="1:14" ht="12.75" customHeight="1" thickTop="1" thickBot="1" x14ac:dyDescent="0.25">
      <c r="A74" s="1668" t="s">
        <v>811</v>
      </c>
      <c r="B74" s="1676">
        <v>2000</v>
      </c>
      <c r="C74" s="1677">
        <f>SUM(C42,C47,C53,C57,C65,C72,C73)</f>
        <v>1483197</v>
      </c>
      <c r="D74" s="1677">
        <f t="shared" ref="D74:K74" si="10">SUM(D42,D47,D53,D57,D65,D72,D73)</f>
        <v>190582</v>
      </c>
      <c r="E74" s="1677">
        <f t="shared" si="10"/>
        <v>205202</v>
      </c>
      <c r="F74" s="1677">
        <f t="shared" si="10"/>
        <v>385963</v>
      </c>
      <c r="G74" s="1677">
        <f t="shared" si="10"/>
        <v>189046</v>
      </c>
      <c r="H74" s="1677">
        <f t="shared" si="10"/>
        <v>6984</v>
      </c>
      <c r="I74" s="1677">
        <f t="shared" si="10"/>
        <v>0</v>
      </c>
      <c r="J74" s="1677">
        <f t="shared" si="10"/>
        <v>0</v>
      </c>
      <c r="K74" s="1677">
        <f t="shared" si="10"/>
        <v>2460974</v>
      </c>
      <c r="L74" s="1677">
        <f>SUM(L42,L47,L53,L57,L65,L72,L73)</f>
        <v>2762284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4016</v>
      </c>
      <c r="F78" s="616"/>
      <c r="G78" s="616"/>
      <c r="H78" s="634"/>
      <c r="I78" s="477"/>
      <c r="J78" s="477"/>
      <c r="K78" s="1671">
        <f t="shared" ref="K78:K83" si="11">SUM(C78:J78)</f>
        <v>4016</v>
      </c>
      <c r="L78" s="481">
        <v>12000</v>
      </c>
    </row>
    <row r="79" spans="1:14" x14ac:dyDescent="0.2">
      <c r="A79" s="1504" t="s">
        <v>304</v>
      </c>
      <c r="B79" s="614">
        <v>4120</v>
      </c>
      <c r="C79" s="616"/>
      <c r="D79" s="616"/>
      <c r="E79" s="466">
        <v>699602</v>
      </c>
      <c r="F79" s="616"/>
      <c r="G79" s="616"/>
      <c r="H79" s="466"/>
      <c r="I79" s="477"/>
      <c r="J79" s="477"/>
      <c r="K79" s="1671">
        <f t="shared" si="11"/>
        <v>699602</v>
      </c>
      <c r="L79" s="466">
        <v>699602</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4528</v>
      </c>
      <c r="I81" s="477"/>
      <c r="J81" s="477"/>
      <c r="K81" s="1671">
        <f t="shared" si="11"/>
        <v>4528</v>
      </c>
      <c r="L81" s="466">
        <v>20000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703618</v>
      </c>
      <c r="F84" s="616"/>
      <c r="G84" s="616"/>
      <c r="H84" s="1670">
        <f>SUM(H78:H83)</f>
        <v>4528</v>
      </c>
      <c r="I84" s="477"/>
      <c r="J84" s="477"/>
      <c r="K84" s="1670">
        <f>SUM(K78:K83)</f>
        <v>708146</v>
      </c>
      <c r="L84" s="1670">
        <f>SUM(L78:L83)</f>
        <v>731602</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703618</v>
      </c>
      <c r="F102" s="616"/>
      <c r="G102" s="616"/>
      <c r="H102" s="1677">
        <f>SUM(H84,H92,H100,H101)</f>
        <v>4528</v>
      </c>
      <c r="I102" s="477"/>
      <c r="J102" s="477"/>
      <c r="K102" s="1677">
        <f>SUM(K84,K92,K100,K101)</f>
        <v>708146</v>
      </c>
      <c r="L102" s="1677">
        <f>SUM(L84,L92,L100,L101)</f>
        <v>731602</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165000</v>
      </c>
      <c r="M113" s="613"/>
      <c r="N113" s="613"/>
    </row>
    <row r="114" spans="1:14" ht="12.75" customHeight="1" thickTop="1" thickBot="1" x14ac:dyDescent="0.25">
      <c r="A114" s="1668" t="s">
        <v>48</v>
      </c>
      <c r="B114" s="1682"/>
      <c r="C114" s="1670">
        <f>SUM(C33,C74,C75,C102,C112,C113)</f>
        <v>5131940</v>
      </c>
      <c r="D114" s="1670">
        <f t="shared" ref="D114:K114" si="13">SUM(D33,D74,D75,D102,D112,D113)</f>
        <v>623573</v>
      </c>
      <c r="E114" s="1670">
        <f t="shared" si="13"/>
        <v>1003204</v>
      </c>
      <c r="F114" s="1670">
        <f t="shared" si="13"/>
        <v>602481</v>
      </c>
      <c r="G114" s="1670">
        <f t="shared" si="13"/>
        <v>191481</v>
      </c>
      <c r="H114" s="1670">
        <f>SUM(H33,H74,H75,H102,H112,H113)</f>
        <v>11512</v>
      </c>
      <c r="I114" s="1670">
        <f t="shared" si="13"/>
        <v>0</v>
      </c>
      <c r="J114" s="1670">
        <f t="shared" si="13"/>
        <v>0</v>
      </c>
      <c r="K114" s="1670">
        <f t="shared" si="13"/>
        <v>7564191</v>
      </c>
      <c r="L114" s="1670">
        <f>SUM(L33,L74,L75,L102,L112,L113)</f>
        <v>8282634</v>
      </c>
    </row>
    <row r="115" spans="1:14" ht="13.5" thickTop="1" x14ac:dyDescent="0.2">
      <c r="A115" s="2186" t="s">
        <v>996</v>
      </c>
      <c r="B115" s="2187"/>
      <c r="C115" s="618"/>
      <c r="D115" s="618"/>
      <c r="E115" s="618"/>
      <c r="F115" s="618"/>
      <c r="G115" s="618"/>
      <c r="H115" s="618"/>
      <c r="I115" s="618"/>
      <c r="J115" s="618"/>
      <c r="K115" s="1684">
        <f>'Revenues 9-14'!C268-'Expenditures 15-22'!K114</f>
        <v>-788708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4" t="s">
        <v>296</v>
      </c>
      <c r="B117" s="2165"/>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f>22683+52874</f>
        <v>75557</v>
      </c>
      <c r="D124" s="466">
        <f>7521</f>
        <v>7521</v>
      </c>
      <c r="E124" s="466">
        <f>287516-11183</f>
        <v>276333</v>
      </c>
      <c r="F124" s="466">
        <v>71635</v>
      </c>
      <c r="G124" s="466">
        <v>20804</v>
      </c>
      <c r="H124" s="466"/>
      <c r="I124" s="467"/>
      <c r="J124" s="467"/>
      <c r="K124" s="1670">
        <f>SUM(C124:J124)</f>
        <v>451850</v>
      </c>
      <c r="L124" s="466">
        <v>870660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75557</v>
      </c>
      <c r="D127" s="1670">
        <f t="shared" ref="D127:L127" si="14">SUM(D122:D126)</f>
        <v>7521</v>
      </c>
      <c r="E127" s="1670">
        <f t="shared" si="14"/>
        <v>276333</v>
      </c>
      <c r="F127" s="1670">
        <f t="shared" si="14"/>
        <v>71635</v>
      </c>
      <c r="G127" s="1670">
        <f t="shared" si="14"/>
        <v>20804</v>
      </c>
      <c r="H127" s="1670">
        <f t="shared" si="14"/>
        <v>0</v>
      </c>
      <c r="I127" s="1670">
        <f t="shared" si="14"/>
        <v>0</v>
      </c>
      <c r="J127" s="1670">
        <f t="shared" si="14"/>
        <v>0</v>
      </c>
      <c r="K127" s="1670">
        <f t="shared" si="14"/>
        <v>451850</v>
      </c>
      <c r="L127" s="1670">
        <f t="shared" si="14"/>
        <v>870660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75557</v>
      </c>
      <c r="D129" s="1677">
        <f t="shared" ref="D129:L129" si="15">SUM(D120,D127,D128)</f>
        <v>7521</v>
      </c>
      <c r="E129" s="1677">
        <f t="shared" si="15"/>
        <v>276333</v>
      </c>
      <c r="F129" s="1677">
        <f t="shared" si="15"/>
        <v>71635</v>
      </c>
      <c r="G129" s="1677">
        <f t="shared" si="15"/>
        <v>20804</v>
      </c>
      <c r="H129" s="1677">
        <f t="shared" si="15"/>
        <v>0</v>
      </c>
      <c r="I129" s="1677">
        <f t="shared" si="15"/>
        <v>0</v>
      </c>
      <c r="J129" s="1677">
        <f t="shared" si="15"/>
        <v>0</v>
      </c>
      <c r="K129" s="1677">
        <f t="shared" si="15"/>
        <v>451850</v>
      </c>
      <c r="L129" s="1677">
        <f t="shared" si="15"/>
        <v>870660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6" t="s">
        <v>620</v>
      </c>
      <c r="B151" s="2158"/>
      <c r="C151" s="1670">
        <f>SUM(C129,C130,C139,C149,C150)</f>
        <v>75557</v>
      </c>
      <c r="D151" s="1670">
        <f t="shared" ref="D151:K151" si="16">SUM(D129,D130,D139,D149,D150)</f>
        <v>7521</v>
      </c>
      <c r="E151" s="1670">
        <f t="shared" si="16"/>
        <v>276333</v>
      </c>
      <c r="F151" s="1670">
        <f t="shared" si="16"/>
        <v>71635</v>
      </c>
      <c r="G151" s="1670">
        <f t="shared" si="16"/>
        <v>20804</v>
      </c>
      <c r="H151" s="1670">
        <f t="shared" si="16"/>
        <v>0</v>
      </c>
      <c r="I151" s="1670">
        <f t="shared" si="16"/>
        <v>0</v>
      </c>
      <c r="J151" s="1670">
        <f t="shared" si="16"/>
        <v>0</v>
      </c>
      <c r="K151" s="1670">
        <f t="shared" si="16"/>
        <v>451850</v>
      </c>
      <c r="L151" s="1670">
        <f>SUM(L129,L130,L139,L149,L150)</f>
        <v>870660</v>
      </c>
    </row>
    <row r="152" spans="1:14" ht="12.75" customHeight="1" thickTop="1" x14ac:dyDescent="0.2">
      <c r="A152" s="2179" t="s">
        <v>1178</v>
      </c>
      <c r="B152" s="2180"/>
      <c r="C152" s="618"/>
      <c r="D152" s="618"/>
      <c r="E152" s="618"/>
      <c r="F152" s="618"/>
      <c r="G152" s="618"/>
      <c r="H152" s="618"/>
      <c r="I152" s="618"/>
      <c r="J152" s="616"/>
      <c r="K152" s="1684">
        <f>'Revenues 9-14'!D268-'Expenditures 15-22'!K151</f>
        <v>-59148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4" t="s">
        <v>621</v>
      </c>
      <c r="B154" s="2166"/>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178000</v>
      </c>
      <c r="I169" s="616"/>
      <c r="J169" s="616"/>
      <c r="K169" s="1671">
        <f>SUM(C169:H169)</f>
        <v>178000</v>
      </c>
      <c r="L169" s="656">
        <v>178000</v>
      </c>
    </row>
    <row r="170" spans="1:14" ht="33.75" customHeight="1" x14ac:dyDescent="0.2">
      <c r="A170" s="669" t="s">
        <v>1670</v>
      </c>
      <c r="B170" s="671" t="s">
        <v>31</v>
      </c>
      <c r="C170" s="616"/>
      <c r="D170" s="616"/>
      <c r="E170" s="616"/>
      <c r="F170" s="616"/>
      <c r="G170" s="616"/>
      <c r="H170" s="569">
        <v>495739</v>
      </c>
      <c r="I170" s="616"/>
      <c r="J170" s="616"/>
      <c r="K170" s="1671">
        <f>SUM(C170:J170)</f>
        <v>495739</v>
      </c>
      <c r="L170" s="569">
        <v>495739</v>
      </c>
    </row>
    <row r="171" spans="1:14" ht="15.75" customHeight="1" x14ac:dyDescent="0.2">
      <c r="A171" s="621" t="s">
        <v>766</v>
      </c>
      <c r="B171" s="672" t="s">
        <v>84</v>
      </c>
      <c r="C171" s="616"/>
      <c r="D171" s="616"/>
      <c r="E171" s="466">
        <v>30500</v>
      </c>
      <c r="F171" s="616"/>
      <c r="G171" s="616"/>
      <c r="H171" s="569"/>
      <c r="I171" s="477"/>
      <c r="J171" s="616"/>
      <c r="K171" s="1671">
        <f>SUM(C171:J171)</f>
        <v>30500</v>
      </c>
      <c r="L171" s="569">
        <v>31500</v>
      </c>
    </row>
    <row r="172" spans="1:14" ht="12.75" customHeight="1" thickBot="1" x14ac:dyDescent="0.25">
      <c r="A172" s="1668" t="s">
        <v>638</v>
      </c>
      <c r="B172" s="1669" t="s">
        <v>492</v>
      </c>
      <c r="C172" s="616"/>
      <c r="D172" s="616"/>
      <c r="E172" s="1677">
        <f>SUM(E168,E169,E170,E171)</f>
        <v>30500</v>
      </c>
      <c r="F172" s="616"/>
      <c r="G172" s="616"/>
      <c r="H172" s="1677">
        <f>SUM(H168,H169,H170,H171)</f>
        <v>673739</v>
      </c>
      <c r="I172" s="638"/>
      <c r="J172" s="616"/>
      <c r="K172" s="1677">
        <f>SUM(K168,K169,K170,K171)</f>
        <v>704239</v>
      </c>
      <c r="L172" s="1677">
        <f>SUM(L168,L169,L170,L171)</f>
        <v>705239</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30500</v>
      </c>
      <c r="F174" s="616"/>
      <c r="G174" s="616"/>
      <c r="H174" s="1677">
        <f>SUM(H160,H172,H173)</f>
        <v>673739</v>
      </c>
      <c r="I174" s="638"/>
      <c r="J174" s="616"/>
      <c r="K174" s="1677">
        <f>SUM(K160,K172,K173)</f>
        <v>704239</v>
      </c>
      <c r="L174" s="1677">
        <f>SUM(L160,L172,L173)</f>
        <v>705239</v>
      </c>
    </row>
    <row r="175" spans="1:14" ht="13.5" thickTop="1" x14ac:dyDescent="0.2">
      <c r="A175" s="2186" t="s">
        <v>996</v>
      </c>
      <c r="B175" s="2187"/>
      <c r="C175" s="616"/>
      <c r="D175" s="616"/>
      <c r="E175" s="616"/>
      <c r="F175" s="616"/>
      <c r="G175" s="616"/>
      <c r="H175" s="618"/>
      <c r="I175" s="616"/>
      <c r="J175" s="616"/>
      <c r="K175" s="1684">
        <f>'Revenues 9-14'!E268-'Expenditures 15-22'!K174</f>
        <v>-523333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241200</v>
      </c>
      <c r="D182" s="466">
        <f>15988+588+862</f>
        <v>17438</v>
      </c>
      <c r="E182" s="466">
        <f>45834+112350</f>
        <v>158184</v>
      </c>
      <c r="F182" s="466">
        <v>61006</v>
      </c>
      <c r="G182" s="466">
        <v>5839</v>
      </c>
      <c r="H182" s="466"/>
      <c r="I182" s="467"/>
      <c r="J182" s="467"/>
      <c r="K182" s="1671">
        <f>SUM(C182:J182)</f>
        <v>483667</v>
      </c>
      <c r="L182" s="466">
        <v>607195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241200</v>
      </c>
      <c r="D184" s="1677">
        <f t="shared" ref="D184:J184" si="17">SUM(D180,D182,D183)</f>
        <v>17438</v>
      </c>
      <c r="E184" s="1677">
        <f t="shared" si="17"/>
        <v>158184</v>
      </c>
      <c r="F184" s="1677">
        <f t="shared" si="17"/>
        <v>61006</v>
      </c>
      <c r="G184" s="1677">
        <f t="shared" si="17"/>
        <v>5839</v>
      </c>
      <c r="H184" s="1677">
        <f t="shared" si="17"/>
        <v>0</v>
      </c>
      <c r="I184" s="1677">
        <f t="shared" si="17"/>
        <v>0</v>
      </c>
      <c r="J184" s="1677">
        <f t="shared" si="17"/>
        <v>0</v>
      </c>
      <c r="K184" s="1677">
        <f>SUM(K180,K182,K183)</f>
        <v>483667</v>
      </c>
      <c r="L184" s="1677">
        <f>SUM(L180, L182:L183)</f>
        <v>607195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241200</v>
      </c>
      <c r="D210" s="1670">
        <f>SUM(D184,D185)</f>
        <v>17438</v>
      </c>
      <c r="E210" s="1670">
        <f>SUM(E184,E185,E196)</f>
        <v>158184</v>
      </c>
      <c r="F210" s="1670">
        <f>SUM(F184,F185)</f>
        <v>61006</v>
      </c>
      <c r="G210" s="1670">
        <f>SUM(G184,G185)</f>
        <v>5839</v>
      </c>
      <c r="H210" s="1670">
        <f>SUM(H184,H185,H196,H208,H209)</f>
        <v>0</v>
      </c>
      <c r="I210" s="1670">
        <f>SUM(I184,I185)</f>
        <v>0</v>
      </c>
      <c r="J210" s="1670">
        <f>SUM(J184,J185)</f>
        <v>0</v>
      </c>
      <c r="K210" s="1671">
        <f>SUM(K184,K185,K196,K208,K209)</f>
        <v>483667</v>
      </c>
      <c r="L210" s="1670">
        <f>SUM(L184,L185,L196,L208,L209)</f>
        <v>607195</v>
      </c>
    </row>
    <row r="211" spans="1:14" ht="13.5" thickTop="1" x14ac:dyDescent="0.2">
      <c r="A211" s="2186" t="s">
        <v>996</v>
      </c>
      <c r="B211" s="2187"/>
      <c r="C211" s="618"/>
      <c r="D211" s="618"/>
      <c r="E211" s="618"/>
      <c r="F211" s="618"/>
      <c r="G211" s="618"/>
      <c r="H211" s="618"/>
      <c r="I211" s="616"/>
      <c r="J211" s="616"/>
      <c r="K211" s="1684">
        <f>'Revenues 9-14'!F268-'Expenditures 15-22'!K210</f>
        <v>7930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1" t="s">
        <v>965</v>
      </c>
      <c r="B213" s="2182"/>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36785</v>
      </c>
      <c r="E215" s="616"/>
      <c r="F215" s="616"/>
      <c r="G215" s="616"/>
      <c r="H215" s="616"/>
      <c r="I215" s="616"/>
      <c r="J215" s="616"/>
      <c r="K215" s="1671">
        <f>D215</f>
        <v>36785</v>
      </c>
      <c r="L215" s="466">
        <v>37550</v>
      </c>
    </row>
    <row r="216" spans="1:14" x14ac:dyDescent="0.2">
      <c r="A216" s="1504" t="s">
        <v>163</v>
      </c>
      <c r="B216" s="614" t="s">
        <v>967</v>
      </c>
      <c r="C216" s="616"/>
      <c r="D216" s="467">
        <f>532+2821+2613</f>
        <v>5966</v>
      </c>
      <c r="E216" s="616"/>
      <c r="F216" s="616"/>
      <c r="G216" s="616"/>
      <c r="H216" s="616"/>
      <c r="I216" s="616"/>
      <c r="J216" s="616"/>
      <c r="K216" s="1671">
        <f t="shared" ref="K216:K228" si="19">D216</f>
        <v>5966</v>
      </c>
      <c r="L216" s="466">
        <v>6755</v>
      </c>
    </row>
    <row r="217" spans="1:14" x14ac:dyDescent="0.2">
      <c r="A217" s="1504" t="s">
        <v>164</v>
      </c>
      <c r="B217" s="614">
        <v>1200</v>
      </c>
      <c r="C217" s="616"/>
      <c r="D217" s="466">
        <f>1547+7214+6053</f>
        <v>14814</v>
      </c>
      <c r="E217" s="616"/>
      <c r="F217" s="616"/>
      <c r="G217" s="616"/>
      <c r="H217" s="616"/>
      <c r="I217" s="616"/>
      <c r="J217" s="616"/>
      <c r="K217" s="1671">
        <f t="shared" si="19"/>
        <v>14814</v>
      </c>
      <c r="L217" s="466">
        <v>16110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f>-1437-263</f>
        <v>-1700</v>
      </c>
      <c r="E219" s="616"/>
      <c r="F219" s="616"/>
      <c r="G219" s="616"/>
      <c r="H219" s="616"/>
      <c r="I219" s="616"/>
      <c r="J219" s="616"/>
      <c r="K219" s="1671">
        <f t="shared" si="19"/>
        <v>-1700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v>2255</v>
      </c>
      <c r="E222" s="616"/>
      <c r="F222" s="616"/>
      <c r="G222" s="616"/>
      <c r="H222" s="616"/>
      <c r="I222" s="616"/>
      <c r="J222" s="616"/>
      <c r="K222" s="1671">
        <f t="shared" si="19"/>
        <v>2255</v>
      </c>
      <c r="L222" s="466">
        <v>2275</v>
      </c>
    </row>
    <row r="223" spans="1:14" x14ac:dyDescent="0.2">
      <c r="A223" s="1504" t="s">
        <v>963</v>
      </c>
      <c r="B223" s="614">
        <v>1500</v>
      </c>
      <c r="C223" s="616"/>
      <c r="D223" s="466">
        <v>5522</v>
      </c>
      <c r="E223" s="616"/>
      <c r="F223" s="616"/>
      <c r="G223" s="616"/>
      <c r="H223" s="616"/>
      <c r="I223" s="616"/>
      <c r="J223" s="616"/>
      <c r="K223" s="1671">
        <f t="shared" si="19"/>
        <v>5522</v>
      </c>
      <c r="L223" s="466">
        <v>6595</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294</v>
      </c>
      <c r="E226" s="616"/>
      <c r="F226" s="616"/>
      <c r="G226" s="616"/>
      <c r="H226" s="616"/>
      <c r="I226" s="616"/>
      <c r="J226" s="616"/>
      <c r="K226" s="1671">
        <f t="shared" si="19"/>
        <v>294</v>
      </c>
      <c r="L226" s="466">
        <v>305</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63936</v>
      </c>
      <c r="E229" s="616"/>
      <c r="F229" s="616"/>
      <c r="G229" s="616"/>
      <c r="H229" s="616"/>
      <c r="I229" s="616"/>
      <c r="J229" s="616"/>
      <c r="K229" s="1670">
        <f>SUM(K215:K228)</f>
        <v>63936</v>
      </c>
      <c r="L229" s="1670">
        <f>SUM(L215:L228)</f>
        <v>69590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f>398+1903+445</f>
        <v>2746</v>
      </c>
      <c r="E232" s="616"/>
      <c r="F232" s="616"/>
      <c r="G232" s="616"/>
      <c r="H232" s="616"/>
      <c r="I232" s="616"/>
      <c r="J232" s="616"/>
      <c r="K232" s="1671">
        <f t="shared" ref="K232:K237" si="20">D232</f>
        <v>2746</v>
      </c>
      <c r="L232" s="466">
        <v>2800</v>
      </c>
    </row>
    <row r="233" spans="1:12" x14ac:dyDescent="0.2">
      <c r="A233" s="1504" t="s">
        <v>1090</v>
      </c>
      <c r="B233" s="614">
        <v>2120</v>
      </c>
      <c r="C233" s="616"/>
      <c r="D233" s="466">
        <f>1784</f>
        <v>1784</v>
      </c>
      <c r="E233" s="616"/>
      <c r="F233" s="616"/>
      <c r="G233" s="616"/>
      <c r="H233" s="616"/>
      <c r="I233" s="616"/>
      <c r="J233" s="616"/>
      <c r="K233" s="1671">
        <f t="shared" si="20"/>
        <v>1784</v>
      </c>
      <c r="L233" s="466">
        <v>1810</v>
      </c>
    </row>
    <row r="234" spans="1:12" x14ac:dyDescent="0.2">
      <c r="A234" s="1504" t="s">
        <v>198</v>
      </c>
      <c r="B234" s="614">
        <v>2130</v>
      </c>
      <c r="C234" s="616"/>
      <c r="D234" s="466">
        <f>343+1641+384</f>
        <v>2368</v>
      </c>
      <c r="E234" s="616"/>
      <c r="F234" s="616"/>
      <c r="G234" s="616"/>
      <c r="H234" s="616"/>
      <c r="I234" s="616"/>
      <c r="J234" s="616"/>
      <c r="K234" s="1671">
        <f t="shared" si="20"/>
        <v>2368</v>
      </c>
      <c r="L234" s="466">
        <v>2400</v>
      </c>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f>1715+8235+1926</f>
        <v>11876</v>
      </c>
      <c r="E237" s="616"/>
      <c r="F237" s="616"/>
      <c r="G237" s="616"/>
      <c r="H237" s="616"/>
      <c r="I237" s="616"/>
      <c r="J237" s="616"/>
      <c r="K237" s="1671">
        <f t="shared" si="20"/>
        <v>11876</v>
      </c>
      <c r="L237" s="466">
        <v>14750</v>
      </c>
    </row>
    <row r="238" spans="1:12" ht="12.75" customHeight="1" thickBot="1" x14ac:dyDescent="0.25">
      <c r="A238" s="1668" t="s">
        <v>560</v>
      </c>
      <c r="B238" s="1675" t="s">
        <v>716</v>
      </c>
      <c r="C238" s="616"/>
      <c r="D238" s="1670">
        <f>SUM(D232:D237)</f>
        <v>18774</v>
      </c>
      <c r="E238" s="616"/>
      <c r="F238" s="616"/>
      <c r="G238" s="616"/>
      <c r="H238" s="616"/>
      <c r="I238" s="616"/>
      <c r="J238" s="616"/>
      <c r="K238" s="1670">
        <f>SUM(K232:K237)</f>
        <v>18774</v>
      </c>
      <c r="L238" s="1670">
        <f>SUM(L232:L237)</f>
        <v>21760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f>1071-90</f>
        <v>981</v>
      </c>
      <c r="E240" s="616"/>
      <c r="F240" s="616"/>
      <c r="G240" s="616"/>
      <c r="H240" s="616"/>
      <c r="I240" s="616"/>
      <c r="J240" s="616"/>
      <c r="K240" s="1672">
        <f>D240</f>
        <v>981</v>
      </c>
      <c r="L240" s="481">
        <v>1250</v>
      </c>
    </row>
    <row r="241" spans="1:12" x14ac:dyDescent="0.2">
      <c r="A241" s="1504" t="s">
        <v>815</v>
      </c>
      <c r="B241" s="614">
        <v>2220</v>
      </c>
      <c r="C241" s="616"/>
      <c r="D241" s="466">
        <f>357+1777+416</f>
        <v>2550</v>
      </c>
      <c r="E241" s="616"/>
      <c r="F241" s="616"/>
      <c r="G241" s="616"/>
      <c r="H241" s="616"/>
      <c r="I241" s="616"/>
      <c r="J241" s="616"/>
      <c r="K241" s="1672">
        <f>D241</f>
        <v>2550</v>
      </c>
      <c r="L241" s="466">
        <v>2690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3531</v>
      </c>
      <c r="E243" s="616"/>
      <c r="F243" s="616"/>
      <c r="G243" s="616"/>
      <c r="H243" s="616"/>
      <c r="I243" s="616"/>
      <c r="J243" s="616"/>
      <c r="K243" s="1670">
        <f>SUM(K240:K242)</f>
        <v>3531</v>
      </c>
      <c r="L243" s="1670">
        <f>SUM(L240:L242)</f>
        <v>3940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f>441+2054+480</f>
        <v>2975</v>
      </c>
      <c r="E245" s="616"/>
      <c r="F245" s="616"/>
      <c r="G245" s="616"/>
      <c r="H245" s="616"/>
      <c r="I245" s="616"/>
      <c r="J245" s="616"/>
      <c r="K245" s="1672">
        <f>D245</f>
        <v>2975</v>
      </c>
      <c r="L245" s="481">
        <v>3200</v>
      </c>
    </row>
    <row r="246" spans="1:12" x14ac:dyDescent="0.2">
      <c r="A246" s="1504" t="s">
        <v>818</v>
      </c>
      <c r="B246" s="614">
        <v>2320</v>
      </c>
      <c r="C246" s="616"/>
      <c r="D246" s="466">
        <v>2028</v>
      </c>
      <c r="E246" s="616"/>
      <c r="F246" s="616"/>
      <c r="G246" s="616"/>
      <c r="H246" s="616"/>
      <c r="I246" s="616"/>
      <c r="J246" s="616"/>
      <c r="K246" s="1672">
        <f t="shared" ref="K246:K256" si="21">D246</f>
        <v>2028</v>
      </c>
      <c r="L246" s="466">
        <v>2100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5003</v>
      </c>
      <c r="E257" s="616"/>
      <c r="F257" s="616"/>
      <c r="G257" s="616"/>
      <c r="H257" s="616"/>
      <c r="I257" s="616"/>
      <c r="J257" s="616"/>
      <c r="K257" s="1670">
        <f>SUM(K245:K256)</f>
        <v>5003</v>
      </c>
      <c r="L257" s="1670">
        <f>SUM(L245:L256)</f>
        <v>5300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f>1343+6856+6241</f>
        <v>14440</v>
      </c>
      <c r="E259" s="616"/>
      <c r="F259" s="616"/>
      <c r="G259" s="616"/>
      <c r="H259" s="616"/>
      <c r="I259" s="616"/>
      <c r="J259" s="616"/>
      <c r="K259" s="1672">
        <f>D259</f>
        <v>14440</v>
      </c>
      <c r="L259" s="481">
        <v>15135</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14440</v>
      </c>
      <c r="E261" s="616"/>
      <c r="F261" s="616"/>
      <c r="G261" s="616"/>
      <c r="H261" s="616"/>
      <c r="I261" s="616"/>
      <c r="J261" s="616"/>
      <c r="K261" s="1670">
        <f>SUM(K259:K260)</f>
        <v>14440</v>
      </c>
      <c r="L261" s="1670">
        <f>SUM(L259:L260)</f>
        <v>15135</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f>659+3125+731</f>
        <v>4515</v>
      </c>
      <c r="E264" s="616"/>
      <c r="F264" s="616"/>
      <c r="G264" s="616"/>
      <c r="H264" s="616"/>
      <c r="I264" s="616"/>
      <c r="J264" s="616"/>
      <c r="K264" s="1672">
        <f t="shared" ref="K264:K269" si="22">D264</f>
        <v>4515</v>
      </c>
      <c r="L264" s="466">
        <v>4525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f>3955+19241+4523</f>
        <v>27719</v>
      </c>
      <c r="E266" s="616"/>
      <c r="F266" s="616"/>
      <c r="G266" s="616"/>
      <c r="H266" s="616"/>
      <c r="I266" s="616"/>
      <c r="J266" s="616"/>
      <c r="K266" s="1672">
        <f t="shared" si="22"/>
        <v>27719</v>
      </c>
      <c r="L266" s="466">
        <v>29225</v>
      </c>
    </row>
    <row r="267" spans="1:14" x14ac:dyDescent="0.2">
      <c r="A267" s="1504" t="s">
        <v>953</v>
      </c>
      <c r="B267" s="614">
        <v>2550</v>
      </c>
      <c r="C267" s="616"/>
      <c r="D267" s="466">
        <f>38135-15988-588-862</f>
        <v>20697</v>
      </c>
      <c r="E267" s="616"/>
      <c r="F267" s="616"/>
      <c r="G267" s="616"/>
      <c r="H267" s="616"/>
      <c r="I267" s="616"/>
      <c r="J267" s="616"/>
      <c r="K267" s="1672">
        <f t="shared" si="22"/>
        <v>20697</v>
      </c>
      <c r="L267" s="466">
        <v>23635</v>
      </c>
    </row>
    <row r="268" spans="1:14" x14ac:dyDescent="0.2">
      <c r="A268" s="1504" t="s">
        <v>100</v>
      </c>
      <c r="B268" s="614">
        <v>2560</v>
      </c>
      <c r="C268" s="616"/>
      <c r="D268" s="466">
        <f>46810-31660</f>
        <v>15150</v>
      </c>
      <c r="E268" s="616"/>
      <c r="F268" s="616"/>
      <c r="G268" s="616"/>
      <c r="H268" s="616"/>
      <c r="I268" s="616"/>
      <c r="J268" s="616"/>
      <c r="K268" s="1672">
        <f t="shared" si="22"/>
        <v>15150</v>
      </c>
      <c r="L268" s="466">
        <v>16850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68081</v>
      </c>
      <c r="E270" s="616"/>
      <c r="F270" s="616"/>
      <c r="G270" s="616"/>
      <c r="H270" s="616"/>
      <c r="I270" s="616"/>
      <c r="J270" s="616"/>
      <c r="K270" s="1670">
        <f>SUM(K263:K269)</f>
        <v>68081</v>
      </c>
      <c r="L270" s="1670">
        <f>SUM(L263:L269)</f>
        <v>74235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v>169</v>
      </c>
      <c r="E278" s="616"/>
      <c r="F278" s="616"/>
      <c r="G278" s="616"/>
      <c r="H278" s="616"/>
      <c r="I278" s="616"/>
      <c r="J278" s="616"/>
      <c r="K278" s="1685">
        <f>D278</f>
        <v>169</v>
      </c>
      <c r="L278" s="656">
        <v>100</v>
      </c>
    </row>
    <row r="279" spans="1:12" ht="12.75" customHeight="1" thickBot="1" x14ac:dyDescent="0.25">
      <c r="A279" s="1698" t="s">
        <v>811</v>
      </c>
      <c r="B279" s="1681">
        <v>2000</v>
      </c>
      <c r="C279" s="616"/>
      <c r="D279" s="1677">
        <f>SUM(D238,D243,D257,D261,D270,D277,D278)</f>
        <v>109998</v>
      </c>
      <c r="E279" s="616"/>
      <c r="F279" s="616"/>
      <c r="G279" s="616"/>
      <c r="H279" s="616"/>
      <c r="I279" s="616"/>
      <c r="J279" s="616"/>
      <c r="K279" s="1677">
        <f>SUM(K238,K243,K257,K261,K270,K277,K278)</f>
        <v>109998</v>
      </c>
      <c r="L279" s="1677">
        <f>SUM(L238,L243,L257,L261,L270,L277,L278)</f>
        <v>120470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7" t="s">
        <v>505</v>
      </c>
      <c r="B295" s="2178"/>
      <c r="C295" s="616"/>
      <c r="D295" s="1670">
        <f>SUM(D229,D279,D280,D285)</f>
        <v>173934</v>
      </c>
      <c r="E295" s="616"/>
      <c r="F295" s="616"/>
      <c r="G295" s="616"/>
      <c r="H295" s="1670">
        <f>H293</f>
        <v>0</v>
      </c>
      <c r="I295" s="616"/>
      <c r="J295" s="616"/>
      <c r="K295" s="1670">
        <f>SUM(K229,K279,K280,K285,K293,K294)</f>
        <v>173934</v>
      </c>
      <c r="L295" s="1670">
        <f>SUM(L229,L279,L280,L285,L293,L294)</f>
        <v>190060</v>
      </c>
    </row>
    <row r="296" spans="1:14" ht="13.5" thickTop="1" x14ac:dyDescent="0.2">
      <c r="A296" s="2186" t="s">
        <v>996</v>
      </c>
      <c r="B296" s="2187"/>
      <c r="C296" s="616"/>
      <c r="D296" s="618"/>
      <c r="E296" s="616"/>
      <c r="F296" s="616"/>
      <c r="G296" s="616"/>
      <c r="H296" s="687"/>
      <c r="I296" s="616"/>
      <c r="J296" s="616"/>
      <c r="K296" s="1684">
        <f>'Revenues 9-14'!G268-'Expenditures 15-22'!K295</f>
        <v>-31962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9" t="s">
        <v>143</v>
      </c>
      <c r="B298" s="2163"/>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331941</v>
      </c>
      <c r="H301" s="466"/>
      <c r="I301" s="467"/>
      <c r="J301" s="467"/>
      <c r="K301" s="1671">
        <f>SUM(C301:J301)</f>
        <v>331941</v>
      </c>
      <c r="L301" s="467">
        <v>440000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331941</v>
      </c>
      <c r="H303" s="1677">
        <f t="shared" si="23"/>
        <v>0</v>
      </c>
      <c r="I303" s="1677">
        <f t="shared" si="23"/>
        <v>0</v>
      </c>
      <c r="J303" s="1677">
        <f t="shared" si="23"/>
        <v>0</v>
      </c>
      <c r="K303" s="1677">
        <f t="shared" si="23"/>
        <v>331941</v>
      </c>
      <c r="L303" s="1677">
        <f t="shared" si="23"/>
        <v>440000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4" t="s">
        <v>277</v>
      </c>
      <c r="B312" s="2175"/>
      <c r="C312" s="1670">
        <f>SUM(C303)</f>
        <v>0</v>
      </c>
      <c r="D312" s="1670">
        <f>SUM(D303)</f>
        <v>0</v>
      </c>
      <c r="E312" s="1670">
        <f>SUM(E303,E310)</f>
        <v>0</v>
      </c>
      <c r="F312" s="1670">
        <f>SUM(F303)</f>
        <v>0</v>
      </c>
      <c r="G312" s="1670">
        <f>SUM(G303)</f>
        <v>331941</v>
      </c>
      <c r="H312" s="1670">
        <f>SUM(H303,H310)</f>
        <v>0</v>
      </c>
      <c r="I312" s="1670">
        <f>SUM(I303)</f>
        <v>0</v>
      </c>
      <c r="J312" s="1670">
        <f>SUM(J303)</f>
        <v>0</v>
      </c>
      <c r="K312" s="1670">
        <f>SUM(K303,K310,K311)</f>
        <v>331941</v>
      </c>
      <c r="L312" s="1670">
        <f>SUM(L303,L310,L311)</f>
        <v>440000</v>
      </c>
      <c r="M312" s="665"/>
      <c r="N312" s="665"/>
    </row>
    <row r="313" spans="1:14" ht="13.5" thickTop="1" x14ac:dyDescent="0.2">
      <c r="A313" s="2170" t="s">
        <v>996</v>
      </c>
      <c r="B313" s="2171"/>
      <c r="C313" s="626"/>
      <c r="D313" s="626"/>
      <c r="E313" s="626"/>
      <c r="F313" s="626"/>
      <c r="G313" s="626"/>
      <c r="H313" s="626"/>
      <c r="I313" s="626"/>
      <c r="J313" s="626"/>
      <c r="K313" s="1685">
        <f>'Revenues 9-14'!H268-'Expenditures 15-22'!K312</f>
        <v>107387</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3" t="s">
        <v>149</v>
      </c>
      <c r="B315" s="2184"/>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5" t="s">
        <v>898</v>
      </c>
      <c r="B317" s="2184"/>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v>45710</v>
      </c>
      <c r="I320" s="467"/>
      <c r="J320" s="467"/>
      <c r="K320" s="1671">
        <f t="shared" ref="K320:K327" si="24">SUM(C320:J320)</f>
        <v>45710</v>
      </c>
      <c r="L320" s="467">
        <v>42138</v>
      </c>
      <c r="M320" s="665"/>
      <c r="N320" s="665"/>
    </row>
    <row r="321" spans="1:14" s="674" customFormat="1" x14ac:dyDescent="0.2">
      <c r="A321" s="1519" t="s">
        <v>300</v>
      </c>
      <c r="B321" s="697" t="s">
        <v>283</v>
      </c>
      <c r="C321" s="467"/>
      <c r="D321" s="467"/>
      <c r="E321" s="467"/>
      <c r="F321" s="467"/>
      <c r="G321" s="467"/>
      <c r="H321" s="467">
        <v>2769</v>
      </c>
      <c r="I321" s="467"/>
      <c r="J321" s="467"/>
      <c r="K321" s="1671">
        <f t="shared" si="24"/>
        <v>2769</v>
      </c>
      <c r="L321" s="467">
        <v>25000</v>
      </c>
      <c r="M321" s="665"/>
      <c r="N321" s="665"/>
    </row>
    <row r="322" spans="1:14" s="674" customFormat="1" x14ac:dyDescent="0.2">
      <c r="A322" s="1519" t="s">
        <v>238</v>
      </c>
      <c r="B322" s="697" t="s">
        <v>284</v>
      </c>
      <c r="C322" s="467"/>
      <c r="D322" s="467"/>
      <c r="E322" s="467">
        <v>76800</v>
      </c>
      <c r="F322" s="467"/>
      <c r="G322" s="467"/>
      <c r="H322" s="467"/>
      <c r="I322" s="467"/>
      <c r="J322" s="467"/>
      <c r="K322" s="1671">
        <f t="shared" si="24"/>
        <v>76800</v>
      </c>
      <c r="L322" s="467">
        <v>74607</v>
      </c>
      <c r="M322" s="665"/>
      <c r="N322" s="665"/>
    </row>
    <row r="323" spans="1:14" s="674" customFormat="1" x14ac:dyDescent="0.2">
      <c r="A323" s="1519" t="s">
        <v>702</v>
      </c>
      <c r="B323" s="697" t="s">
        <v>285</v>
      </c>
      <c r="C323" s="467"/>
      <c r="D323" s="467"/>
      <c r="E323" s="467">
        <v>1519</v>
      </c>
      <c r="F323" s="467"/>
      <c r="G323" s="467"/>
      <c r="H323" s="467"/>
      <c r="I323" s="467"/>
      <c r="J323" s="467"/>
      <c r="K323" s="1671">
        <f t="shared" si="24"/>
        <v>1519</v>
      </c>
      <c r="L323" s="467">
        <v>13850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3571</v>
      </c>
      <c r="F325" s="467"/>
      <c r="G325" s="467"/>
      <c r="H325" s="467"/>
      <c r="I325" s="467"/>
      <c r="J325" s="467"/>
      <c r="K325" s="1671">
        <f t="shared" si="24"/>
        <v>3571</v>
      </c>
      <c r="L325" s="467">
        <v>25000</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31328</v>
      </c>
      <c r="F327" s="467"/>
      <c r="G327" s="467"/>
      <c r="H327" s="467"/>
      <c r="I327" s="467"/>
      <c r="J327" s="467"/>
      <c r="K327" s="1671">
        <f t="shared" si="24"/>
        <v>31328</v>
      </c>
      <c r="L327" s="467">
        <v>100000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113218</v>
      </c>
      <c r="F330" s="1670">
        <f t="shared" si="25"/>
        <v>0</v>
      </c>
      <c r="G330" s="1670">
        <f t="shared" si="25"/>
        <v>0</v>
      </c>
      <c r="H330" s="1670">
        <f t="shared" si="25"/>
        <v>48479</v>
      </c>
      <c r="I330" s="1670">
        <f t="shared" si="25"/>
        <v>0</v>
      </c>
      <c r="J330" s="1670">
        <f t="shared" si="25"/>
        <v>0</v>
      </c>
      <c r="K330" s="1670">
        <f>SUM(K319:K329)</f>
        <v>161697</v>
      </c>
      <c r="L330" s="1670">
        <f>SUM(L319:L329)</f>
        <v>280595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113218</v>
      </c>
      <c r="F342" s="1670">
        <f>SUM(F330)</f>
        <v>0</v>
      </c>
      <c r="G342" s="1670">
        <f>SUM(G330)</f>
        <v>0</v>
      </c>
      <c r="H342" s="1670">
        <f>SUM(H330,H334,H340)</f>
        <v>48479</v>
      </c>
      <c r="I342" s="1670">
        <f>SUM(I330)</f>
        <v>0</v>
      </c>
      <c r="J342" s="1670">
        <f>SUM(J330)</f>
        <v>0</v>
      </c>
      <c r="K342" s="1670">
        <f>SUM(K330,K334,K340)</f>
        <v>161697</v>
      </c>
      <c r="L342" s="1677">
        <f>SUM(L330,L334,L340,L341)</f>
        <v>280595</v>
      </c>
    </row>
    <row r="343" spans="1:14" ht="12.75" customHeight="1" thickTop="1" x14ac:dyDescent="0.2">
      <c r="A343" s="2172" t="s">
        <v>996</v>
      </c>
      <c r="B343" s="2173"/>
      <c r="C343" s="616"/>
      <c r="D343" s="616"/>
      <c r="E343" s="616"/>
      <c r="F343" s="616"/>
      <c r="G343" s="616"/>
      <c r="H343" s="616"/>
      <c r="I343" s="616"/>
      <c r="J343" s="616"/>
      <c r="K343" s="1684">
        <f>'Revenues 9-14'!J268-'Expenditures 15-22'!K342</f>
        <v>-12920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2" t="s">
        <v>966</v>
      </c>
      <c r="B345" s="2163"/>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51458</v>
      </c>
      <c r="H348" s="466"/>
      <c r="I348" s="467"/>
      <c r="J348" s="467"/>
      <c r="K348" s="1671">
        <f>SUM(C348:J348)</f>
        <v>51458</v>
      </c>
      <c r="L348" s="466">
        <v>55000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51458</v>
      </c>
      <c r="H350" s="1670">
        <f t="shared" si="26"/>
        <v>0</v>
      </c>
      <c r="I350" s="1670">
        <f t="shared" si="26"/>
        <v>0</v>
      </c>
      <c r="J350" s="1670">
        <f t="shared" si="26"/>
        <v>0</v>
      </c>
      <c r="K350" s="1670">
        <f t="shared" si="26"/>
        <v>51458</v>
      </c>
      <c r="L350" s="1670">
        <f t="shared" si="26"/>
        <v>55000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51458</v>
      </c>
      <c r="H352" s="1670">
        <f t="shared" si="27"/>
        <v>0</v>
      </c>
      <c r="I352" s="1670">
        <f t="shared" si="27"/>
        <v>0</v>
      </c>
      <c r="J352" s="1670">
        <f t="shared" si="27"/>
        <v>0</v>
      </c>
      <c r="K352" s="1670">
        <f t="shared" si="27"/>
        <v>51458</v>
      </c>
      <c r="L352" s="1670">
        <f t="shared" si="27"/>
        <v>55000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51458</v>
      </c>
      <c r="H367" s="1670">
        <f t="shared" si="28"/>
        <v>0</v>
      </c>
      <c r="I367" s="1670">
        <f t="shared" si="28"/>
        <v>0</v>
      </c>
      <c r="J367" s="1670">
        <f t="shared" si="28"/>
        <v>0</v>
      </c>
      <c r="K367" s="1670">
        <f t="shared" si="28"/>
        <v>51458</v>
      </c>
      <c r="L367" s="1670">
        <f t="shared" si="28"/>
        <v>55000</v>
      </c>
    </row>
    <row r="368" spans="1:14" ht="13.5" thickTop="1" x14ac:dyDescent="0.2">
      <c r="A368" s="2186" t="s">
        <v>996</v>
      </c>
      <c r="B368" s="2187"/>
      <c r="C368" s="654"/>
      <c r="D368" s="654"/>
      <c r="E368" s="626"/>
      <c r="F368" s="626"/>
      <c r="G368" s="626"/>
      <c r="H368" s="626"/>
      <c r="I368" s="626"/>
      <c r="J368" s="623"/>
      <c r="K368" s="1671">
        <f>'Revenues 9-14'!K268-'Expenditures 15-22'!K367</f>
        <v>-16298</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&amp;F&amp;CThe notes to the financial statements are an integral part of this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4d435f69-8686-490b-bd6d-b153bf22ab50"/>
    <ds:schemaRef ds:uri="http://purl.org/dc/dcmitype/"/>
    <ds:schemaRef ds:uri="http://www.w3.org/XML/1998/namespace"/>
    <ds:schemaRef ds:uri="http://purl.org/dc/elements/1.1/"/>
    <ds:schemaRef ds:uri="http://schemas.microsoft.com/office/2006/documentManagement/types"/>
    <ds:schemaRef ds:uri="http://schemas.microsoft.com/office/infopath/2007/PartnerControls"/>
    <ds:schemaRef ds:uri="http://schemas.microsoft.com/office/2006/metadata/properties"/>
    <ds:schemaRef ds:uri="6ce3111e-7420-4802-b50a-75d4e9a0b980"/>
    <ds:schemaRef ds:uri="http://schemas.openxmlformats.org/package/2006/metadata/core-properties"/>
    <ds:schemaRef ds:uri="d21dc803-237d-4c68-8692-8d731fd29118"/>
    <ds:schemaRef ds:uri="http://schemas.microsoft.com/sharepoint/v3"/>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2019-10-09T13:40:30Z</cp:lastPrinted>
  <dcterms:created xsi:type="dcterms:W3CDTF">2003-10-29T19:06:34Z</dcterms:created>
  <dcterms:modified xsi:type="dcterms:W3CDTF">2019-11-25T21:56:22Z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ies>
</file>