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1AB9EC5-1AF8-43F3-B6F1-B8986FD9EB0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4)" sheetId="186" r:id="rId34"/>
    <sheet name="SF&amp;QC Sec-3" sheetId="176"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B4" i="184" l="1"/>
  <c r="B4" i="183"/>
  <c r="E322" i="29"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6"/>
  <c r="B2" i="184"/>
  <c r="B2" i="183"/>
  <c r="B1" i="186"/>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G26" i="108"/>
  <c r="E27" i="108"/>
  <c r="G27" i="108"/>
  <c r="F36" i="108"/>
  <c r="G28" i="108"/>
  <c r="G29" i="108"/>
  <c r="D31" i="108"/>
  <c r="D36" i="108"/>
  <c r="E31" i="108"/>
  <c r="G31" i="108"/>
  <c r="E33"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L22" i="37"/>
  <c r="D24" i="37"/>
  <c r="B4270" i="106" s="1"/>
  <c r="D4270" i="106" s="1"/>
  <c r="L5" i="11"/>
  <c r="B2056" i="106" s="1"/>
  <c r="D2056" i="106" s="1"/>
  <c r="B5752" i="106"/>
  <c r="D5752" i="106" s="1"/>
  <c r="G30" i="108" l="1"/>
  <c r="F34" i="34"/>
  <c r="D27" i="108"/>
  <c r="I129" i="29"/>
  <c r="B7037" i="106" s="1"/>
  <c r="D7037" i="106" s="1"/>
  <c r="H28" i="118"/>
  <c r="J22" i="37"/>
  <c r="F36" i="34"/>
  <c r="G35" i="108"/>
  <c r="F38" i="34"/>
  <c r="E35" i="108"/>
  <c r="F28" i="108"/>
  <c r="D68" i="36"/>
  <c r="E29" i="108"/>
  <c r="D22" i="37"/>
  <c r="F70" i="34"/>
  <c r="K184" i="29"/>
  <c r="F13" i="4" s="1"/>
  <c r="B2596" i="106" s="1"/>
  <c r="D2596" i="106" s="1"/>
  <c r="C129" i="29"/>
  <c r="L13" i="11"/>
  <c r="B2060" i="106" s="1"/>
  <c r="D2060" i="106" s="1"/>
  <c r="J41" i="3"/>
  <c r="B6216" i="106" s="1"/>
  <c r="D6216" i="106" s="1"/>
  <c r="H33" i="118"/>
  <c r="L367" i="29"/>
  <c r="H112" i="29"/>
  <c r="B7018" i="106" s="1"/>
  <c r="D7018" i="106" s="1"/>
  <c r="F77" i="4"/>
  <c r="B3255" i="106" s="1"/>
  <c r="D3255" i="106" s="1"/>
  <c r="G210" i="29"/>
  <c r="K76" i="4"/>
  <c r="B3586" i="106" s="1"/>
  <c r="D3586" i="106" s="1"/>
  <c r="B1868" i="106"/>
  <c r="D1868" i="106" s="1"/>
  <c r="E38" i="108"/>
  <c r="E26" i="108"/>
  <c r="F50" i="34"/>
  <c r="F37" i="34"/>
  <c r="F19" i="7"/>
  <c r="B1807" i="106" s="1"/>
  <c r="D1807" i="106" s="1"/>
  <c r="D54" i="36"/>
  <c r="J352" i="29"/>
  <c r="J367" i="29" s="1"/>
  <c r="B7245" i="106" s="1"/>
  <c r="D7245" i="106" s="1"/>
  <c r="D6103" i="106"/>
  <c r="H365" i="29"/>
  <c r="B7242" i="106" s="1"/>
  <c r="D7242" i="106" s="1"/>
  <c r="C352" i="29"/>
  <c r="B3621" i="106" s="1"/>
  <c r="D3621" i="106" s="1"/>
  <c r="G15" i="145"/>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4" i="36" l="1"/>
  <c r="L114" i="29"/>
  <c r="D7251" i="106"/>
  <c r="B7215" i="106"/>
  <c r="D7215" i="106" s="1"/>
  <c r="L16" i="11"/>
  <c r="B2061" i="106" s="1"/>
  <c r="D2061" i="106" s="1"/>
  <c r="K365" i="29"/>
  <c r="C114" i="29"/>
  <c r="B757" i="106" s="1"/>
  <c r="D757" i="106" s="1"/>
  <c r="D41" i="108"/>
  <c r="E43" i="108" s="1"/>
  <c r="D51" i="36"/>
  <c r="B1365" i="106"/>
  <c r="D1365" i="106" s="1"/>
  <c r="F65" i="34"/>
  <c r="B1328" i="106"/>
  <c r="D1328" i="106"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30" i="106" s="1"/>
  <c r="D6230" i="106" s="1"/>
  <c r="J10" i="4"/>
  <c r="B6225" i="106" s="1"/>
  <c r="D6225" i="106" s="1"/>
  <c r="B6223" i="106"/>
  <c r="D6223"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F10" i="4" l="1"/>
  <c r="B4125" i="106" s="1"/>
  <c r="D4125" i="106" s="1"/>
  <c r="D8" i="146"/>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<sst xmlns="http://schemas.openxmlformats.org/spreadsheetml/2006/main" count="5201" uniqueCount="2151">
  <si>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</si>
  <si>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</si>
  <si>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</si>
  <si>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</si>
  <si>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</si>
  <si>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</si>
  <si>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</si>
  <si>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</si>
  <si>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</si>
  <si>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</si>
  <si>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</si>
  <si>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</si>
  <si>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</si>
  <si>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</si>
  <si>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</si>
  <si>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</si>
  <si>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</si>
  <si>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</si>
  <si>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</si>
  <si>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</si>
  <si>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</si>
  <si>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</si>
  <si>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</si>
  <si>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</si>
  <si>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</si>
  <si>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</si>
  <si>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</si>
  <si>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</si>
  <si>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</si>
  <si>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</si>
  <si>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</si>
  <si>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</si>
  <si>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</si>
  <si>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</si>
  <si>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</si>
  <si>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</si>
  <si>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</si>
  <si>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</si>
  <si>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</si>
  <si>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</si>
  <si>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</si>
  <si>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</si>
  <si>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</si>
  <si>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</si>
  <si>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</si>
  <si>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</si>
  <si>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</si>
  <si>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</si>
  <si>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</si>
  <si>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</si>
  <si>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</si>
  <si>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</si>
  <si>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</si>
  <si>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</si>
  <si>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</si>
  <si>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</si>
  <si>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</si>
  <si>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</si>
  <si>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</si>
  <si>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</si>
  <si>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</si>
  <si>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</si>
  <si>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</si>
  <si>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</si>
  <si>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</si>
  <si>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</si>
  <si>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</si>
  <si>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</si>
  <si>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</si>
  <si>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</si>
  <si>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</si>
  <si>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</si>
  <si>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</si>
  <si>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</si>
  <si>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</si>
  <si>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</si>
  <si>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</si>
  <si>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</si>
  <si>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</si>
  <si>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</si>
  <si>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</si>
  <si>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</si>
  <si>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</si>
  <si>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</si>
  <si>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</si>
  <si>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</si>
  <si>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</si>
  <si>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</si>
  <si>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</si>
  <si>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</si>
  <si>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</si>
  <si>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</si>
  <si>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</si>
  <si>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</si>
  <si>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</si>
  <si>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</si>
  <si>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</si>
  <si>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</si>
  <si>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</si>
  <si>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</si>
  <si>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</si>
  <si>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</si>
  <si>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</si>
  <si>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</si>
  <si>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</si>
  <si>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</si>
  <si>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</si>
  <si>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</si>
  <si>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</si>
  <si>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</si>
  <si>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</si>
  <si>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</si>
  <si>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</si>
  <si>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</si>
  <si>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</si>
  <si>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</si>
  <si>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</si>
  <si>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</si>
  <si>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</si>
  <si>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</si>
  <si>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</si>
  <si>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</si>
  <si>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</si>
  <si>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</si>
  <si>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</si>
  <si>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</si>
  <si>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</si>
  <si>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</si>
  <si>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</si>
  <si>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</si>
  <si>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</si>
  <si>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</si>
  <si>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</si>
  <si>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</si>
  <si>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</si>
  <si>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</si>
  <si>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</si>
  <si>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</si>
  <si>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</si>
  <si>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</si>
  <si>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</si>
  <si>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</si>
  <si>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</si>
  <si>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</si>
  <si>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</si>
  <si>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</si>
  <si>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</si>
  <si>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</si>
  <si>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</si>
  <si>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</si>
  <si>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</si>
  <si>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</si>
  <si>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</si>
  <si>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</si>
  <si>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</si>
  <si>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</si>
  <si>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</si>
  <si>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</si>
  <si>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</si>
  <si>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</si>
  <si>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</si>
  <si>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</si>
  <si>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</si>
  <si>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</si>
  <si>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</si>
  <si>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</si>
  <si>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</si>
  <si>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</si>
  <si>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</si>
  <si>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</si>
  <si>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</si>
  <si>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</si>
  <si>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</si>
  <si>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</si>
  <si>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</si>
  <si>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</si>
  <si>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</si>
  <si>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</si>
  <si>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</si>
  <si>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</si>
  <si>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</si>
  <si>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</si>
  <si>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</si>
  <si>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</si>
  <si>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</si>
  <si>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</si>
  <si>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</si>
  <si>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</si>
  <si>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</si>
  <si>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</si>
  <si>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</si>
  <si>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</si>
  <si>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</si>
  <si>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</si>
  <si>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</si>
  <si>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</si>
  <si>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</si>
  <si>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</si>
  <si>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</si>
  <si>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</si>
  <si>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</si>
  <si>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</si>
  <si>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</si>
  <si>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</si>
  <si>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</si>
  <si>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</si>
  <si>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</si>
  <si>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</si>
  <si>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</si>
  <si>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</si>
  <si>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</si>
  <si>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</si>
  <si>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</si>
  <si>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</si>
  <si>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</si>
  <si>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</si>
  <si>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</si>
  <si>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</si>
  <si>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</si>
  <si>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</si>
  <si>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</si>
  <si>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</si>
  <si>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</si>
  <si>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</si>
  <si>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</si>
  <si>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</si>
  <si>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</si>
  <si>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</si>
  <si>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</si>
  <si>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</si>
  <si>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</si>
  <si>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</si>
  <si>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</si>
  <si>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</si>
  <si>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</si>
  <si>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</si>
  <si>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</si>
  <si>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</si>
  <si>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</si>
  <si>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</si>
  <si>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</si>
  <si>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</si>
  <si>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</si>
  <si>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</si>
  <si>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</si>
  <si>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</si>
  <si>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</si>
  <si>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</si>
  <si>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</si>
  <si>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</si>
  <si>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</si>
  <si>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</si>
  <si>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</si>
  <si>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</si>
  <si>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</si>
  <si>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</si>
  <si>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</si>
  <si>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</si>
  <si>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</si>
  <si>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</si>
  <si>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</si>
  <si>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</si>
  <si>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</si>
  <si>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</si>
  <si>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</si>
  <si>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</si>
  <si>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</si>
  <si>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</si>
  <si>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</si>
  <si>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</si>
  <si>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</si>
  <si>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</si>
  <si>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</si>
  <si>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</si>
  <si>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</si>
  <si>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</si>
  <si>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</si>
  <si>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</si>
  <si>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</si>
  <si>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</si>
  <si>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</si>
  <si>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</si>
  <si>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</si>
  <si>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</si>
  <si>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</si>
  <si>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</si>
  <si>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</si>
  <si>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</si>
  <si>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</si>
  <si>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</si>
  <si>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</si>
  <si>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</si>
  <si>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</si>
  <si>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</si>
  <si>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</si>
  <si>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</si>
  <si>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</si>
  <si>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</si>
  <si>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</si>
  <si>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</si>
  <si>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</si>
  <si>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</si>
  <si>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</si>
  <si>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</si>
  <si>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</si>
  <si>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</si>
  <si>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</si>
  <si>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</si>
  <si>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</si>
  <si>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</si>
  <si>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</si>
  <si>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</si>
  <si>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</si>
  <si>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</si>
  <si>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</si>
  <si>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</si>
  <si>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</si>
  <si>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</si>
  <si>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</si>
  <si>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</si>
  <si>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</si>
  <si>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</si>
  <si>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</si>
  <si>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</si>
  <si>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</si>
  <si>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</si>
  <si>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</si>
  <si>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</si>
  <si>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</si>
  <si>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</si>
  <si>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</si>
  <si>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</si>
  <si>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</si>
  <si>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</si>
  <si>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</si>
  <si>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</si>
  <si>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</si>
  <si>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</si>
  <si>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</si>
  <si>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</si>
  <si>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</si>
  <si>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</si>
  <si>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</si>
  <si>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</si>
  <si>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</si>
  <si>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</si>
  <si>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</si>
  <si>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</si>
  <si>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</si>
  <si>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</si>
  <si>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</si>
  <si>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</si>
  <si>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</si>
  <si>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</si>
  <si>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</si>
  <si>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</si>
  <si>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</si>
  <si>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</si>
  <si>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</si>
  <si>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</si>
  <si>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</si>
  <si>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</si>
  <si>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</si>
  <si>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</si>
  <si>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</si>
  <si>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</si>
  <si>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</si>
  <si>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</si>
  <si>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</si>
  <si>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</si>
  <si>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</si>
  <si>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</si>
  <si>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</si>
  <si>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</si>
  <si>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</si>
  <si>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</si>
  <si>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</si>
  <si>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</si>
  <si>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</si>
  <si>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</si>
  <si>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</si>
  <si>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</si>
  <si>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</si>
  <si>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</si>
  <si>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</si>
  <si>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</si>
  <si>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</si>
  <si>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</si>
  <si>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</si>
  <si>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</si>
  <si>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</si>
  <si>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</si>
  <si>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</si>
  <si>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</si>
  <si>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</si>
  <si>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</si>
  <si>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</si>
  <si>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</si>
  <si>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</si>
  <si>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</si>
  <si>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</si>
  <si>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</si>
  <si>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</si>
  <si>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</si>
  <si>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</si>
  <si>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</si>
  <si>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</si>
  <si>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</si>
  <si>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</si>
  <si>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</si>
  <si>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</si>
  <si>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</si>
  <si>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</si>
  <si>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</si>
  <si>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</si>
  <si>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</si>
  <si>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</si>
  <si>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</si>
  <si>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</si>
  <si>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</si>
  <si>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</si>
  <si>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</si>
  <si>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</si>
  <si>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</si>
  <si>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</si>
  <si>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</si>
  <si>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</si>
  <si>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</si>
  <si>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</si>
  <si>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</si>
  <si>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</si>
  <si>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</si>
  <si>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</si>
  <si>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</si>
  <si>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</si>
  <si>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</si>
  <si>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</si>
  <si>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</si>
  <si>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</si>
  <si>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</si>
  <si>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</si>
  <si>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</si>
  <si>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</si>
  <si>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</si>
  <si>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</si>
  <si>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</si>
  <si>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</si>
  <si>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</si>
  <si>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</si>
  <si>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</si>
  <si>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</si>
  <si>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</si>
  <si>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</si>
  <si>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</si>
  <si>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</si>
  <si>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</si>
  <si>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</si>
  <si>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</si>
  <si>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</si>
  <si>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</si>
  <si>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</si>
  <si>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</si>
  <si>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</si>
  <si>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</si>
  <si>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</si>
  <si>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</si>
  <si>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</si>
  <si>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</si>
  <si>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</si>
  <si>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</si>
  <si>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</si>
  <si>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</si>
  <si>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</si>
  <si>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</si>
  <si>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</si>
  <si>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</si>
  <si>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</si>
  <si>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</si>
  <si>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</si>
  <si>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</si>
  <si>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</si>
  <si>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</si>
  <si>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</si>
  <si>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</si>
  <si>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</si>
  <si>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</si>
  <si>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</si>
  <si>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</si>
  <si>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</si>
  <si>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</si>
  <si>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</si>
  <si>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</si>
  <si>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</si>
  <si>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</si>
  <si>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</si>
  <si>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</si>
  <si>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</si>
  <si>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</si>
  <si>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</si>
  <si>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</si>
  <si>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</si>
  <si>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</si>
  <si>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</si>
  <si>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</si>
  <si>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</si>
  <si>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</si>
  <si>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</si>
  <si>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</si>
  <si>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</si>
  <si>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</si>
  <si>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</si>
  <si>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</si>
  <si>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</si>
  <si>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</si>
  <si>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</si>
  <si>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</si>
  <si>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</si>
  <si>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</si>
  <si>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</si>
  <si>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</si>
  <si>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</si>
  <si>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</si>
  <si>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</si>
  <si>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</si>
  <si>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</si>
  <si>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</si>
  <si>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</si>
  <si>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</si>
  <si>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</si>
  <si>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</si>
  <si>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</si>
  <si>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</si>
  <si>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</si>
  <si>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</si>
  <si>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</si>
  <si>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</si>
  <si>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</si>
  <si>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</si>
  <si>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</si>
  <si>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</si>
  <si>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</si>
  <si>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</si>
  <si>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</si>
  <si>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</si>
  <si>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</si>
  <si>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</si>
  <si>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</si>
  <si>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</si>
  <si>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</si>
  <si>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</si>
  <si>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</si>
  <si>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</si>
  <si>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</si>
  <si>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</si>
  <si>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</si>
  <si>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</si>
  <si>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</si>
  <si>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</si>
  <si>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</si>
  <si>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</si>
  <si>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</si>
  <si>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</si>
  <si>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</si>
  <si>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</si>
  <si>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</si>
  <si>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</si>
  <si>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</si>
  <si>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</si>
  <si>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</si>
  <si>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</si>
  <si>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</si>
  <si>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</si>
  <si>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</si>
  <si>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</si>
  <si>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</si>
  <si>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</si>
  <si>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</si>
  <si>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</si>
  <si>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</si>
  <si>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</si>
  <si>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</si>
  <si>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</si>
  <si>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</si>
  <si>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</si>
  <si>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</si>
  <si>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</si>
  <si>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</si>
  <si>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</si>
  <si>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</si>
  <si>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</si>
  <si>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</si>
  <si>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</si>
  <si>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</si>
  <si>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</si>
  <si>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</si>
  <si>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</si>
  <si>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</si>
  <si>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</si>
  <si>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</si>
  <si>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</si>
  <si>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</si>
  <si>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</si>
  <si>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</si>
  <si>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</si>
  <si>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</si>
  <si>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</si>
  <si>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</si>
  <si>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</si>
  <si>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</si>
  <si>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</si>
  <si>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</si>
  <si>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</si>
  <si>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</si>
  <si>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</si>
  <si>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</si>
  <si>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</si>
  <si>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</si>
  <si>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</si>
  <si>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</si>
  <si>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</si>
  <si>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</si>
  <si>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</si>
  <si>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</si>
  <si>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</si>
  <si>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</si>
  <si>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</si>
  <si>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</si>
  <si>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</si>
  <si>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</si>
  <si>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</si>
  <si>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</si>
  <si>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</si>
  <si>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</si>
  <si>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</si>
  <si>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</si>
  <si>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</si>
  <si>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</si>
  <si>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</si>
  <si>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</si>
  <si>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</si>
  <si>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</si>
  <si>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</si>
  <si>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</si>
  <si>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</si>
  <si>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</si>
  <si>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</si>
  <si>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</si>
  <si>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</si>
  <si>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</si>
  <si>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</si>
  <si>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</si>
  <si>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</si>
  <si>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</si>
  <si>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</si>
  <si>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</si>
  <si>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</si>
  <si>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</si>
  <si>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</si>
  <si>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</si>
  <si>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</si>
  <si>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</si>
  <si>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</si>
  <si>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</si>
  <si>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</si>
  <si>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</si>
  <si>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</si>
  <si>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</si>
  <si>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</si>
  <si>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</si>
  <si>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</si>
  <si>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</si>
  <si>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</si>
  <si>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</si>
  <si>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</si>
  <si>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</si>
  <si>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</si>
  <si>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</si>
  <si>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</si>
  <si>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</si>
  <si>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</si>
  <si>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</si>
  <si>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</si>
  <si>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</si>
  <si>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</si>
  <si>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</si>
  <si>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</si>
  <si>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</si>
  <si>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</si>
  <si>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</si>
  <si>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</si>
  <si>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</si>
  <si>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</si>
  <si>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</si>
  <si>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</si>
  <si>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</si>
  <si>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</si>
  <si>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</si>
  <si>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</si>
  <si>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</si>
  <si>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</si>
  <si>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</si>
  <si>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</si>
  <si>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</si>
  <si>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</si>
  <si>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</si>
  <si>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</si>
  <si>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</si>
  <si>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</si>
  <si>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</si>
  <si>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</si>
  <si>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</si>
  <si>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</si>
  <si>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</si>
  <si>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</si>
  <si>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</si>
  <si>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</si>
  <si>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</si>
  <si>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</si>
  <si>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</si>
  <si>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</si>
  <si>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</si>
  <si>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</si>
  <si>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</si>
  <si>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</si>
  <si>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</si>
  <si>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</si>
  <si>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</si>
  <si>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</si>
  <si>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</si>
  <si>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</si>
  <si>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</si>
  <si>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</si>
  <si>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</si>
  <si>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</si>
  <si>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</si>
  <si>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</si>
  <si>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</si>
  <si>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</si>
  <si>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</si>
  <si>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</si>
  <si>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</si>
  <si>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</si>
  <si>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</si>
  <si>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</si>
  <si>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</si>
  <si>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</si>
  <si>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</si>
  <si>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</si>
  <si>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</si>
  <si>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</si>
  <si>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</si>
  <si>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</si>
  <si>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</si>
  <si>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</si>
  <si>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</si>
  <si>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</si>
  <si>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</si>
  <si>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</si>
  <si>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</si>
  <si>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</si>
  <si>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</si>
  <si>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</si>
  <si>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</si>
  <si>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</si>
  <si>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</si>
  <si>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</si>
  <si>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</si>
  <si>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</si>
  <si>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</si>
  <si>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</si>
  <si>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</si>
  <si>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</si>
  <si>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</si>
  <si>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</si>
  <si>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</si>
  <si>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</si>
  <si>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</si>
  <si>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</si>
  <si>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</si>
  <si>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</si>
  <si>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</si>
  <si>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</si>
  <si>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</si>
  <si>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</si>
  <si>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</si>
  <si>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</si>
  <si>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</si>
  <si>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</si>
  <si>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</si>
  <si>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</si>
  <si>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</si>
  <si>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</si>
  <si>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</si>
  <si>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</si>
  <si>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</si>
  <si>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</si>
  <si>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</si>
  <si>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</si>
  <si>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</si>
  <si>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</si>
  <si>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</si>
  <si>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</si>
  <si>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</si>
  <si>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</si>
  <si>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</si>
  <si>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</si>
  <si>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</si>
  <si>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</si>
  <si>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</si>
  <si>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</si>
  <si>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</si>
  <si>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</si>
  <si>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</si>
  <si>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</si>
  <si>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</si>
  <si>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</si>
  <si>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</si>
  <si>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</si>
  <si>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</si>
  <si>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</si>
  <si>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</si>
  <si>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</si>
  <si>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</si>
  <si>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</si>
  <si>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</si>
  <si>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</si>
  <si>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</si>
  <si>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</si>
  <si>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</si>
  <si>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</si>
  <si>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</si>
  <si>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</si>
  <si>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</si>
  <si>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</si>
  <si>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</si>
  <si>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</si>
  <si>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</si>
  <si>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</si>
  <si>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</si>
  <si>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</si>
  <si>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</si>
  <si>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</si>
  <si>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</si>
  <si>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</si>
  <si>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</si>
  <si>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</si>
  <si>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</si>
  <si>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</si>
  <si>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</si>
  <si>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</si>
  <si>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</si>
  <si>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</si>
  <si>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</si>
  <si>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</si>
  <si>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</si>
  <si>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</si>
  <si>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</si>
  <si>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</si>
  <si>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</si>
  <si>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</si>
  <si>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</si>
  <si>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</si>
  <si>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</si>
  <si>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</si>
  <si>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</si>
  <si>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</si>
  <si>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</si>
  <si>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</si>
  <si>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</si>
  <si>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</si>
  <si>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</si>
  <si>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</si>
  <si>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</si>
  <si>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</si>
  <si>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</si>
  <si>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</si>
  <si>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</si>
  <si>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</si>
  <si>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</si>
  <si>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</si>
  <si>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</si>
  <si>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</si>
  <si>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</si>
  <si>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</si>
  <si>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</si>
  <si>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</si>
  <si>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</si>
  <si>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</si>
  <si>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</si>
  <si>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</si>
  <si>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</si>
  <si>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</si>
  <si>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</si>
  <si>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</si>
  <si>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</si>
  <si>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</si>
  <si>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</si>
  <si>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</si>
  <si>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</si>
  <si>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</si>
  <si>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</si>
  <si>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</si>
  <si>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</si>
  <si>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</si>
  <si>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</si>
  <si>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</si>
  <si>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</si>
  <si>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</si>
  <si>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</si>
  <si>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</si>
  <si>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</si>
  <si>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</si>
  <si>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</si>
  <si>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</si>
  <si>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</si>
  <si>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</si>
  <si>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</si>
  <si>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</si>
  <si>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</si>
  <si>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</si>
  <si>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</si>
  <si>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</si>
  <si>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</si>
  <si>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</si>
  <si>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</si>
  <si>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</si>
  <si>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</si>
  <si>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</si>
  <si>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</si>
  <si>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</si>
  <si>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</si>
  <si>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</si>
  <si>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</si>
  <si>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</si>
  <si>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</si>
  <si>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</si>
  <si>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</si>
  <si>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</si>
  <si>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</si>
  <si>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</si>
  <si>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</si>
  <si>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</si>
  <si>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</si>
  <si>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</si>
  <si>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</si>
  <si>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</si>
  <si>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</si>
  <si>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</si>
  <si>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</si>
  <si>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</si>
  <si>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</si>
  <si>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</si>
  <si>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</si>
  <si>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</si>
  <si>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</si>
  <si>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</si>
  <si>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</si>
  <si>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</si>
  <si>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</si>
  <si>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</si>
  <si>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</si>
  <si>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</si>
  <si>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</si>
  <si>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</si>
  <si>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</si>
  <si>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</si>
  <si>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</si>
  <si>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</si>
  <si>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</si>
  <si>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</si>
  <si>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</si>
  <si>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</si>
  <si>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</si>
  <si>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</si>
  <si>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</si>
  <si>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</si>
  <si>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</si>
  <si>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</si>
  <si>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</si>
  <si>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</si>
  <si>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</si>
  <si>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</si>
  <si>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</si>
  <si>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</si>
  <si>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</si>
  <si>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</si>
  <si>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</si>
  <si>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</si>
  <si>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</si>
  <si>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</si>
  <si>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</si>
  <si>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</si>
  <si>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</si>
  <si>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</si>
  <si>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</si>
  <si>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</si>
  <si>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</si>
  <si>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</si>
  <si>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</si>
  <si>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</si>
  <si>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</si>
  <si>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</si>
  <si>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</si>
  <si>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</si>
  <si>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</si>
  <si>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</si>
  <si>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</si>
  <si>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</si>
  <si>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</si>
  <si>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</si>
  <si>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</si>
  <si>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</si>
  <si>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</si>
  <si>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</si>
  <si>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</si>
  <si>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</si>
  <si>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</si>
  <si>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</si>
  <si>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</si>
  <si>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</si>
  <si>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</si>
  <si>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</si>
  <si>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</si>
  <si>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</si>
  <si>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</si>
  <si>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</si>
  <si>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</si>
  <si>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</si>
  <si>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</si>
  <si>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</si>
  <si>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</si>
  <si>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</si>
  <si>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</si>
  <si>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</si>
  <si>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</si>
  <si>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</si>
  <si>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</si>
  <si>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</si>
  <si>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</si>
  <si>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</si>
  <si>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</si>
  <si>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</si>
  <si>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</si>
  <si>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</si>
  <si>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</si>
  <si>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</si>
  <si>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</si>
  <si>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</si>
  <si>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</si>
  <si>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</si>
  <si>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</si>
  <si>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</si>
  <si>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</si>
  <si>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</si>
  <si>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</si>
  <si>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</si>
  <si>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</si>
  <si>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</si>
  <si>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</si>
  <si>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</si>
  <si>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</si>
  <si>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</si>
  <si>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</si>
  <si>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</si>
  <si>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</si>
  <si>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</si>
  <si>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</si>
  <si>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</si>
  <si>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</si>
  <si>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</si>
  <si>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</si>
  <si>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</si>
  <si>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</si>
  <si>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</si>
  <si>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</si>
  <si>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</si>
  <si>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</si>
  <si>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</si>
  <si>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</si>
  <si>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</si>
  <si>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</si>
  <si>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</si>
  <si>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</si>
  <si>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</si>
  <si>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</si>
  <si>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</si>
  <si>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</si>
  <si>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</si>
  <si>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</si>
  <si>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</si>
  <si>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</si>
  <si>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</si>
  <si>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</si>
  <si>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</si>
  <si>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</si>
  <si>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</si>
  <si>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</si>
  <si>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</si>
  <si>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</si>
  <si>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</si>
  <si>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</si>
  <si>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</si>
  <si>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</si>
  <si>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</si>
  <si>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</si>
  <si>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</si>
  <si>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</si>
  <si>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</si>
  <si>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</si>
  <si>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</si>
  <si>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</si>
  <si>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</si>
  <si>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</si>
  <si>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</si>
  <si>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</si>
  <si>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</si>
  <si>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</si>
  <si>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</si>
  <si>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</si>
  <si>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</si>
  <si>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</si>
  <si>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</si>
  <si>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</si>
  <si>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</si>
  <si>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</si>
  <si>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</si>
  <si>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</si>
  <si>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</si>
  <si>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</si>
  <si>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</si>
  <si>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</si>
  <si>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</si>
  <si>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</si>
  <si>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</si>
  <si>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</si>
  <si>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</si>
  <si>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</si>
  <si>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</si>
  <si>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</si>
  <si>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</si>
  <si>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</si>
  <si>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</si>
  <si>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</si>
  <si>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</si>
  <si>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</si>
  <si>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</si>
  <si>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</si>
  <si>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</si>
  <si>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</si>
  <si>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</si>
  <si>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</si>
  <si>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</si>
  <si>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</si>
  <si>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</si>
  <si>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</si>
  <si>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</si>
  <si>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</si>
  <si>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</si>
  <si>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</si>
  <si>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</si>
  <si>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</si>
  <si>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</si>
  <si>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</si>
  <si>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</si>
  <si>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</si>
  <si>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</si>
  <si>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</si>
  <si>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</si>
  <si>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</si>
  <si>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</si>
  <si>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</si>
  <si>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</si>
  <si>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</si>
  <si>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</si>
  <si>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</si>
  <si>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</si>
  <si>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</si>
  <si>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</si>
  <si>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</si>
  <si>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</si>
  <si>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</si>
  <si>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</si>
  <si>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</si>
  <si>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</si>
  <si>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</si>
  <si>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</si>
  <si>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</si>
  <si>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</si>
  <si>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</si>
  <si>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</si>
  <si>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</si>
  <si>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</si>
  <si>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</si>
  <si>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</si>
  <si>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</si>
  <si>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</si>
  <si>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</si>
  <si>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</si>
  <si>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</si>
  <si>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</si>
  <si>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</si>
  <si>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</si>
  <si>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</si>
  <si>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</si>
  <si>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</si>
  <si>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</si>
  <si>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</si>
  <si>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</si>
  <si>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</si>
  <si>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</si>
  <si>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</si>
  <si>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</si>
  <si>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</si>
  <si>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</si>
  <si>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</si>
  <si>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</si>
  <si>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</si>
  <si>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</si>
  <si>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</si>
  <si>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</si>
  <si>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</si>
  <si>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</si>
  <si>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</si>
  <si>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</si>
  <si>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</si>
  <si>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</si>
  <si>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</si>
  <si>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</si>
  <si>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</si>
  <si>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</si>
  <si>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</si>
  <si>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</si>
  <si>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</si>
  <si>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</si>
  <si>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</si>
  <si>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</si>
  <si>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</si>
  <si>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</si>
  <si>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</si>
  <si>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</si>
  <si>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</si>
  <si>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</si>
  <si>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</si>
  <si>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</si>
  <si>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</si>
  <si>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</si>
  <si>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</si>
  <si>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</si>
  <si>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</si>
  <si>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</si>
  <si>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</si>
  <si>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</si>
  <si>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</si>
  <si>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</si>
  <si>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</si>
  <si>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</si>
  <si>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</si>
  <si>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</si>
  <si>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</si>
  <si>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</si>
  <si>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</si>
  <si>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</si>
  <si>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</si>
  <si>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</si>
  <si>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</si>
  <si>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</si>
  <si>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</si>
  <si>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</si>
  <si>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</si>
  <si>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</si>
  <si>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</si>
  <si>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</si>
  <si>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</si>
  <si>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</si>
  <si>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</si>
  <si>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</si>
  <si>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</si>
  <si>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</si>
  <si>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</si>
  <si>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</si>
  <si>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</si>
  <si>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</si>
  <si>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</si>
  <si>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</si>
  <si>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</si>
  <si>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</si>
  <si>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</si>
  <si>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</si>
  <si>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</si>
  <si>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</si>
  <si>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</si>
  <si>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</si>
  <si>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</si>
  <si>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</si>
  <si>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</si>
  <si>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</si>
  <si>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</si>
  <si>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</si>
  <si>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</si>
  <si>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</si>
  <si>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</si>
  <si>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</si>
  <si>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</si>
  <si>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</si>
  <si>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</si>
  <si>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</si>
  <si>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</si>
  <si>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</si>
  <si>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</si>
  <si>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</si>
  <si>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</si>
  <si>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</si>
  <si>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</si>
  <si>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</si>
  <si>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</si>
  <si>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</si>
  <si>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</si>
  <si>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</si>
  <si>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</si>
  <si>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</si>
  <si>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</si>
  <si>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</si>
  <si>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</si>
  <si>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</si>
  <si>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</si>
  <si>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</si>
  <si>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</si>
  <si>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</si>
  <si>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</si>
  <si>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</si>
  <si>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</si>
  <si>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</si>
  <si>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</si>
  <si>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</si>
  <si>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</si>
  <si>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</si>
  <si>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</si>
  <si>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</si>
  <si>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</si>
  <si>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</si>
  <si>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</si>
  <si>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</si>
  <si>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</si>
  <si>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</si>
  <si>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</si>
  <si>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</si>
  <si>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</si>
  <si>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</si>
  <si>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</si>
  <si>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</si>
  <si>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</si>
  <si>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</si>
  <si>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</si>
  <si>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</si>
  <si>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</si>
  <si>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</si>
  <si>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</si>
  <si>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</si>
  <si>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</si>
  <si>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</si>
  <si>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</si>
  <si>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</si>
  <si>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</si>
  <si>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</si>
  <si>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</si>
  <si>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</si>
  <si>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</si>
  <si>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</si>
  <si>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</si>
  <si>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</si>
  <si>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</si>
  <si>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</si>
  <si>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</si>
  <si>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</si>
  <si>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</si>
  <si>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</si>
  <si>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</si>
  <si>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</si>
  <si>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</si>
  <si>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</si>
  <si>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</si>
  <si>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</si>
  <si>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</si>
  <si>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</si>
  <si>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</si>
  <si>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</si>
  <si>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</si>
  <si>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</si>
  <si>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</si>
  <si>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</si>
  <si>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</si>
  <si>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</si>
  <si>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</si>
  <si>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</si>
  <si>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</si>
  <si>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</si>
  <si>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</si>
  <si>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</si>
  <si>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</si>
  <si>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</si>
  <si>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</si>
  <si>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</si>
  <si>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</si>
  <si>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</si>
  <si>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</si>
  <si>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</si>
  <si>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</si>
  <si>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</si>
  <si>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</si>
  <si>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</si>
  <si>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</si>
  <si>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</si>
  <si>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</si>
  <si>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</si>
  <si>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</si>
  <si>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</si>
  <si>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</si>
  <si>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</si>
  <si>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</si>
  <si>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</si>
  <si>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</si>
  <si>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</si>
  <si>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</si>
  <si>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</si>
  <si>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</si>
  <si>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</si>
  <si>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</si>
  <si>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</si>
  <si>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</si>
  <si>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</si>
  <si>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</si>
  <si>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</si>
  <si>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</si>
  <si>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</si>
  <si>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</si>
  <si>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</si>
  <si>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</si>
  <si>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</si>
  <si>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</si>
  <si>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</si>
  <si>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</si>
  <si>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</si>
  <si>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</si>
  <si>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</si>
  <si>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</si>
  <si>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</si>
  <si>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</si>
  <si>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</si>
  <si>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</si>
  <si>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</si>
  <si>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</si>
  <si>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</si>
  <si>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</si>
  <si>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</si>
  <si>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</si>
  <si>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</si>
  <si>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</si>
  <si>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</si>
  <si>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</si>
  <si>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</si>
  <si>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</si>
  <si>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</si>
  <si>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</si>
  <si>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</si>
  <si>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</si>
  <si>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</si>
  <si>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</si>
  <si>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</si>
  <si>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</si>
  <si>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</si>
  <si>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</si>
  <si>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</si>
  <si>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</si>
  <si>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</si>
  <si>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</si>
  <si>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</si>
  <si>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</si>
  <si>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</si>
  <si>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</si>
  <si>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</si>
  <si>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</si>
  <si>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</si>
  <si>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</si>
  <si>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</si>
  <si>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</si>
  <si>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</si>
  <si>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</si>
  <si>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</si>
  <si>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</si>
  <si>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</si>
  <si>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</si>
  <si>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</si>
  <si>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</si>
  <si>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</si>
  <si>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</si>
  <si>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</si>
  <si>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</si>
  <si>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</si>
  <si>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</si>
  <si>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</si>
  <si>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</si>
  <si>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</si>
  <si>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</si>
  <si>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</si>
  <si>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</si>
  <si>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</si>
  <si>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</si>
  <si>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</si>
  <si>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</si>
  <si>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</si>
  <si>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</si>
  <si>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</si>
  <si>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</si>
  <si>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</si>
  <si>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</si>
  <si>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</si>
  <si>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</si>
  <si>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</si>
  <si>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</si>
  <si>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</si>
  <si>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</si>
  <si>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</si>
  <si>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</si>
  <si>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</si>
  <si>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</si>
  <si>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</si>
  <si>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</si>
  <si>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</si>
  <si>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</si>
  <si>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</si>
  <si>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</si>
  <si>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</si>
  <si>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</si>
  <si>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</si>
  <si>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</si>
  <si>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</si>
  <si>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</si>
  <si>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</si>
  <si>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</si>
  <si>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</si>
  <si>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</si>
  <si>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</si>
  <si>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</si>
  <si>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</si>
  <si>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</si>
  <si>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</si>
  <si>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</si>
  <si>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</si>
  <si>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</si>
  <si>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</si>
  <si>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</si>
  <si>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</si>
  <si>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</si>
  <si>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</si>
  <si>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</si>
  <si>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</si>
  <si>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</si>
  <si>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</si>
  <si>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</si>
  <si>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</si>
  <si>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</si>
  <si>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</si>
  <si>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</si>
  <si>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</si>
  <si>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</si>
  <si>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</si>
  <si>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</si>
  <si>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</si>
  <si>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</si>
  <si>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</si>
  <si>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</si>
  <si>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</si>
  <si>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</si>
  <si>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</si>
  <si>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</si>
  <si>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</si>
  <si>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</si>
  <si>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</si>
  <si>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</si>
  <si>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</si>
  <si>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</si>
  <si>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</si>
  <si>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</si>
  <si>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</si>
  <si>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</si>
  <si>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</si>
  <si>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</si>
  <si>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</si>
  <si>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</si>
  <si>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</si>
  <si>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</si>
  <si>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</si>
  <si>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</si>
  <si>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</si>
  <si>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</si>
  <si>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</si>
  <si>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</si>
  <si>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</si>
  <si>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</si>
  <si>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</si>
  <si>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</si>
  <si>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</si>
  <si>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</si>
  <si>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</si>
  <si>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</si>
  <si>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</si>
  <si>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</si>
  <si>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</si>
  <si>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</si>
  <si>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</si>
  <si>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</si>
  <si>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</si>
  <si>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</si>
  <si>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</si>
  <si>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</si>
  <si>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</si>
  <si>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</si>
  <si>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</si>
  <si>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</si>
  <si>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</si>
  <si>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</si>
  <si>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</si>
  <si>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</si>
  <si>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</si>
  <si>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</si>
  <si>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</si>
  <si>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</si>
  <si>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</si>
  <si>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</si>
  <si>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</si>
  <si>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</si>
  <si>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</si>
  <si>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</si>
  <si>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</si>
  <si>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</si>
  <si>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</si>
  <si>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</si>
  <si>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</si>
  <si>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</si>
  <si>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</si>
  <si>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</si>
  <si>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</si>
  <si>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</si>
  <si>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</si>
  <si>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</si>
  <si>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</si>
  <si>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</si>
  <si>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</si>
  <si>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</si>
  <si>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</si>
  <si>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</si>
  <si>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</si>
  <si>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</si>
  <si>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</si>
  <si>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</si>
  <si>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</si>
  <si>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</si>
  <si>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</si>
  <si>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</si>
  <si>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</si>
  <si>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</si>
  <si>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</si>
  <si>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</si>
  <si>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</si>
  <si>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</si>
  <si>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</si>
  <si>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</si>
  <si>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</si>
  <si>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</si>
  <si>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</si>
  <si>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</si>
  <si>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</si>
  <si>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</si>
  <si>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</si>
  <si>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</si>
  <si>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</si>
  <si>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</si>
  <si>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</si>
  <si>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</si>
  <si>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</si>
  <si>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</si>
  <si>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</si>
  <si>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</si>
  <si>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</si>
  <si>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</si>
  <si>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</si>
  <si>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</si>
  <si>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</si>
  <si>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</si>
  <si>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</si>
  <si>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</si>
  <si>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</si>
  <si>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</si>
  <si>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</si>
  <si>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</si>
  <si>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</si>
  <si>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</si>
  <si>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</si>
  <si>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</si>
  <si>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</si>
  <si>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</si>
  <si>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</si>
  <si>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</si>
  <si>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</si>
  <si>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</si>
  <si>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</si>
  <si>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</si>
  <si>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</si>
  <si>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</si>
  <si>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</si>
  <si>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</si>
  <si>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</si>
  <si>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</si>
  <si>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</si>
  <si>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</si>
  <si>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</si>
  <si>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</si>
  <si>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</si>
  <si>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</si>
  <si>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</si>
  <si>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</si>
  <si>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</si>
  <si>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</si>
  <si>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</si>
  <si>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</si>
  <si>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</si>
  <si>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</si>
  <si>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</si>
  <si>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</si>
  <si>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</si>
  <si>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</si>
  <si>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</si>
  <si>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</si>
  <si>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</si>
  <si>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</si>
  <si>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</si>
  <si>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</si>
  <si>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</si>
  <si>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</si>
  <si>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</si>
  <si>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</si>
  <si>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</si>
  <si>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</si>
  <si>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</si>
  <si>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</si>
  <si>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</si>
  <si>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</si>
  <si>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</si>
  <si>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</si>
  <si>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</si>
  <si>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</si>
  <si>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</si>
  <si>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</si>
  <si>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</si>
  <si>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</si>
  <si>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</si>
  <si>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</si>
  <si>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</si>
  <si>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</si>
  <si>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</si>
  <si>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</si>
  <si>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</si>
  <si>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</si>
  <si>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</si>
  <si>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</si>
  <si>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</si>
  <si>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</si>
  <si>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</si>
  <si>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</si>
  <si>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</si>
  <si>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</si>
  <si>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</si>
  <si>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</si>
  <si>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</si>
  <si>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</si>
  <si>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</si>
  <si>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</si>
  <si>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</si>
  <si>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</si>
  <si>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</si>
  <si>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</si>
  <si>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</si>
  <si>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</si>
  <si>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</si>
  <si>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</si>
  <si>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</si>
  <si>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</si>
  <si>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</si>
  <si>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</si>
  <si>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</si>
  <si>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</si>
  <si>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</si>
  <si>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</si>
  <si>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</si>
  <si>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</si>
  <si>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</si>
  <si>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</si>
  <si>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</si>
  <si>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</si>
  <si>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</si>
  <si>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</si>
  <si>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</si>
  <si>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</si>
  <si>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</si>
  <si>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</si>
  <si>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</si>
  <si>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</si>
  <si>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</si>
  <si>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</si>
  <si>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</si>
  <si>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</si>
  <si>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</si>
  <si>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</si>
  <si>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</si>
  <si>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</si>
  <si>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</si>
  <si>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</si>
  <si>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</si>
  <si>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</si>
  <si>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</si>
  <si>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</si>
  <si>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</si>
  <si>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</si>
  <si>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</si>
  <si>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</si>
  <si>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</si>
  <si>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</si>
  <si>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</si>
  <si>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</si>
  <si>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</si>
  <si>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</si>
  <si>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</si>
  <si>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</si>
  <si>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</si>
  <si>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</si>
  <si>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</si>
  <si>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</si>
  <si>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</si>
  <si>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</si>
  <si>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</si>
  <si>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</si>
  <si>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</si>
  <si>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</si>
  <si>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</si>
  <si>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</si>
  <si>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</si>
  <si>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</si>
  <si>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</si>
  <si>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</si>
  <si>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</si>
  <si>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</si>
  <si>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</si>
  <si>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</si>
  <si>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</si>
  <si>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</si>
  <si>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</si>
  <si>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</si>
  <si>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</si>
  <si>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</si>
  <si>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</si>
  <si>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</si>
  <si>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</si>
  <si>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</si>
  <si>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</si>
  <si>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</si>
  <si>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</si>
  <si>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</si>
  <si>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</si>
  <si>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</si>
  <si>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</si>
  <si>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</si>
  <si>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</si>
  <si>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</si>
  <si>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</si>
  <si>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</si>
  <si>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</si>
  <si>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</si>
  <si>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</si>
  <si>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</si>
  <si>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</si>
  <si>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</si>
  <si>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</si>
  <si>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</si>
  <si>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</si>
  <si>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</si>
  <si>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</si>
  <si>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</si>
  <si>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</si>
  <si>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</si>
  <si>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</si>
  <si>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</si>
  <si>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</si>
  <si>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</si>
  <si>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</si>
  <si>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</si>
  <si>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</si>
  <si>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</si>
  <si>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</si>
  <si>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</si>
  <si>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</si>
  <si>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</si>
  <si>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</si>
  <si>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</si>
  <si>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</si>
  <si>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</si>
  <si>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</si>
  <si>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</si>
  <si>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</si>
  <si>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</si>
  <si>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</si>
  <si>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</si>
  <si>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</si>
  <si>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</si>
  <si>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</si>
  <si>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</si>
  <si>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</si>
  <si>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</si>
  <si>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</si>
  <si>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</si>
  <si>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</si>
  <si>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</si>
  <si>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</si>
  <si>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</si>
  <si>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</si>
  <si>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</si>
  <si>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</si>
  <si>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</si>
  <si>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</si>
  <si>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</si>
  <si>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</si>
  <si>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</si>
  <si>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</si>
  <si>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</si>
  <si>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</si>
  <si>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</si>
  <si>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</si>
  <si>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</si>
  <si>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</si>
  <si>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</si>
  <si>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</si>
  <si>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</si>
  <si>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</si>
  <si>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</si>
  <si>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</si>
  <si>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</si>
  <si>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</si>
  <si>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</si>
  <si>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</si>
  <si>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</si>
  <si>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</si>
  <si>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</si>
  <si>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</si>
  <si>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</si>
  <si>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</si>
  <si>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</si>
  <si>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</si>
  <si>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</si>
  <si>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</si>
  <si>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</si>
  <si>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</si>
  <si>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</si>
  <si>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</si>
  <si>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</si>
  <si>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</si>
  <si>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</si>
  <si>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</si>
  <si>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</si>
  <si>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</si>
  <si>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</si>
  <si>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</si>
  <si>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</si>
  <si>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</si>
  <si>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</si>
  <si>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</si>
  <si>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</si>
  <si>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</si>
  <si>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</si>
  <si>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</si>
  <si>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</si>
  <si>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</si>
  <si>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</si>
  <si>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</si>
  <si>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</si>
  <si>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</si>
  <si>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</si>
  <si>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</si>
  <si>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</si>
  <si>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</si>
  <si>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</si>
  <si>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</si>
  <si>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</si>
  <si>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</si>
  <si>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</si>
  <si>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</si>
  <si>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</si>
  <si>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</si>
  <si>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</si>
  <si>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</si>
  <si>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</si>
  <si>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</si>
  <si>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</si>
  <si>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</si>
  <si>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</si>
  <si>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</si>
  <si>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</si>
  <si>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</si>
  <si>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</si>
  <si>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</si>
  <si>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</si>
  <si>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</si>
  <si>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</si>
  <si>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</si>
  <si>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</si>
  <si>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</si>
  <si>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</si>
  <si>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</si>
  <si>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</si>
  <si>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</si>
  <si>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</si>
  <si>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</si>
  <si>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</si>
  <si>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</si>
  <si>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</si>
  <si>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</si>
  <si>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</si>
  <si>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</si>
  <si>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</si>
  <si>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</si>
  <si>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</si>
  <si>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</si>
  <si>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</si>
  <si>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</si>
  <si>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</si>
  <si>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</si>
  <si>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</si>
  <si>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</si>
  <si>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</si>
  <si>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</si>
  <si>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</si>
  <si>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</si>
  <si>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</si>
  <si>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</si>
  <si>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</si>
  <si>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</si>
  <si>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</si>
  <si>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</si>
  <si>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</si>
  <si>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</si>
  <si>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</si>
  <si>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</si>
  <si>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</si>
  <si>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</si>
  <si>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</si>
  <si>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</si>
  <si>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</si>
  <si>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</si>
  <si>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</si>
  <si>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</si>
  <si>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</si>
  <si>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</si>
  <si>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</si>
  <si>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</si>
  <si>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</si>
  <si>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</si>
  <si>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</si>
  <si>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</si>
  <si>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KNOX, PEORIA, AND STARK</t>
  </si>
  <si>
    <t>325 WEST KENTUCKY</t>
  </si>
  <si>
    <t>WILLIAMSFIELD, ILLINOIS</t>
  </si>
  <si>
    <t>tim.farquer@billtown.org</t>
  </si>
  <si>
    <t>TIM FARQUER</t>
  </si>
  <si>
    <t>t</t>
  </si>
  <si>
    <t>309-639-2618</t>
  </si>
  <si>
    <t>x</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</si>
  <si>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</si>
  <si>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</si>
  <si>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</si>
  <si>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</si>
  <si>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</si>
  <si>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</si>
  <si>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</si>
  <si>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</si>
  <si>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</si>
  <si>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</si>
  <si>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</si>
  <si>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</si>
  <si>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</si>
  <si>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2015 Alternate Revenue Bonds</t>
  </si>
  <si>
    <t>Transportation Lease</t>
  </si>
  <si>
    <t>2017 Alternate Revenue Bonds</t>
  </si>
  <si>
    <t>Alternate Revenue Bonds</t>
  </si>
  <si>
    <t>Capital Lease</t>
  </si>
  <si>
    <t>QUESTION 23- THE DISTRICT USES CASH BASIS OF ACCOUNTING.</t>
  </si>
  <si>
    <t>BLUCKER, KNEER &amp; ASSOCIATES. LTD</t>
  </si>
  <si>
    <t>KNOX-WARREN SPECIAL EDUCATION COOPERATIVE</t>
  </si>
  <si>
    <t>DELABAR/CARL SANBURG COLLEGE</t>
  </si>
  <si>
    <t>MID-COUNTY ATHLETIC COOP-GALVA/ROWVA &amp; R-W COOP - ROWVA</t>
  </si>
  <si>
    <t>Duties of the school district personnel are to be segregated to reduce the risk of error or fraud so that no one individual controls all key aspects of a transaction.  By doing this, the district ensures reliable financial reporting, effetive, and efficient operations, and compliance with applicable laws and regulations.</t>
  </si>
  <si>
    <t>A single individual controls ost of the accounting functions including those related to cash transactions, payroll, and general ledger.  This results in a lack of segregation of duties.</t>
  </si>
  <si>
    <t>The above condition is an on going issue for the school district.</t>
  </si>
  <si>
    <t>Transactions could be altered by District personnel in error or in an effort to commit fraud.</t>
  </si>
  <si>
    <t>The number of personnel performing accounting functions limit the ability of the district to have adequate segregation of duties over accounting transactions.</t>
  </si>
  <si>
    <t>This type of weakness is common among school districts of this size and number of employees.  The findings could be eliminated by hiring additional staff and separating accounting duties.  However, this is not practical under current budget constraints.</t>
  </si>
  <si>
    <t xml:space="preserve">Due to the size of the district, the proposed corrective actions are not deemed practical.  </t>
  </si>
  <si>
    <t>Financial Statements are the responsibility of the client and should be prepared by them including footnotes.</t>
  </si>
  <si>
    <t>The District does not have an internal control system available or the personnel with the needed expertise and knowledge to prepare the finanacial statements.  The auditors draft the financial statements and notes.  The District's management review the draft financial statments.</t>
  </si>
  <si>
    <t>Management or employees in the normal course of performing their assigned functions may not prevent or detect financial statements mistatements in a timely manner.</t>
  </si>
  <si>
    <t>The District has no one with the necessary expertise to prepare the financial statements and footnotes.</t>
  </si>
  <si>
    <t>The District should retain an employee capable of preparing the Fiancial Statements and required footnotes.</t>
  </si>
  <si>
    <t>Due to the size of the district,  it is the decision of management to accept this deficiency in light of the costs and other consderations.</t>
  </si>
  <si>
    <t>Per Illinois Compiled statutes, total fund expenditures may not legally exceed the District's budgeted amounts.</t>
  </si>
  <si>
    <t xml:space="preserve">For the year ending June 30, 2019, actual expenditures for the Education, Operation and Maintenance, Debt Service, Transporation, and Capital Projects Funds exceeded the budget. </t>
  </si>
  <si>
    <t>The approved budget establishes the authorized expendtures limitations in each fund.</t>
  </si>
  <si>
    <t>Actual expenditures exceeded the budget in several funds.</t>
  </si>
  <si>
    <t>The District did amend the budget, however actual expenditures still exceeded the budgeted amounts.</t>
  </si>
  <si>
    <t>The board had a plan regarding the use of excess fund balances however, not enough was budgeted to cover the actual expenditures that were used.</t>
  </si>
  <si>
    <t>The District will implement a better monitoring system between the budget and actual expenditures to ensure more oversight.</t>
  </si>
  <si>
    <t>2018-001</t>
  </si>
  <si>
    <t>Lack of Segregation of Duties</t>
  </si>
  <si>
    <t>Repeat Finding - Corrective Action is not practical</t>
  </si>
  <si>
    <t>under current financial eniviroment</t>
  </si>
  <si>
    <t>2018-002</t>
  </si>
  <si>
    <t>Financial Statements and Footnote Preparation</t>
  </si>
  <si>
    <t>to hire additional staff.</t>
  </si>
  <si>
    <t>2018-003</t>
  </si>
  <si>
    <t>Expenditures in excess of Budget Amounts</t>
  </si>
  <si>
    <t>Repeat Finding - Corrective Action is to be better</t>
  </si>
  <si>
    <t>implemented.</t>
  </si>
  <si>
    <t>Education</t>
  </si>
  <si>
    <t xml:space="preserve"> #1999 - $50 - Other Miscellaneous Receipts</t>
  </si>
  <si>
    <t>Operation and Maintenance</t>
  </si>
  <si>
    <t xml:space="preserve"> #1999 - $99 - Other Miscellaneous Receipts</t>
  </si>
  <si>
    <t xml:space="preserve"> #1999 - $12,000 - Proceeds from sale of two Buses</t>
  </si>
  <si>
    <t>#3999 - $750 - State Library Grant</t>
  </si>
  <si>
    <t>#4999 - $ 24,907 - REAP Grant Receipts</t>
  </si>
  <si>
    <t xml:space="preserve">#2190 - Technolodgy Costs - #100 - $60,155, #200 - 6,216, #300 - 2,026, #400- Tech. Supplies - 16455 and Graduation Supplies - 412 </t>
  </si>
  <si>
    <t>and #500 - 18585</t>
  </si>
  <si>
    <t xml:space="preserve"> #5400 - $1000 - Bond Agent Fees</t>
  </si>
  <si>
    <t xml:space="preserve"> #2190 - $11,243 - Benefits for Technology Salaries.</t>
  </si>
  <si>
    <t>309-639-2219</t>
  </si>
  <si>
    <t>Building- Op &amp; Maint.</t>
  </si>
  <si>
    <t>Lehr Custom AV System</t>
  </si>
  <si>
    <t>20-2540-300</t>
  </si>
  <si>
    <t>District officials did not comply will State Statutes.</t>
  </si>
  <si>
    <t>District is not in compliance with the Illinois Government Ethics Act.</t>
  </si>
  <si>
    <t xml:space="preserve">Per Illinois Compiled statutes, school board members, and administrators must file an economic interest statements with the county clerk. </t>
  </si>
  <si>
    <t>Two School Board members did not return the required economic interest statements.</t>
  </si>
  <si>
    <t xml:space="preserve">A policy should be established where the administration follows up and ensures that the  Economic Interest Statements have been submitted to the county clerk's office. </t>
  </si>
  <si>
    <t>The District will implement a better monitoring system to ensure all the required economic interest statements have been submitted.</t>
  </si>
  <si>
    <t xml:space="preserve">For the year ending June 30, 2019, three school board members did not return the required economic interest statements with the Knox County Clerks office. </t>
  </si>
  <si>
    <t>Williamsfield CUSD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</si>
</sst>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56" fillId="0" borderId="78" xfId="0"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123825</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14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123825</xdr:rowOff>
        </xdr:to>
        <xdr:sp macro="" textlink="">
          <xdr:nvSpPr>
            <xdr:cNvPr id="38914" name="Object 2" hidden="1">
              <a:extLst>
                <a:ext uri="{63B3BB69-23CF-44E3-9099-C40C66FF867C}">
                  <a14:compatExt spid="_x0000_s38914"/>
                </a:ext>
                <a:ext uri="{FF2B5EF4-FFF2-40B4-BE49-F238E27FC236}">
                  <a16:creationId xmlns:a16="http://schemas.microsoft.com/office/drawing/2014/main" id="{00000000-0008-0000-1400-000002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E5D4CC07-00A0-4D31-857F-D2B1CE0FDF5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CE91EA96-A121-494D-BF0B-7122C60B364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5142DF98-82A9-46A8-A406-7AF37E593B5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50C4982-4474-42A4-A5F8-38AAEF958947}"/>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8D194A54-90E7-414D-BF66-763BF44C3A77}"/>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7A07C148-262F-49D1-9ABB-27AFB537AC81}"/>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1" t="s">
        <v>405</v>
      </c>
      <c r="J1" s="2022"/>
      <c r="K1" s="2022"/>
      <c r="L1" s="2022"/>
      <c r="M1" s="2022"/>
      <c r="N1" s="2022"/>
      <c r="O1" s="2022"/>
      <c r="P1" s="2022"/>
      <c r="Q1" s="2022"/>
      <c r="R1" s="2022"/>
      <c r="S1" s="2022"/>
    </row>
    <row r="2" spans="1:28" ht="12" customHeight="1" x14ac:dyDescent="0.2">
      <c r="A2" s="47" t="s">
        <v>1991</v>
      </c>
      <c r="D2" s="48"/>
      <c r="I2" s="2023" t="s">
        <v>979</v>
      </c>
      <c r="J2" s="2022"/>
      <c r="K2" s="2022"/>
      <c r="L2" s="2022"/>
      <c r="M2" s="2022"/>
      <c r="N2" s="2022"/>
      <c r="O2" s="2022"/>
      <c r="P2" s="2022"/>
      <c r="Q2" s="2022"/>
      <c r="R2" s="2022"/>
      <c r="S2" s="2022"/>
    </row>
    <row r="3" spans="1:28" ht="12" customHeight="1" x14ac:dyDescent="0.2">
      <c r="A3" s="155" t="s">
        <v>1943</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t="s">
        <v>2065</v>
      </c>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2065</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33048210026</v>
      </c>
      <c r="B13" s="1992"/>
      <c r="C13" s="1992"/>
      <c r="D13" s="1992"/>
      <c r="E13" s="1992"/>
      <c r="F13" s="1992"/>
      <c r="G13" s="1992"/>
      <c r="H13" s="1993"/>
      <c r="I13" s="31"/>
      <c r="J13" s="30"/>
      <c r="K13" s="28"/>
      <c r="L13" s="30"/>
      <c r="M13" s="30"/>
      <c r="N13" s="30"/>
      <c r="O13" s="30"/>
      <c r="P13" s="30"/>
      <c r="Q13" s="30"/>
      <c r="R13" s="30"/>
      <c r="S13" s="30"/>
      <c r="T13" s="1996" t="s">
        <v>2074</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2066</v>
      </c>
      <c r="B15" s="1994"/>
      <c r="C15" s="1994"/>
      <c r="D15" s="1994"/>
      <c r="E15" s="1994"/>
      <c r="F15" s="1994"/>
      <c r="G15" s="1994"/>
      <c r="H15" s="1995"/>
      <c r="T15" s="1957" t="s">
        <v>2075</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2150</v>
      </c>
      <c r="B17" s="2019"/>
      <c r="C17" s="2019"/>
      <c r="D17" s="2019"/>
      <c r="E17" s="2019"/>
      <c r="F17" s="2019"/>
      <c r="G17" s="2019"/>
      <c r="H17" s="2020"/>
      <c r="T17" s="2006" t="s">
        <v>2076</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2067</v>
      </c>
      <c r="B19" s="1990"/>
      <c r="C19" s="1990"/>
      <c r="D19" s="1990"/>
      <c r="E19" s="1990"/>
      <c r="F19" s="1990"/>
      <c r="G19" s="1990"/>
      <c r="H19" s="1988"/>
      <c r="I19" s="30"/>
      <c r="J19" s="99"/>
      <c r="K19" s="40"/>
      <c r="L19" s="38"/>
      <c r="M19" s="112" t="s">
        <v>315</v>
      </c>
      <c r="P19" s="27"/>
      <c r="Q19" s="27"/>
      <c r="R19" s="27"/>
      <c r="S19" s="31"/>
      <c r="T19" s="1989" t="s">
        <v>2077</v>
      </c>
      <c r="U19" s="1987"/>
      <c r="V19" s="1987"/>
      <c r="W19" s="1988"/>
      <c r="X19" s="2004" t="s">
        <v>2078</v>
      </c>
      <c r="Y19" s="2005"/>
      <c r="Z19" s="2002">
        <v>61401</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2068</v>
      </c>
      <c r="B21" s="1987"/>
      <c r="C21" s="1987"/>
      <c r="D21" s="1987"/>
      <c r="E21" s="1987"/>
      <c r="F21" s="1987"/>
      <c r="G21" s="1987"/>
      <c r="H21" s="1988"/>
      <c r="I21" s="2012" t="s">
        <v>678</v>
      </c>
      <c r="J21" s="1975"/>
      <c r="K21" s="1975"/>
      <c r="L21" s="1975"/>
      <c r="M21" s="1975"/>
      <c r="N21" s="1975"/>
      <c r="O21" s="1975"/>
      <c r="P21" s="1975"/>
      <c r="Q21" s="1975"/>
      <c r="R21" s="1975"/>
      <c r="S21" s="1976"/>
      <c r="T21" s="1954" t="s">
        <v>2079</v>
      </c>
      <c r="U21" s="1955"/>
      <c r="V21" s="1955"/>
      <c r="W21" s="1955"/>
      <c r="X21" s="1968" t="s">
        <v>2080</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t="s">
        <v>2069</v>
      </c>
      <c r="B23" s="2010"/>
      <c r="C23" s="2010"/>
      <c r="D23" s="2010"/>
      <c r="E23" s="2010"/>
      <c r="F23" s="2010"/>
      <c r="G23" s="2010"/>
      <c r="H23" s="2011"/>
      <c r="T23" s="1949" t="s">
        <v>2081</v>
      </c>
      <c r="U23" s="1950"/>
      <c r="V23" s="1950"/>
      <c r="W23" s="1950"/>
      <c r="X23" s="1965">
        <v>44469</v>
      </c>
      <c r="Y23" s="1966"/>
      <c r="Z23" s="1966"/>
      <c r="AA23" s="1967"/>
    </row>
    <row r="24" spans="1:27" ht="14.1" customHeight="1" x14ac:dyDescent="0.2">
      <c r="A24" s="88" t="s">
        <v>677</v>
      </c>
      <c r="B24" s="49"/>
      <c r="C24" s="49"/>
      <c r="D24" s="49"/>
      <c r="E24" s="49"/>
      <c r="F24" s="49"/>
      <c r="G24" s="49"/>
      <c r="H24" s="61"/>
      <c r="J24" s="2051" t="str">
        <f>IF(B5="x",IF(AUDITCHECK!D29="AFR form Incomplete.","",IF(AUDITCHECK!D29="Deficit reduction plan is required.","School District must complete a deficit reduction plan in the 2019-2020 Budget",)),"")</f>
        <v>School District must complete a deficit reduction plan in the 2019-2020 Budget</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v>61489</v>
      </c>
      <c r="B25" s="1987"/>
      <c r="C25" s="1987"/>
      <c r="D25" s="1987"/>
      <c r="E25" s="1987"/>
      <c r="F25" s="1987"/>
      <c r="G25" s="1987"/>
      <c r="H25" s="1988"/>
      <c r="I25" s="113"/>
      <c r="J25" s="2053"/>
      <c r="K25" s="2053"/>
      <c r="L25" s="2053"/>
      <c r="M25" s="2053"/>
      <c r="N25" s="2053"/>
      <c r="O25" s="2053"/>
      <c r="P25" s="2053"/>
      <c r="Q25" s="2053"/>
      <c r="R25" s="2053"/>
      <c r="S25" s="2054"/>
      <c r="T25" s="1946" t="s">
        <v>2082</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t="s">
        <v>2070</v>
      </c>
      <c r="B38" s="2019"/>
      <c r="C38" s="2019"/>
      <c r="D38" s="2019"/>
      <c r="E38" s="2019"/>
      <c r="F38" s="1987"/>
      <c r="G38" s="1987"/>
      <c r="H38" s="1988"/>
      <c r="I38" s="2038"/>
      <c r="J38" s="1958"/>
      <c r="K38" s="1958"/>
      <c r="L38" s="1958"/>
      <c r="M38" s="1958"/>
      <c r="N38" s="1958"/>
      <c r="O38" s="1958"/>
      <c r="P38" s="1959"/>
      <c r="Q38" s="1959"/>
      <c r="R38" s="1959"/>
      <c r="S38" s="1960"/>
      <c r="T38" s="1957" t="s">
        <v>2083</v>
      </c>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t="s">
        <v>2069</v>
      </c>
      <c r="B40" s="2046"/>
      <c r="C40" s="2047"/>
      <c r="D40" s="2047"/>
      <c r="E40" s="2047"/>
      <c r="F40" s="2048"/>
      <c r="G40" s="2048"/>
      <c r="H40" s="2049"/>
      <c r="I40" s="1961" t="s">
        <v>2071</v>
      </c>
      <c r="J40" s="1963"/>
      <c r="K40" s="1963"/>
      <c r="L40" s="1963"/>
      <c r="M40" s="1963"/>
      <c r="N40" s="1963"/>
      <c r="O40" s="1963"/>
      <c r="P40" s="1963"/>
      <c r="Q40" s="1963"/>
      <c r="R40" s="1963"/>
      <c r="S40" s="1964"/>
      <c r="T40" s="1961" t="s">
        <v>2084</v>
      </c>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t="s">
        <v>2139</v>
      </c>
      <c r="B42" s="2036"/>
      <c r="C42" s="2037"/>
      <c r="D42" s="2050" t="s">
        <v>2072</v>
      </c>
      <c r="E42" s="2036"/>
      <c r="F42" s="2036"/>
      <c r="G42" s="2036"/>
      <c r="H42" s="2037"/>
      <c r="I42" s="1956"/>
      <c r="J42" s="1952"/>
      <c r="K42" s="1952"/>
      <c r="L42" s="1952"/>
      <c r="M42" s="1952"/>
      <c r="N42" s="1952"/>
      <c r="O42" s="1953"/>
      <c r="P42" s="1951"/>
      <c r="Q42" s="1952"/>
      <c r="R42" s="1952"/>
      <c r="S42" s="1953"/>
      <c r="T42" s="1956" t="s">
        <v>2085</v>
      </c>
      <c r="U42" s="1952"/>
      <c r="V42" s="1952"/>
      <c r="W42" s="1953"/>
      <c r="X42" s="1951" t="s">
        <v>2086</v>
      </c>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A8" sqref="A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1949</v>
      </c>
      <c r="C2" s="714" t="s">
        <v>1950</v>
      </c>
      <c r="D2" s="714" t="s">
        <v>1951</v>
      </c>
      <c r="E2" s="714" t="s">
        <v>1952</v>
      </c>
      <c r="F2" s="714" t="s">
        <v>1953</v>
      </c>
    </row>
    <row r="3" spans="1:6" ht="12" customHeight="1" x14ac:dyDescent="0.2">
      <c r="A3" s="2189"/>
      <c r="B3" s="1525"/>
      <c r="C3" s="1526"/>
      <c r="D3" s="1527" t="s">
        <v>256</v>
      </c>
      <c r="E3" s="1526"/>
      <c r="F3" s="1527" t="s">
        <v>257</v>
      </c>
    </row>
    <row r="4" spans="1:6" ht="13.7" customHeight="1" x14ac:dyDescent="0.2">
      <c r="A4" s="715" t="s">
        <v>1155</v>
      </c>
      <c r="B4" s="1749">
        <f>'Revenues 9-14'!C5</f>
        <v>1586256</v>
      </c>
      <c r="C4" s="1524">
        <v>391610</v>
      </c>
      <c r="D4" s="1752">
        <f>B4-C4</f>
        <v>1194646</v>
      </c>
      <c r="E4" s="1524">
        <v>2816305</v>
      </c>
      <c r="F4" s="1752">
        <f>E4-C4</f>
        <v>2424695</v>
      </c>
    </row>
    <row r="5" spans="1:6" ht="13.7" customHeight="1" x14ac:dyDescent="0.2">
      <c r="A5" s="715" t="s">
        <v>870</v>
      </c>
      <c r="B5" s="1750">
        <f>'Revenues 9-14'!D5</f>
        <v>216645</v>
      </c>
      <c r="C5" s="585">
        <v>54897</v>
      </c>
      <c r="D5" s="1753">
        <f t="shared" ref="D5:D18" si="0">B5-C5</f>
        <v>161748</v>
      </c>
      <c r="E5" s="585">
        <v>394138</v>
      </c>
      <c r="F5" s="1753">
        <f>E5-C5</f>
        <v>339241</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83088</v>
      </c>
      <c r="C7" s="585">
        <v>20877</v>
      </c>
      <c r="D7" s="1753">
        <f t="shared" si="0"/>
        <v>62211</v>
      </c>
      <c r="E7" s="585">
        <v>150008</v>
      </c>
      <c r="F7" s="1753">
        <f t="shared" si="1"/>
        <v>129131</v>
      </c>
    </row>
    <row r="8" spans="1:6" ht="13.7" customHeight="1" x14ac:dyDescent="0.2">
      <c r="A8" s="715" t="s">
        <v>1179</v>
      </c>
      <c r="B8" s="1750">
        <f>'Revenues 9-14'!G5</f>
        <v>62326</v>
      </c>
      <c r="C8" s="585">
        <v>16702</v>
      </c>
      <c r="D8" s="1753">
        <f t="shared" si="0"/>
        <v>45624</v>
      </c>
      <c r="E8" s="585">
        <v>120008</v>
      </c>
      <c r="F8" s="1753">
        <f t="shared" si="1"/>
        <v>103306</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47082</v>
      </c>
      <c r="C11" s="585">
        <v>11830</v>
      </c>
      <c r="D11" s="1753">
        <f t="shared" si="0"/>
        <v>35252</v>
      </c>
      <c r="E11" s="585">
        <v>85007</v>
      </c>
      <c r="F11" s="1753">
        <f t="shared" si="1"/>
        <v>73177</v>
      </c>
    </row>
    <row r="12" spans="1:6" ht="13.7" customHeight="1" x14ac:dyDescent="0.2">
      <c r="A12" s="715" t="s">
        <v>157</v>
      </c>
      <c r="B12" s="1750">
        <f>'Revenues 9-14'!K5</f>
        <v>6263</v>
      </c>
      <c r="C12" s="585">
        <v>6263</v>
      </c>
      <c r="D12" s="1753">
        <f t="shared" si="0"/>
        <v>0</v>
      </c>
      <c r="E12" s="585">
        <v>45004</v>
      </c>
      <c r="F12" s="1753">
        <f t="shared" si="1"/>
        <v>38741</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19387</v>
      </c>
      <c r="C14" s="585">
        <v>4871</v>
      </c>
      <c r="D14" s="1753">
        <f t="shared" si="0"/>
        <v>14516</v>
      </c>
      <c r="E14" s="585">
        <v>35001</v>
      </c>
      <c r="F14" s="1753">
        <f t="shared" si="1"/>
        <v>30130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60934</v>
      </c>
      <c r="C16" s="585">
        <v>15310</v>
      </c>
      <c r="D16" s="1753">
        <f t="shared" si="0"/>
        <v>45624</v>
      </c>
      <c r="E16" s="585">
        <v>110005</v>
      </c>
      <c r="F16" s="1753">
        <f t="shared" si="1"/>
        <v>94695</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2081981</v>
      </c>
      <c r="C19" s="1751">
        <f>SUM(C4:C18)</f>
        <v>522360</v>
      </c>
      <c r="D19" s="1751">
        <f>SUM(D4:D18)</f>
        <v>1559621</v>
      </c>
      <c r="E19" s="1751">
        <f>SUM(E4:E18)</f>
        <v>3755476</v>
      </c>
      <c r="F19" s="1751">
        <f>SUM(F4:F18)</f>
        <v>3233116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2" colorId="8" zoomScale="110" zoomScaleNormal="110" workbookViewId="0">
      <selection activeCell="J33" sqref="J3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1802</v>
      </c>
      <c r="B2" s="2204"/>
      <c r="C2" s="1884" t="s">
        <v>1954</v>
      </c>
      <c r="D2" s="723" t="s">
        <v>1955</v>
      </c>
      <c r="E2" s="723" t="s">
        <v>1956</v>
      </c>
      <c r="F2" s="1884" t="s">
        <v>1957</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2087</v>
      </c>
      <c r="B31" s="733">
        <v>42125</v>
      </c>
      <c r="C31" s="734">
        <v>415000</v>
      </c>
      <c r="D31" s="735">
        <v>7</v>
      </c>
      <c r="E31" s="734">
        <v>85000</v>
      </c>
      <c r="F31" s="734"/>
      <c r="G31" s="734"/>
      <c r="H31" s="734">
        <v>85000</v>
      </c>
      <c r="I31" s="1756">
        <f>((E31+F31)-H31)+G31</f>
        <v>0</v>
      </c>
      <c r="J31" s="734"/>
      <c r="K31" s="736"/>
    </row>
    <row r="32" spans="1:11" ht="12" customHeight="1" x14ac:dyDescent="0.2">
      <c r="A32" s="732" t="s">
        <v>2089</v>
      </c>
      <c r="B32" s="733">
        <v>42859</v>
      </c>
      <c r="C32" s="734">
        <v>600000</v>
      </c>
      <c r="D32" s="735">
        <v>7</v>
      </c>
      <c r="E32" s="734">
        <v>600000</v>
      </c>
      <c r="F32" s="734"/>
      <c r="G32" s="734"/>
      <c r="H32" s="734">
        <v>10000</v>
      </c>
      <c r="I32" s="1756">
        <f>((E32+F32)-H32)+G32</f>
        <v>590000</v>
      </c>
      <c r="J32" s="734">
        <v>583411</v>
      </c>
      <c r="K32" s="736"/>
    </row>
    <row r="33" spans="1:11" ht="12" customHeight="1" x14ac:dyDescent="0.2">
      <c r="A33" s="732" t="s">
        <v>2088</v>
      </c>
      <c r="B33" s="733">
        <v>42856</v>
      </c>
      <c r="C33" s="734">
        <v>45572</v>
      </c>
      <c r="D33" s="735">
        <v>8</v>
      </c>
      <c r="E33" s="734">
        <v>25697</v>
      </c>
      <c r="F33" s="734"/>
      <c r="G33" s="734">
        <v>-7094</v>
      </c>
      <c r="H33" s="734"/>
      <c r="I33" s="1756">
        <f t="shared" ref="I33:I48" si="1">((E33+F33)-H33)+G33</f>
        <v>18603</v>
      </c>
      <c r="J33" s="734">
        <v>18603</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1060572</v>
      </c>
      <c r="D49" s="745"/>
      <c r="E49" s="1756">
        <f t="shared" ref="E49:J49" si="2">SUM(E31:E48)</f>
        <v>710697</v>
      </c>
      <c r="F49" s="1756">
        <f t="shared" si="2"/>
        <v>0</v>
      </c>
      <c r="G49" s="1756">
        <f t="shared" si="2"/>
        <v>-7094</v>
      </c>
      <c r="H49" s="1756">
        <f t="shared" si="2"/>
        <v>95000</v>
      </c>
      <c r="I49" s="1756">
        <f t="shared" si="2"/>
        <v>608603</v>
      </c>
      <c r="J49" s="1756">
        <f t="shared" si="2"/>
        <v>602014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t="s">
        <v>2090</v>
      </c>
      <c r="G52" s="2212"/>
      <c r="H52" s="736"/>
      <c r="I52" s="736"/>
      <c r="J52" s="746"/>
    </row>
    <row r="53" spans="1:11" ht="11.25" customHeight="1" x14ac:dyDescent="0.2">
      <c r="A53" s="750" t="s">
        <v>913</v>
      </c>
      <c r="B53" s="751" t="s">
        <v>951</v>
      </c>
      <c r="C53" s="746"/>
      <c r="D53" s="737"/>
      <c r="E53" s="749" t="s">
        <v>497</v>
      </c>
      <c r="F53" s="2213" t="s">
        <v>2091</v>
      </c>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26" sqref="H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1812</v>
      </c>
      <c r="K2" s="762" t="s">
        <v>138</v>
      </c>
    </row>
    <row r="3" spans="1:11" x14ac:dyDescent="0.2">
      <c r="A3" s="2225" t="s">
        <v>1962</v>
      </c>
      <c r="B3" s="2226"/>
      <c r="C3" s="2226"/>
      <c r="D3" s="2226"/>
      <c r="E3" s="2227"/>
      <c r="F3" s="763"/>
      <c r="G3" s="764"/>
      <c r="H3" s="764"/>
      <c r="I3" s="764"/>
      <c r="J3" s="765"/>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v>19387</v>
      </c>
      <c r="I5" s="772"/>
      <c r="J5" s="773"/>
      <c r="K5" s="773"/>
    </row>
    <row r="6" spans="1:11" x14ac:dyDescent="0.2">
      <c r="A6" s="774" t="s">
        <v>720</v>
      </c>
      <c r="B6" s="775"/>
      <c r="C6" s="775"/>
      <c r="D6" s="775"/>
      <c r="E6" s="776"/>
      <c r="F6" s="777" t="s">
        <v>849</v>
      </c>
      <c r="G6" s="764"/>
      <c r="H6" s="764"/>
      <c r="I6" s="764"/>
      <c r="J6" s="765">
        <v>109</v>
      </c>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v>162586</v>
      </c>
      <c r="K8" s="769"/>
    </row>
    <row r="9" spans="1:11" x14ac:dyDescent="0.2">
      <c r="A9" s="778" t="s">
        <v>138</v>
      </c>
      <c r="B9" s="779"/>
      <c r="C9" s="779"/>
      <c r="D9" s="779"/>
      <c r="E9" s="780"/>
      <c r="F9" s="777" t="s">
        <v>853</v>
      </c>
      <c r="G9" s="782"/>
      <c r="H9" s="771"/>
      <c r="I9" s="771"/>
      <c r="J9" s="781"/>
      <c r="K9" s="765">
        <v>2626</v>
      </c>
    </row>
    <row r="10" spans="1:11" x14ac:dyDescent="0.2">
      <c r="A10" s="2246" t="s">
        <v>1813</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19387</v>
      </c>
      <c r="I12" s="1758">
        <f>SUM(I5:I11)</f>
        <v>0</v>
      </c>
      <c r="J12" s="1758">
        <f>SUM(J5:J11)</f>
        <v>162695</v>
      </c>
      <c r="K12" s="1758">
        <f>SUM(K5:K11)</f>
        <v>2626</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v>220045</v>
      </c>
      <c r="I14" s="771"/>
      <c r="J14" s="773"/>
      <c r="K14" s="765">
        <v>31286</v>
      </c>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v>31688</v>
      </c>
      <c r="K18" s="795"/>
    </row>
    <row r="19" spans="1:11" ht="21.75" customHeight="1" x14ac:dyDescent="0.2">
      <c r="A19" s="2254" t="s">
        <v>1809</v>
      </c>
      <c r="B19" s="2254"/>
      <c r="C19" s="2254"/>
      <c r="D19" s="2254"/>
      <c r="E19" s="2255"/>
      <c r="F19" s="789" t="s">
        <v>933</v>
      </c>
      <c r="G19" s="782"/>
      <c r="H19" s="782"/>
      <c r="I19" s="782"/>
      <c r="J19" s="765">
        <v>115000</v>
      </c>
      <c r="K19" s="795"/>
    </row>
    <row r="20" spans="1:11" x14ac:dyDescent="0.2">
      <c r="A20" s="2233" t="s">
        <v>1814</v>
      </c>
      <c r="B20" s="2234"/>
      <c r="C20" s="2234"/>
      <c r="D20" s="2234"/>
      <c r="E20" s="2235"/>
      <c r="F20" s="789" t="s">
        <v>934</v>
      </c>
      <c r="G20" s="782"/>
      <c r="H20" s="782"/>
      <c r="I20" s="782"/>
      <c r="J20" s="765">
        <v>1000</v>
      </c>
      <c r="K20" s="795"/>
    </row>
    <row r="21" spans="1:11" ht="13.5" thickBot="1" x14ac:dyDescent="0.25">
      <c r="A21" s="2239" t="s">
        <v>638</v>
      </c>
      <c r="B21" s="2239"/>
      <c r="C21" s="2239"/>
      <c r="D21" s="2239"/>
      <c r="E21" s="2239"/>
      <c r="F21" s="1759"/>
      <c r="G21" s="792"/>
      <c r="H21" s="796"/>
      <c r="I21" s="796"/>
      <c r="J21" s="1760">
        <f>SUM(J18:J20)</f>
        <v>147688</v>
      </c>
      <c r="K21" s="793"/>
    </row>
    <row r="22" spans="1:11" ht="13.5" thickTop="1" x14ac:dyDescent="0.2">
      <c r="A22" s="2219" t="s">
        <v>1815</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220045</v>
      </c>
      <c r="I23" s="1758">
        <f>SUM(I14:I16,I21,I22)</f>
        <v>0</v>
      </c>
      <c r="J23" s="1758">
        <f>SUM(J14:J16,J21,J22)</f>
        <v>147688</v>
      </c>
      <c r="K23" s="1758">
        <f>SUM(K14:K16,K21,K22)</f>
        <v>31286</v>
      </c>
    </row>
    <row r="24" spans="1:11" ht="14.25" thickTop="1" thickBot="1" x14ac:dyDescent="0.25">
      <c r="A24" s="2240" t="s">
        <v>1963</v>
      </c>
      <c r="B24" s="2239"/>
      <c r="C24" s="2239"/>
      <c r="D24" s="2239"/>
      <c r="E24" s="2239"/>
      <c r="F24" s="1762"/>
      <c r="G24" s="1763">
        <f>SUM(G3,G12)-G23</f>
        <v>0</v>
      </c>
      <c r="H24" s="1763">
        <f>SUM(H3,H12)-H23</f>
        <v>-200658</v>
      </c>
      <c r="I24" s="1763">
        <f>SUM(I3,I12)-I23</f>
        <v>0</v>
      </c>
      <c r="J24" s="1763">
        <f>SUM(J3,J12)-J23</f>
        <v>15007</v>
      </c>
      <c r="K24" s="1763">
        <f>SUM(K3,K12)-K23</f>
        <v>-28660</v>
      </c>
    </row>
    <row r="25" spans="1:11" ht="13.5" thickTop="1" x14ac:dyDescent="0.2">
      <c r="A25" s="798" t="s">
        <v>420</v>
      </c>
      <c r="B25" s="799"/>
      <c r="C25" s="799"/>
      <c r="D25" s="799"/>
      <c r="E25" s="800"/>
      <c r="F25" s="801">
        <v>714</v>
      </c>
      <c r="G25" s="802"/>
      <c r="H25" s="802">
        <v>-50704</v>
      </c>
      <c r="I25" s="802"/>
      <c r="J25" s="797"/>
      <c r="K25" s="797"/>
    </row>
    <row r="26" spans="1:11" ht="13.5" thickBot="1" x14ac:dyDescent="0.25">
      <c r="A26" s="798" t="s">
        <v>342</v>
      </c>
      <c r="B26" s="799"/>
      <c r="C26" s="799"/>
      <c r="D26" s="799"/>
      <c r="E26" s="800"/>
      <c r="F26" s="801">
        <v>730</v>
      </c>
      <c r="G26" s="1758">
        <f>G24-G25</f>
        <v>0</v>
      </c>
      <c r="H26" s="1758">
        <f>H24-H25</f>
        <v>-149954</v>
      </c>
      <c r="I26" s="1758">
        <f>I24-I25</f>
        <v>0</v>
      </c>
      <c r="J26" s="1758">
        <f>J24-J25</f>
        <v>15007</v>
      </c>
      <c r="K26" s="1758">
        <f>K24-K25</f>
        <v>-28660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14" sqref="L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1908</v>
      </c>
      <c r="B1" s="2259"/>
      <c r="C1" s="2260"/>
      <c r="D1" s="826"/>
      <c r="E1" s="827"/>
      <c r="F1" s="827"/>
      <c r="G1" s="828"/>
      <c r="H1" s="829"/>
      <c r="I1" s="830"/>
      <c r="J1" s="2256"/>
      <c r="K1" s="2257"/>
      <c r="L1" s="2257"/>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22782</v>
      </c>
      <c r="D5" s="841"/>
      <c r="E5" s="841"/>
      <c r="F5" s="1760">
        <f>(C5+D5)-E5</f>
        <v>22782</v>
      </c>
      <c r="G5" s="837"/>
      <c r="H5" s="842"/>
      <c r="I5" s="842"/>
      <c r="J5" s="842"/>
      <c r="K5" s="793"/>
      <c r="L5" s="1769">
        <f>F5-K5</f>
        <v>22782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4133502</v>
      </c>
      <c r="D8" s="844">
        <v>15970</v>
      </c>
      <c r="E8" s="844"/>
      <c r="F8" s="1760">
        <f>(C8+D8)-E8</f>
        <v>4149472</v>
      </c>
      <c r="G8" s="843">
        <v>50</v>
      </c>
      <c r="H8" s="765">
        <v>2390665</v>
      </c>
      <c r="I8" s="765">
        <v>82344</v>
      </c>
      <c r="J8" s="765"/>
      <c r="K8" s="1769">
        <f>(H8+I8)-J8</f>
        <v>2473009</v>
      </c>
      <c r="L8" s="1769">
        <f>F8-K8</f>
        <v>1676463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288916</v>
      </c>
      <c r="D12" s="844">
        <v>21939</v>
      </c>
      <c r="E12" s="844"/>
      <c r="F12" s="1760">
        <f>(C12+D12)-E12</f>
        <v>310855</v>
      </c>
      <c r="G12" s="843">
        <v>10</v>
      </c>
      <c r="H12" s="765">
        <v>270268</v>
      </c>
      <c r="I12" s="765">
        <v>7366</v>
      </c>
      <c r="J12" s="765"/>
      <c r="K12" s="1769">
        <f>(H12+I12)-J12</f>
        <v>277634</v>
      </c>
      <c r="L12" s="1769">
        <f>F12-K12</f>
        <v>33221</v>
      </c>
    </row>
    <row r="13" spans="1:14" ht="14.25" thickTop="1" thickBot="1" x14ac:dyDescent="0.25">
      <c r="A13" s="848" t="s">
        <v>1122</v>
      </c>
      <c r="B13" s="840">
        <v>252</v>
      </c>
      <c r="C13" s="844">
        <v>819803</v>
      </c>
      <c r="D13" s="844">
        <v>138065</v>
      </c>
      <c r="E13" s="844">
        <v>127471</v>
      </c>
      <c r="F13" s="1760">
        <f>(C13+D13)-E13</f>
        <v>830397</v>
      </c>
      <c r="G13" s="843">
        <v>5</v>
      </c>
      <c r="H13" s="765">
        <v>681642</v>
      </c>
      <c r="I13" s="765">
        <v>66999</v>
      </c>
      <c r="J13" s="765">
        <v>127471</v>
      </c>
      <c r="K13" s="1769">
        <f>(H13+I13)-J13</f>
        <v>621170</v>
      </c>
      <c r="L13" s="1769">
        <f>F13-K13</f>
        <v>209227</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443734</v>
      </c>
      <c r="E15" s="844"/>
      <c r="F15" s="1760">
        <f>(C15+D15)-E15</f>
        <v>443734</v>
      </c>
      <c r="G15" s="849" t="s">
        <v>862</v>
      </c>
      <c r="H15" s="781"/>
      <c r="I15" s="781"/>
      <c r="J15" s="781"/>
      <c r="K15" s="781"/>
      <c r="L15" s="1769">
        <f>F15-K15</f>
        <v>443734</v>
      </c>
    </row>
    <row r="16" spans="1:14" ht="15" customHeight="1" thickTop="1" thickBot="1" x14ac:dyDescent="0.25">
      <c r="A16" s="1765" t="s">
        <v>643</v>
      </c>
      <c r="B16" s="1766">
        <v>200</v>
      </c>
      <c r="C16" s="1760">
        <f>SUM(C3,C5:C6,C8:C10,C12:C15)</f>
        <v>5265003</v>
      </c>
      <c r="D16" s="1760">
        <f>SUM(D3,D5:D6,D8:D10,D12:D15)</f>
        <v>619708</v>
      </c>
      <c r="E16" s="1760">
        <f>SUM(E3,E5:E6,E8:E10,E12:E15)</f>
        <v>127471</v>
      </c>
      <c r="F16" s="1760">
        <f>SUM(F3,F5:F6,F8:F10,F12:F15)</f>
        <v>5757240</v>
      </c>
      <c r="G16" s="843"/>
      <c r="H16" s="1760">
        <f>SUM(H3,H6,H8:H10,H12:H14,)</f>
        <v>3342575</v>
      </c>
      <c r="I16" s="1760">
        <f>SUM(I3,I6,I8:I10,I12:I14,)</f>
        <v>156709</v>
      </c>
      <c r="J16" s="1760">
        <f>SUM(J3,J6,J8:J10,J12:J14,)</f>
        <v>127471</v>
      </c>
      <c r="K16" s="1760">
        <f>(H16+I16)-J16</f>
        <v>3371813</v>
      </c>
      <c r="L16" s="1760">
        <f>F16-K16</f>
        <v>2385427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156709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63" activePane="bottomLeft" state="frozen"/>
      <selection activeCell="F79" sqref="F79"/>
      <selection pane="bottomLeft" activeCell="A188" sqref="A188"/>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1973</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3433207</v>
      </c>
      <c r="G8" s="865"/>
    </row>
    <row r="9" spans="1:7" x14ac:dyDescent="0.2">
      <c r="A9" s="869" t="s">
        <v>460</v>
      </c>
      <c r="B9" s="870" t="s">
        <v>1876</v>
      </c>
      <c r="C9" s="871"/>
      <c r="D9" s="869" t="s">
        <v>501</v>
      </c>
      <c r="E9" s="868"/>
      <c r="F9" s="1909">
        <f>'Expenditures 15-22'!K151</f>
        <v>1013990</v>
      </c>
      <c r="G9" s="872"/>
    </row>
    <row r="10" spans="1:7" x14ac:dyDescent="0.2">
      <c r="A10" s="869" t="s">
        <v>499</v>
      </c>
      <c r="B10" s="870" t="s">
        <v>1877</v>
      </c>
      <c r="C10" s="871"/>
      <c r="D10" s="869" t="s">
        <v>501</v>
      </c>
      <c r="E10" s="868"/>
      <c r="F10" s="1909">
        <f>'Expenditures 15-22'!K174</f>
        <v>121637</v>
      </c>
      <c r="G10" s="872"/>
    </row>
    <row r="11" spans="1:7" x14ac:dyDescent="0.2">
      <c r="A11" s="869" t="s">
        <v>461</v>
      </c>
      <c r="B11" s="870" t="s">
        <v>1878</v>
      </c>
      <c r="C11" s="871"/>
      <c r="D11" s="869" t="s">
        <v>501</v>
      </c>
      <c r="E11" s="868"/>
      <c r="F11" s="1909">
        <f>'Expenditures 15-22'!K210</f>
        <v>422776</v>
      </c>
      <c r="G11" s="872"/>
    </row>
    <row r="12" spans="1:7" x14ac:dyDescent="0.2">
      <c r="A12" s="869" t="s">
        <v>462</v>
      </c>
      <c r="B12" s="870" t="s">
        <v>1879</v>
      </c>
      <c r="C12" s="871"/>
      <c r="D12" s="869" t="s">
        <v>501</v>
      </c>
      <c r="E12" s="868"/>
      <c r="F12" s="1909">
        <f>'Expenditures 15-22'!K295</f>
        <v>184362</v>
      </c>
      <c r="G12" s="872"/>
    </row>
    <row r="13" spans="1:7" x14ac:dyDescent="0.2">
      <c r="A13" s="869" t="s">
        <v>106</v>
      </c>
      <c r="B13" s="870" t="s">
        <v>1880</v>
      </c>
      <c r="C13" s="871"/>
      <c r="D13" s="869" t="s">
        <v>501</v>
      </c>
      <c r="E13" s="868"/>
      <c r="F13" s="1909">
        <f>'Expenditures 15-22'!K342</f>
        <v>67101</v>
      </c>
      <c r="G13" s="873"/>
    </row>
    <row r="14" spans="1:7" ht="12" customHeight="1" thickBot="1" x14ac:dyDescent="0.25">
      <c r="A14" s="1770"/>
      <c r="B14" s="1771"/>
      <c r="C14" s="1772"/>
      <c r="D14" s="1773" t="s">
        <v>501</v>
      </c>
      <c r="E14" s="1774" t="s">
        <v>958</v>
      </c>
      <c r="F14" s="1775">
        <f>SUM(F8:F13)</f>
        <v>5243073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116492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84562</v>
      </c>
      <c r="G53" s="865"/>
    </row>
    <row r="54" spans="1:7" x14ac:dyDescent="0.2">
      <c r="A54" s="869" t="s">
        <v>459</v>
      </c>
      <c r="B54" s="869" t="s">
        <v>1476</v>
      </c>
      <c r="C54" s="889" t="s">
        <v>982</v>
      </c>
      <c r="D54" s="885" t="s">
        <v>1095</v>
      </c>
      <c r="E54" s="868"/>
      <c r="F54" s="1913">
        <f>'Expenditures 15-22'!G114</f>
        <v>68708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481643</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95000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148002</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5207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999614</v>
      </c>
      <c r="G76" s="865"/>
    </row>
    <row r="77" spans="1:8" s="893" customFormat="1" ht="12" customHeight="1" thickTop="1" thickBot="1" x14ac:dyDescent="0.25">
      <c r="A77" s="1779"/>
      <c r="B77" s="1776"/>
      <c r="C77" s="1772"/>
      <c r="D77" s="1777" t="s">
        <v>1899</v>
      </c>
      <c r="E77" s="1774"/>
      <c r="F77" s="1780">
        <f>(F14-F76)</f>
        <v>4243459</v>
      </c>
      <c r="G77" s="869"/>
    </row>
    <row r="78" spans="1:8" s="893" customFormat="1" ht="12" customHeight="1" thickTop="1" x14ac:dyDescent="0.2">
      <c r="A78" s="1781"/>
      <c r="B78" s="1776"/>
      <c r="C78" s="1772"/>
      <c r="D78" s="1777" t="s">
        <v>2060</v>
      </c>
      <c r="E78" s="1774"/>
      <c r="F78" s="898">
        <v>260.58999999999997</v>
      </c>
      <c r="G78" s="899"/>
      <c r="H78" s="869"/>
    </row>
    <row r="79" spans="1:8" s="893" customFormat="1" ht="12" customHeight="1" thickBot="1" x14ac:dyDescent="0.25">
      <c r="A79" s="1782"/>
      <c r="B79" s="1776"/>
      <c r="C79" s="1772"/>
      <c r="D79" s="1777" t="s">
        <v>1900</v>
      </c>
      <c r="E79" s="1774" t="s">
        <v>958</v>
      </c>
      <c r="F79" s="1783">
        <f>IF(F78&gt;0,F77/F78," Complete Line 78")</f>
        <v>16284.043900379909</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86641</v>
      </c>
      <c r="G94" s="912"/>
    </row>
    <row r="95" spans="1:7" x14ac:dyDescent="0.2">
      <c r="A95" s="908" t="s">
        <v>140</v>
      </c>
      <c r="B95" s="908" t="s">
        <v>175</v>
      </c>
      <c r="C95" s="910">
        <v>1700</v>
      </c>
      <c r="D95" s="918" t="str">
        <f>'Revenues 9-14'!A82</f>
        <v>Total District/School Activity Income</v>
      </c>
      <c r="E95" s="906"/>
      <c r="F95" s="1789">
        <f>SUM('Revenues 9-14'!C82,'Revenues 9-14'!D82)</f>
        <v>14253</v>
      </c>
      <c r="G95" s="912"/>
    </row>
    <row r="96" spans="1:7" x14ac:dyDescent="0.2">
      <c r="A96" s="908" t="s">
        <v>459</v>
      </c>
      <c r="B96" s="908" t="s">
        <v>176</v>
      </c>
      <c r="C96" s="910">
        <f>'Revenues 9-14'!B84</f>
        <v>1811</v>
      </c>
      <c r="D96" s="911" t="str">
        <f>'Revenues 9-14'!A84</f>
        <v>Rentals - Regular Textbooks</v>
      </c>
      <c r="E96" s="906"/>
      <c r="F96" s="1789">
        <f>'Revenues 9-14'!C84</f>
        <v>5753</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26719</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900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2626</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115633</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55565</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30773</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4679</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24907</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379199</v>
      </c>
    </row>
    <row r="175" spans="1:7" ht="12" customHeight="1" x14ac:dyDescent="0.2">
      <c r="A175" s="1770"/>
      <c r="B175" s="1784"/>
      <c r="C175" s="1785"/>
      <c r="D175" s="1786" t="s">
        <v>2055</v>
      </c>
      <c r="E175" s="1787"/>
      <c r="F175" s="1789">
        <f>'PCTC-OEPP 27-28'!F77-F174</f>
        <v>3864260</v>
      </c>
    </row>
    <row r="176" spans="1:7" ht="12" customHeight="1" x14ac:dyDescent="0.2">
      <c r="A176" s="1770"/>
      <c r="B176" s="1784"/>
      <c r="C176" s="1785"/>
      <c r="D176" s="1786" t="s">
        <v>1817</v>
      </c>
      <c r="E176" s="1787"/>
      <c r="F176" s="1789">
        <f>'Cap Outlay Deprec 26'!I18</f>
        <v>156709</v>
      </c>
    </row>
    <row r="177" spans="1:7" ht="12" customHeight="1" x14ac:dyDescent="0.2">
      <c r="A177" s="1770"/>
      <c r="B177" s="1784"/>
      <c r="C177" s="1785"/>
      <c r="D177" s="1786" t="s">
        <v>2056</v>
      </c>
      <c r="E177" s="1787"/>
      <c r="F177" s="1789">
        <f>F175+F176</f>
        <v>4020969</v>
      </c>
    </row>
    <row r="178" spans="1:7" ht="12" customHeight="1" x14ac:dyDescent="0.2">
      <c r="A178" s="1770"/>
      <c r="B178" s="1790"/>
      <c r="C178" s="1785"/>
      <c r="D178" s="1786" t="str">
        <f>D78</f>
        <v>9 Month ADA from District Average Daily Attendance/Prior General State Aid Inquiry 2018-2019</v>
      </c>
      <c r="E178" s="1787"/>
      <c r="F178" s="1791">
        <f>'PCTC-OEPP 27-28'!F78</f>
        <v>260.58999999999997</v>
      </c>
      <c r="G178" s="930"/>
    </row>
    <row r="179" spans="1:7" ht="12" customHeight="1" thickBot="1" x14ac:dyDescent="0.25">
      <c r="A179" s="1770"/>
      <c r="B179" s="1790"/>
      <c r="C179" s="1785"/>
      <c r="D179" s="1786" t="s">
        <v>2057</v>
      </c>
      <c r="E179" s="1787" t="s">
        <v>1545</v>
      </c>
      <c r="F179" s="1792">
        <f>F177/F178</f>
        <v>15430.250585210486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election activeCell="F79" sqref="F7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1" t="s">
        <v>1931</v>
      </c>
      <c r="B8" s="2282"/>
      <c r="C8" s="2282"/>
      <c r="D8" s="2282"/>
      <c r="E8" s="2282"/>
      <c r="F8" s="2282"/>
      <c r="G8" s="2283"/>
    </row>
    <row r="9" spans="1:7" ht="15.75" customHeight="1" x14ac:dyDescent="0.25">
      <c r="A9" s="2284" t="s">
        <v>1906</v>
      </c>
      <c r="B9" s="2285"/>
      <c r="C9" s="2285"/>
      <c r="D9" s="2285"/>
      <c r="E9" s="2285"/>
      <c r="F9" s="2285"/>
      <c r="G9" s="2286"/>
    </row>
    <row r="10" spans="1:7" ht="35.25" customHeight="1" x14ac:dyDescent="0.25">
      <c r="A10" s="2281" t="s">
        <v>2063</v>
      </c>
      <c r="B10" s="2282"/>
      <c r="C10" s="2282"/>
      <c r="D10" s="2282"/>
      <c r="E10" s="2282"/>
      <c r="F10" s="2282"/>
      <c r="G10" s="2283"/>
    </row>
    <row r="11" spans="1:7" ht="15" customHeight="1" x14ac:dyDescent="0.25">
      <c r="A11" s="1537" t="s">
        <v>1820</v>
      </c>
      <c r="B11" s="1538"/>
      <c r="C11" s="1538"/>
      <c r="D11" s="1538"/>
      <c r="E11" s="1538"/>
      <c r="F11" s="1538"/>
      <c r="G11" s="1539"/>
    </row>
    <row r="12" spans="1:7" ht="17.25" customHeight="1" x14ac:dyDescent="0.25">
      <c r="A12" s="2281" t="s">
        <v>1933</v>
      </c>
      <c r="B12" s="2282"/>
      <c r="C12" s="2282"/>
      <c r="D12" s="2282"/>
      <c r="E12" s="2282"/>
      <c r="F12" s="2282"/>
      <c r="G12" s="2283"/>
    </row>
    <row r="13" spans="1:7" ht="15" customHeight="1" x14ac:dyDescent="0.25">
      <c r="A13" s="1537" t="s">
        <v>1825</v>
      </c>
      <c r="B13" s="1538"/>
      <c r="C13" s="1538"/>
      <c r="D13" s="1538"/>
      <c r="E13" s="1538"/>
      <c r="F13" s="1538"/>
      <c r="G13" s="1539"/>
    </row>
    <row r="14" spans="1:7" ht="32.25" customHeight="1" x14ac:dyDescent="0.25">
      <c r="A14" s="2272" t="s">
        <v>1974</v>
      </c>
      <c r="B14" s="2273"/>
      <c r="C14" s="2273"/>
      <c r="D14" s="2273"/>
      <c r="E14" s="2273"/>
      <c r="F14" s="2273"/>
      <c r="G14" s="2274"/>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2140</v>
      </c>
      <c r="B18" s="1943" t="s">
        <v>2142</v>
      </c>
      <c r="C18" s="1944" t="s">
        <v>2141</v>
      </c>
      <c r="D18" s="1844">
        <v>13926</v>
      </c>
      <c r="E18" s="1540">
        <f t="shared" ref="E18:E142" si="0">IF(D18&lt;=25000,D18,IF(D18&gt;25000,25000,0))</f>
        <v>13926</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13926</v>
      </c>
      <c r="G18" s="1793">
        <f>IF(F18=0,0,D18-F18)</f>
        <v>0</v>
      </c>
      <c r="H18" s="1647"/>
    </row>
    <row r="19" spans="1:8" x14ac:dyDescent="0.25">
      <c r="A19" s="1653"/>
      <c r="B19" s="1933"/>
      <c r="C19" s="1656"/>
      <c r="D19" s="1844"/>
      <c r="E19" s="1540">
        <f t="shared" ref="E19:E141" si="2">IF(D19&lt;=25000,D19,IF(D19&gt;25000,25000,0))</f>
        <v>0</v>
      </c>
      <c r="F19" s="1936">
        <f t="shared" si="1"/>
        <v>0</v>
      </c>
      <c r="G19" s="1793">
        <f t="shared" ref="G19:G141" si="3">IF(F19=0,0,D19-F19)</f>
        <v>0</v>
      </c>
    </row>
    <row r="20" spans="1:8" x14ac:dyDescent="0.25">
      <c r="A20" s="1653"/>
      <c r="B20" s="1933"/>
      <c r="C20" s="1656"/>
      <c r="D20" s="1844"/>
      <c r="E20" s="1540">
        <f t="shared" si="2"/>
        <v>0</v>
      </c>
      <c r="F20" s="1936">
        <f t="shared" si="1"/>
        <v>0</v>
      </c>
      <c r="G20" s="1793">
        <f t="shared" si="3"/>
        <v>0</v>
      </c>
    </row>
    <row r="21" spans="1:8" x14ac:dyDescent="0.25">
      <c r="A21" s="1653"/>
      <c r="B21" s="1933"/>
      <c r="C21" s="1656"/>
      <c r="D21" s="1844"/>
      <c r="E21" s="1540">
        <f t="shared" si="2"/>
        <v>0</v>
      </c>
      <c r="F21" s="1936">
        <f t="shared" si="1"/>
        <v>0</v>
      </c>
      <c r="G21" s="1793">
        <f t="shared" si="3"/>
        <v>0</v>
      </c>
    </row>
    <row r="22" spans="1:8" x14ac:dyDescent="0.25">
      <c r="A22" s="1653"/>
      <c r="B22" s="1933"/>
      <c r="C22" s="1656"/>
      <c r="D22" s="1844"/>
      <c r="E22" s="1540">
        <f t="shared" si="2"/>
        <v>0</v>
      </c>
      <c r="F22" s="1936">
        <f t="shared" si="1"/>
        <v>0</v>
      </c>
      <c r="G22" s="1793">
        <f t="shared" si="3"/>
        <v>0</v>
      </c>
    </row>
    <row r="23" spans="1:8" x14ac:dyDescent="0.25">
      <c r="A23" s="1653"/>
      <c r="B23" s="1933"/>
      <c r="C23" s="1656"/>
      <c r="D23" s="1844"/>
      <c r="E23" s="1540">
        <f t="shared" si="2"/>
        <v>0</v>
      </c>
      <c r="F23" s="1936">
        <f t="shared" si="1"/>
        <v>0</v>
      </c>
      <c r="G23" s="1793">
        <f t="shared" si="3"/>
        <v>0</v>
      </c>
    </row>
    <row r="24" spans="1:8" x14ac:dyDescent="0.25">
      <c r="A24" s="1653"/>
      <c r="B24" s="1933"/>
      <c r="C24" s="1656"/>
      <c r="D24" s="1844"/>
      <c r="E24" s="1540">
        <f t="shared" si="2"/>
        <v>0</v>
      </c>
      <c r="F24" s="1936">
        <f t="shared" si="1"/>
        <v>0</v>
      </c>
      <c r="G24" s="1793">
        <f t="shared" si="3"/>
        <v>0</v>
      </c>
    </row>
    <row r="25" spans="1:8" x14ac:dyDescent="0.25">
      <c r="A25" s="1653"/>
      <c r="B25" s="1933"/>
      <c r="C25" s="1656"/>
      <c r="D25" s="1844"/>
      <c r="E25" s="1540">
        <f t="shared" si="2"/>
        <v>0</v>
      </c>
      <c r="F25" s="1936">
        <f t="shared" si="1"/>
        <v>0</v>
      </c>
      <c r="G25" s="1793">
        <f t="shared" si="3"/>
        <v>0</v>
      </c>
    </row>
    <row r="26" spans="1:8" x14ac:dyDescent="0.25">
      <c r="A26" s="1653"/>
      <c r="B26" s="1933"/>
      <c r="C26" s="1656"/>
      <c r="D26" s="1844"/>
      <c r="E26" s="1540">
        <f t="shared" si="2"/>
        <v>0</v>
      </c>
      <c r="F26" s="1936">
        <f t="shared" si="1"/>
        <v>0</v>
      </c>
      <c r="G26" s="1793">
        <f t="shared" si="3"/>
        <v>0</v>
      </c>
    </row>
    <row r="27" spans="1:8" x14ac:dyDescent="0.25">
      <c r="A27" s="1653"/>
      <c r="B27" s="1933"/>
      <c r="C27" s="1654"/>
      <c r="D27" s="1844"/>
      <c r="E27" s="1540">
        <f t="shared" si="2"/>
        <v>0</v>
      </c>
      <c r="F27" s="1936">
        <f t="shared" si="1"/>
        <v>0</v>
      </c>
      <c r="G27" s="1793">
        <f t="shared" si="3"/>
        <v>0</v>
      </c>
    </row>
    <row r="28" spans="1:8" x14ac:dyDescent="0.25">
      <c r="A28" s="1653"/>
      <c r="B28" s="1933"/>
      <c r="C28" s="1654"/>
      <c r="D28" s="1844"/>
      <c r="E28" s="1540">
        <f t="shared" si="2"/>
        <v>0</v>
      </c>
      <c r="F28" s="1936">
        <f t="shared" si="1"/>
        <v>0</v>
      </c>
      <c r="G28" s="1793">
        <f t="shared" si="3"/>
        <v>0</v>
      </c>
    </row>
    <row r="29" spans="1:8" x14ac:dyDescent="0.25">
      <c r="A29" s="1653"/>
      <c r="B29" s="1933"/>
      <c r="C29" s="1654"/>
      <c r="D29" s="1844"/>
      <c r="E29" s="1540">
        <f t="shared" si="2"/>
        <v>0</v>
      </c>
      <c r="F29" s="1936">
        <f t="shared" si="1"/>
        <v>0</v>
      </c>
      <c r="G29" s="1793">
        <f t="shared" si="3"/>
        <v>0</v>
      </c>
    </row>
    <row r="30" spans="1:8" x14ac:dyDescent="0.25">
      <c r="A30" s="1653"/>
      <c r="B30" s="1933"/>
      <c r="C30" s="1654"/>
      <c r="D30" s="1844"/>
      <c r="E30" s="1540">
        <f t="shared" si="2"/>
        <v>0</v>
      </c>
      <c r="F30" s="1936">
        <f t="shared" si="1"/>
        <v>0</v>
      </c>
      <c r="G30" s="1793">
        <f t="shared" si="3"/>
        <v>0</v>
      </c>
    </row>
    <row r="31" spans="1:8" x14ac:dyDescent="0.25">
      <c r="A31" s="1653"/>
      <c r="B31" s="1933"/>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13926</v>
      </c>
      <c r="E142" s="1541">
        <f t="shared" si="0"/>
        <v>13926</v>
      </c>
      <c r="F142" s="1932">
        <f>SUM(F18:F141)</f>
        <v>13926</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&amp;RThe notes to the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3" colorId="8" zoomScale="110" zoomScaleNormal="110" workbookViewId="0">
      <selection activeCell="F79" sqref="F7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84661</v>
      </c>
      <c r="F10" s="974"/>
      <c r="G10" s="975"/>
      <c r="H10" s="162"/>
      <c r="I10" s="162"/>
    </row>
    <row r="11" spans="1:9" s="668" customFormat="1" ht="22.5" customHeight="1" x14ac:dyDescent="0.2">
      <c r="A11" s="2292" t="s">
        <v>1975</v>
      </c>
      <c r="B11" s="2293"/>
      <c r="C11" s="2293"/>
      <c r="D11" s="2294"/>
      <c r="E11" s="977">
        <v>8621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2396358</v>
      </c>
      <c r="F19" s="1799"/>
      <c r="G19" s="1801">
        <f>'Expenditures 15-22'!K33-SUM('Expenditures 15-22'!G33,'Expenditures 15-22'!I33)+'Expenditures 15-22'!D229</f>
        <v>2396358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217301</v>
      </c>
      <c r="F21" s="1802"/>
      <c r="G21" s="1805">
        <f>'Expenditures 15-22'!K42-SUM('Expenditures 15-22'!G42,'Expenditures 15-22'!I42)+'Expenditures 15-22'!K120-SUM('Expenditures 15-22'!G120,'Expenditures 15-22'!I120)+'Expenditures 15-22'!K180-SUM('Expenditures 15-22'!G180,'Expenditures 15-22'!I180)+'Expenditures 15-22'!D238</f>
        <v>217301</v>
      </c>
      <c r="H21" s="987"/>
      <c r="I21" s="162"/>
    </row>
    <row r="22" spans="1:9" s="668" customFormat="1" ht="12" customHeight="1" x14ac:dyDescent="0.2">
      <c r="A22" s="994" t="s">
        <v>564</v>
      </c>
      <c r="B22" s="995"/>
      <c r="C22" s="993">
        <v>2200</v>
      </c>
      <c r="D22" s="1802"/>
      <c r="E22" s="1804">
        <f>'Expenditures 15-22'!K47-SUM('Expenditures 15-22'!G47,'Expenditures 15-22'!I47)+'Expenditures 15-22'!D243</f>
        <v>182102</v>
      </c>
      <c r="F22" s="1802"/>
      <c r="G22" s="1805">
        <f>'Expenditures 15-22'!K47-SUM('Expenditures 15-22'!G47,'Expenditures 15-22'!I47)+'Expenditures 15-22'!D243</f>
        <v>182102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192413</v>
      </c>
      <c r="F23" s="1802"/>
      <c r="G23" s="1804">
        <f>'Expenditures 15-22'!K53-SUM('Expenditures 15-22'!G53,'Expenditures 15-22'!I53)+'Expenditures 15-22'!D257+'Expenditures 15-22'!K330-SUM('Expenditures 15-22'!G330,'Expenditures 15-22'!I330)</f>
        <v>192413</v>
      </c>
      <c r="H23" s="987"/>
      <c r="I23" s="162"/>
    </row>
    <row r="24" spans="1:9" s="668" customFormat="1" ht="12" customHeight="1" x14ac:dyDescent="0.2">
      <c r="A24" s="994" t="s">
        <v>566</v>
      </c>
      <c r="B24" s="995"/>
      <c r="C24" s="993">
        <v>2400</v>
      </c>
      <c r="D24" s="1802"/>
      <c r="E24" s="1804">
        <f>'Expenditures 15-22'!K57-SUM('Expenditures 15-22'!G57,'Expenditures 15-22'!I57)+'Expenditures 15-22'!D261</f>
        <v>137441</v>
      </c>
      <c r="F24" s="1802"/>
      <c r="G24" s="1805">
        <f>'Expenditures 15-22'!K57-SUM('Expenditures 15-22'!G57,'Expenditures 15-22'!I57)+'Expenditures 15-22'!D261</f>
        <v>137441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67474</v>
      </c>
      <c r="E27" s="1804">
        <f>E8</f>
        <v>0</v>
      </c>
      <c r="F27" s="1804">
        <f>'Expenditures 15-22'!K60-SUM('Expenditures 15-22'!G60,'Expenditures 15-22'!I60)+'Expenditures 15-22'!D264-E8</f>
        <v>67474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561410</v>
      </c>
      <c r="F28" s="1806">
        <f>'Expenditures 15-22'!K61-SUM('Expenditures 15-22'!G61,'Expenditures 15-22'!I61)+'Expenditures 15-22'!K124-SUM('Expenditures 15-22'!G124,'Expenditures 15-22'!I124)+'Expenditures 15-22'!D266-E9</f>
        <v>561410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301842</v>
      </c>
      <c r="F29" s="1802"/>
      <c r="G29" s="1805">
        <f>'Expenditures 15-22'!K62-SUM('Expenditures 15-22'!G62,'Expenditures 15-22'!I62)+'Expenditures 15-22'!K125-SUM('Expenditures 15-22'!G125,'Expenditures 15-22'!I125)+'Expenditures 15-22'!K182-SUM('Expenditures 15-22'!G182,'Expenditures 15-22'!I182)+'Expenditures 15-22'!D267</f>
        <v>301842</v>
      </c>
      <c r="H29" s="985"/>
    </row>
    <row r="30" spans="1:9" ht="12" customHeight="1" x14ac:dyDescent="0.2">
      <c r="A30" s="994" t="s">
        <v>100</v>
      </c>
      <c r="B30" s="997"/>
      <c r="C30" s="993">
        <v>2560</v>
      </c>
      <c r="D30" s="1802"/>
      <c r="E30" s="1804">
        <f>'Expenditures 15-22'!K63-SUM('Expenditures 15-22'!G63,'Expenditures 15-22'!I63)+'Expenditures 15-22'!D268-E10</f>
        <v>197519</v>
      </c>
      <c r="F30" s="1802"/>
      <c r="G30" s="1804">
        <f>'Expenditures 15-22'!K63-SUM('Expenditures 15-22'!G63,'Expenditures 15-22'!I63)+'Expenditures 15-22'!D268-E10</f>
        <v>197519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67474</v>
      </c>
      <c r="E41" s="1806">
        <f>SUM(E19:E40)</f>
        <v>4186386</v>
      </c>
      <c r="F41" s="1806">
        <f>SUM(F19:F39)</f>
        <v>628884</v>
      </c>
      <c r="G41" s="1806">
        <f>SUM(G19:G40)</f>
        <v>3624976</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67474</v>
      </c>
      <c r="F43" s="1807" t="s">
        <v>473</v>
      </c>
      <c r="G43" s="1808">
        <f>F41</f>
        <v>628884</v>
      </c>
    </row>
    <row r="44" spans="1:7" ht="12" customHeight="1" x14ac:dyDescent="0.2">
      <c r="A44" s="987"/>
      <c r="B44" s="162"/>
      <c r="C44" s="1001"/>
      <c r="D44" s="1807" t="s">
        <v>474</v>
      </c>
      <c r="E44" s="1808">
        <f>E41</f>
        <v>4186386</v>
      </c>
      <c r="F44" s="1807" t="s">
        <v>474</v>
      </c>
      <c r="G44" s="1808">
        <f>G41</f>
        <v>3624976</v>
      </c>
    </row>
    <row r="45" spans="1:7" ht="12" customHeight="1" x14ac:dyDescent="0.2">
      <c r="A45" s="987"/>
      <c r="B45" s="162"/>
      <c r="C45" s="162"/>
      <c r="D45" s="1809" t="s">
        <v>1006</v>
      </c>
      <c r="E45" s="1810">
        <f>(E43/E44)</f>
        <v>1.6117481761118064E-2</v>
      </c>
      <c r="F45" s="1809" t="s">
        <v>1006</v>
      </c>
      <c r="G45" s="1810">
        <f>(G43/G44)</f>
        <v>0.17348638997885779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Williamsfield CUSD 210</v>
      </c>
      <c r="D6" s="2302"/>
      <c r="E6" s="2302"/>
      <c r="F6" s="1852"/>
    </row>
    <row r="7" spans="1:10" ht="11.25" customHeight="1" thickBot="1" x14ac:dyDescent="0.3">
      <c r="A7" s="1850"/>
      <c r="B7" s="1851"/>
      <c r="C7" s="2303">
        <f>COVER!A13</f>
        <v>33048210026</v>
      </c>
      <c r="D7" s="2303"/>
      <c r="E7" s="230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2065</v>
      </c>
      <c r="D26" s="1865" t="s">
        <v>2065</v>
      </c>
      <c r="E26" s="1868" t="s">
        <v>2065</v>
      </c>
      <c r="F26" s="1867" t="s">
        <v>2094</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t="s">
        <v>2065</v>
      </c>
      <c r="F31" s="1867" t="s">
        <v>2095</v>
      </c>
      <c r="H31" s="1878">
        <f t="shared" si="0"/>
        <v>5</v>
      </c>
      <c r="I31" s="1878">
        <f t="shared" si="1"/>
        <v>5</v>
      </c>
      <c r="J31" s="1878">
        <f t="shared" si="2"/>
        <v>5</v>
      </c>
      <c r="L31" s="1869"/>
    </row>
    <row r="32" spans="1:12" ht="12" customHeight="1" x14ac:dyDescent="0.2">
      <c r="A32" s="1863" t="s">
        <v>1540</v>
      </c>
      <c r="B32" s="1864"/>
      <c r="C32" s="1865" t="s">
        <v>2065</v>
      </c>
      <c r="D32" s="1865" t="s">
        <v>2065</v>
      </c>
      <c r="E32" s="1868" t="s">
        <v>2065</v>
      </c>
      <c r="F32" s="1867" t="s">
        <v>2096</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F79" sqref="F7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Williamsfield CUSD 210</v>
      </c>
      <c r="J6" s="2323"/>
      <c r="Q6" s="1664"/>
    </row>
    <row r="7" spans="1:17" x14ac:dyDescent="0.2">
      <c r="A7" s="2324" t="s">
        <v>869</v>
      </c>
      <c r="B7" s="2325"/>
      <c r="C7" s="2325"/>
      <c r="D7" s="2325"/>
      <c r="E7" s="2326"/>
      <c r="F7" s="1017"/>
      <c r="G7" s="1009"/>
      <c r="H7" s="1016" t="s">
        <v>372</v>
      </c>
      <c r="I7" s="2327">
        <f>COVER!A13</f>
        <v>33048210026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74724</v>
      </c>
      <c r="F12" s="1039"/>
      <c r="G12" s="1811">
        <f t="shared" ref="G12:G18" si="0">SUM(E12:F12)</f>
        <v>74724</v>
      </c>
      <c r="H12" s="1040">
        <v>78300</v>
      </c>
      <c r="I12" s="1039"/>
      <c r="J12" s="1811">
        <f t="shared" ref="J12:J18" si="1">SUM(H12:I12)</f>
        <v>78300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74724</v>
      </c>
      <c r="F19" s="1813">
        <f t="shared" si="2"/>
        <v>0</v>
      </c>
      <c r="G19" s="1813">
        <f t="shared" si="2"/>
        <v>74724</v>
      </c>
      <c r="H19" s="1813">
        <f t="shared" si="2"/>
        <v>78300</v>
      </c>
      <c r="I19" s="1813">
        <f t="shared" si="2"/>
        <v>0</v>
      </c>
      <c r="J19" s="1813">
        <f t="shared" si="2"/>
        <v>78300</v>
      </c>
    </row>
    <row r="20" spans="1:10" ht="13.5" thickTop="1" x14ac:dyDescent="0.2">
      <c r="A20" s="1035">
        <v>9</v>
      </c>
      <c r="B20" s="2334" t="s">
        <v>1979</v>
      </c>
      <c r="C20" s="2334"/>
      <c r="D20" s="2335"/>
      <c r="E20" s="1046"/>
      <c r="F20" s="1046"/>
      <c r="G20" s="1046"/>
      <c r="H20" s="1046"/>
      <c r="I20" s="1046"/>
      <c r="J20" s="1814">
        <f>IF(AND(G19&gt;0,J19&gt;0),(((J19-G19)/G19)),"Enter Budget Data")</f>
        <v>4.7856110486590657E-2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1981</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&amp;RThe notes to the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27" sqref="B2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41" t="s">
        <v>2128</v>
      </c>
    </row>
    <row r="5" spans="1:2" x14ac:dyDescent="0.2">
      <c r="A5" s="1068">
        <v>1</v>
      </c>
      <c r="B5" s="329" t="s">
        <v>2129</v>
      </c>
    </row>
    <row r="6" spans="1:2" x14ac:dyDescent="0.2">
      <c r="A6" s="1068">
        <v>2</v>
      </c>
      <c r="B6" s="329" t="s">
        <v>2133</v>
      </c>
    </row>
    <row r="7" spans="1:2" x14ac:dyDescent="0.2">
      <c r="A7" s="1068">
        <v>3</v>
      </c>
      <c r="B7" s="329" t="s">
        <v>2134</v>
      </c>
    </row>
    <row r="8" spans="1:2" x14ac:dyDescent="0.2">
      <c r="A8" s="1068">
        <v>4</v>
      </c>
      <c r="B8" s="329" t="s">
        <v>2135</v>
      </c>
    </row>
    <row r="9" spans="1:2" x14ac:dyDescent="0.2">
      <c r="A9" s="1069"/>
      <c r="B9" s="329" t="s">
        <v>2136</v>
      </c>
    </row>
    <row r="10" spans="1:2" x14ac:dyDescent="0.2">
      <c r="A10" s="1069"/>
    </row>
    <row r="11" spans="1:2" x14ac:dyDescent="0.2">
      <c r="A11" s="1069"/>
      <c r="B11" s="1941" t="s">
        <v>2130</v>
      </c>
    </row>
    <row r="12" spans="1:2" x14ac:dyDescent="0.2">
      <c r="A12" s="1069"/>
      <c r="B12" s="329" t="s">
        <v>2131</v>
      </c>
    </row>
    <row r="13" spans="1:2" x14ac:dyDescent="0.2">
      <c r="A13" s="1069"/>
    </row>
    <row r="14" spans="1:2" x14ac:dyDescent="0.2">
      <c r="A14" s="1069"/>
      <c r="B14" s="1941" t="s">
        <v>450</v>
      </c>
    </row>
    <row r="15" spans="1:2" x14ac:dyDescent="0.2">
      <c r="A15" s="1069"/>
      <c r="B15" s="329" t="s">
        <v>2137</v>
      </c>
    </row>
    <row r="16" spans="1:2" x14ac:dyDescent="0.2">
      <c r="A16" s="1069"/>
    </row>
    <row r="17" spans="1:2" x14ac:dyDescent="0.2">
      <c r="A17" s="1069"/>
      <c r="B17" s="1941" t="s">
        <v>155</v>
      </c>
    </row>
    <row r="18" spans="1:2" x14ac:dyDescent="0.2">
      <c r="A18" s="1069"/>
      <c r="B18" s="329" t="s">
        <v>2132</v>
      </c>
    </row>
    <row r="19" spans="1:2" x14ac:dyDescent="0.2">
      <c r="A19" s="1069"/>
    </row>
    <row r="20" spans="1:2" x14ac:dyDescent="0.2">
      <c r="A20" s="1069"/>
      <c r="B20" s="1941" t="s">
        <v>1157</v>
      </c>
    </row>
    <row r="21" spans="1:2" x14ac:dyDescent="0.2">
      <c r="A21" s="1069"/>
      <c r="B21" s="329" t="s">
        <v>2138</v>
      </c>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Williamsfield CUSD 210</v>
      </c>
    </row>
    <row r="65" spans="2:2" x14ac:dyDescent="0.2">
      <c r="B65" s="1070">
        <f>COVER!A13</f>
        <v>33048210026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14" sqref="B1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2</xdr:row>
                <xdr:rowOff>0</xdr:rowOff>
              </from>
              <to>
                <xdr:col>1</xdr:col>
                <xdr:colOff>914400</xdr:colOff>
                <xdr:row>6</xdr:row>
                <xdr:rowOff>123825</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4" r:id="rId6">
          <objectPr defaultSize="0" r:id="rId7">
            <anchor moveWithCells="1">
              <from>
                <xdr:col>1</xdr:col>
                <xdr:colOff>0</xdr:colOff>
                <xdr:row>8</xdr:row>
                <xdr:rowOff>0</xdr:rowOff>
              </from>
              <to>
                <xdr:col>1</xdr:col>
                <xdr:colOff>914400</xdr:colOff>
                <xdr:row>12</xdr:row>
                <xdr:rowOff>123825</xdr:rowOff>
              </to>
            </anchor>
          </objectPr>
        </oleObject>
      </mc:Choice>
      <mc:Fallback>
        <oleObject progId="Acrobat Document" dvAspect="DVASPECT_ICON" shapeId="3891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1985</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1986</v>
      </c>
      <c r="B4" s="2362"/>
      <c r="C4" s="2362"/>
      <c r="D4" s="2362"/>
      <c r="E4" s="2362"/>
      <c r="F4" s="2363"/>
      <c r="G4" s="1074"/>
      <c r="H4" s="1074"/>
    </row>
    <row r="5" spans="1:8" ht="14.25" customHeight="1" x14ac:dyDescent="0.2">
      <c r="A5" s="2364" t="s">
        <v>1982</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2221954</v>
      </c>
      <c r="C8" s="1815">
        <f>'Acct Summary 7-8'!D8</f>
        <v>298626</v>
      </c>
      <c r="D8" s="1815">
        <f>'Acct Summary 7-8'!F8</f>
        <v>216674</v>
      </c>
      <c r="E8" s="1815">
        <f>'Acct Summary 7-8'!I8</f>
        <v>0</v>
      </c>
      <c r="F8" s="1815">
        <f>SUM(B8:E8)</f>
        <v>2737254</v>
      </c>
    </row>
    <row r="9" spans="1:8" s="1079" customFormat="1" ht="14.25" customHeight="1" thickBot="1" x14ac:dyDescent="0.25">
      <c r="A9" s="1078" t="s">
        <v>1369</v>
      </c>
      <c r="B9" s="1816">
        <f>'Acct Summary 7-8'!C17</f>
        <v>3433207</v>
      </c>
      <c r="C9" s="1816">
        <f>'Acct Summary 7-8'!D17</f>
        <v>1013990</v>
      </c>
      <c r="D9" s="1816">
        <f>'Acct Summary 7-8'!F17</f>
        <v>422776</v>
      </c>
      <c r="E9" s="1815"/>
      <c r="F9" s="1815">
        <f>SUM(B9:E9)</f>
        <v>4869973</v>
      </c>
    </row>
    <row r="10" spans="1:8" s="1079" customFormat="1" ht="14.25" thickTop="1" thickBot="1" x14ac:dyDescent="0.25">
      <c r="A10" s="1080" t="s">
        <v>1370</v>
      </c>
      <c r="B10" s="1817">
        <f>(B8-B9)</f>
        <v>-1211253</v>
      </c>
      <c r="C10" s="1817">
        <f>(C8-C9)</f>
        <v>-715364</v>
      </c>
      <c r="D10" s="1817">
        <f>(D8-D9)</f>
        <v>-206102</v>
      </c>
      <c r="E10" s="1816">
        <f>(E8-E9)</f>
        <v>0</v>
      </c>
      <c r="F10" s="1818">
        <f>SUM(F8-F9)</f>
        <v>-2132719</v>
      </c>
    </row>
    <row r="11" spans="1:8" s="1079" customFormat="1" ht="14.25" thickTop="1" thickBot="1" x14ac:dyDescent="0.25">
      <c r="A11" s="1081" t="s">
        <v>1983</v>
      </c>
      <c r="B11" s="1819">
        <f>'Acct Summary 7-8'!C81</f>
        <v>996438</v>
      </c>
      <c r="C11" s="1819">
        <f>'Acct Summary 7-8'!D81</f>
        <v>154235</v>
      </c>
      <c r="D11" s="1819">
        <f>'Acct Summary 7-8'!F81</f>
        <v>321445</v>
      </c>
      <c r="E11" s="1819">
        <f>'Acct Summary 7-8'!I81</f>
        <v>0</v>
      </c>
      <c r="F11" s="1820">
        <f>SUM(B11:E11)</f>
        <v>1472118</v>
      </c>
    </row>
    <row r="12" spans="1:8" ht="16.5" customHeight="1" thickTop="1" x14ac:dyDescent="0.2">
      <c r="A12" s="1082"/>
      <c r="B12" s="1083"/>
      <c r="C12" s="2346"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33048210026</v>
      </c>
    </row>
    <row r="3" spans="1:2" x14ac:dyDescent="0.2">
      <c r="A3" t="s">
        <v>956</v>
      </c>
      <c r="B3" s="138" t="str">
        <f>COVER!A15</f>
        <v>KNOX, PEORIA, AND STARK</v>
      </c>
    </row>
    <row r="4" spans="1:2" x14ac:dyDescent="0.2">
      <c r="A4" t="s">
        <v>1007</v>
      </c>
      <c r="B4" s="138" t="str">
        <f>COVER!A17</f>
        <v>Williamsfield CUSD 210</v>
      </c>
    </row>
    <row r="5" spans="1:2" x14ac:dyDescent="0.2">
      <c r="A5" t="s">
        <v>704</v>
      </c>
      <c r="B5" s="138" t="str">
        <f>COVER!A38</f>
        <v>TIM FARQUER</v>
      </c>
    </row>
    <row r="6" spans="1:2" x14ac:dyDescent="0.2">
      <c r="A6" t="s">
        <v>709</v>
      </c>
      <c r="B6" s="138">
        <f>COVER!P35</f>
        <v>0</v>
      </c>
    </row>
    <row r="7" spans="1:2" x14ac:dyDescent="0.2">
      <c r="A7" t="s">
        <v>705</v>
      </c>
      <c r="B7" s="138">
        <f>COVER!I38</f>
        <v>0</v>
      </c>
    </row>
    <row r="8" spans="1:2" x14ac:dyDescent="0.2">
      <c r="A8" t="s">
        <v>706</v>
      </c>
      <c r="B8" s="138" t="str">
        <f>COVER!T38</f>
        <v>JODI SCOTT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065-024137</v>
      </c>
    </row>
    <row r="16" spans="1:2" x14ac:dyDescent="0.2">
      <c r="A16" t="s">
        <v>422</v>
      </c>
      <c r="B16" s="138" t="str">
        <f>COVER!T13</f>
        <v>BLUCKER, KNEER &amp; ASSOCIATES, LTD.</v>
      </c>
    </row>
    <row r="17" spans="1:2" x14ac:dyDescent="0.2">
      <c r="A17" t="s">
        <v>884</v>
      </c>
      <c r="B17" s="138" t="str">
        <f>COVER!T15</f>
        <v>TERESA A. WELCH</v>
      </c>
    </row>
    <row r="18" spans="1:2" x14ac:dyDescent="0.2">
      <c r="A18" t="s">
        <v>1150</v>
      </c>
      <c r="B18" s="138" t="str">
        <f>COVER!T17</f>
        <v>P.O. BOX 1464</v>
      </c>
    </row>
    <row r="19" spans="1:2" x14ac:dyDescent="0.2">
      <c r="A19" t="s">
        <v>886</v>
      </c>
      <c r="B19" s="138" t="str">
        <f>COVER!T25</f>
        <v>teresabka@gmail.com</v>
      </c>
    </row>
    <row r="20" spans="1:2" x14ac:dyDescent="0.2">
      <c r="A20" t="s">
        <v>887</v>
      </c>
      <c r="B20" s="138" t="str">
        <f>COVER!T19</f>
        <v>GALESBURG</v>
      </c>
    </row>
    <row r="21" spans="1:2" x14ac:dyDescent="0.2">
      <c r="A21" t="s">
        <v>479</v>
      </c>
      <c r="B21" s="138" t="str">
        <f>COVER!X19</f>
        <v>IL</v>
      </c>
    </row>
    <row r="22" spans="1:2" x14ac:dyDescent="0.2">
      <c r="A22" t="s">
        <v>888</v>
      </c>
      <c r="B22" s="138">
        <f>COVER!Z19</f>
        <v>61401</v>
      </c>
    </row>
    <row r="23" spans="1:2" x14ac:dyDescent="0.2">
      <c r="A23" t="s">
        <v>1152</v>
      </c>
      <c r="B23" s="138" t="str">
        <f>COVER!T21</f>
        <v>309-343-4156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465199</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999988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3550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3550</v>
      </c>
      <c r="C91" s="2" t="s">
        <v>573</v>
      </c>
      <c r="D91" s="2" t="str">
        <f t="shared" si="0"/>
        <v>Error?</v>
      </c>
    </row>
    <row r="92" spans="1:4" x14ac:dyDescent="0.2">
      <c r="A92" s="5">
        <v>31</v>
      </c>
      <c r="B92" s="138">
        <f>'Assets-Liab 5-6'!C39</f>
        <v>959030</v>
      </c>
      <c r="D92" s="2" t="str">
        <f t="shared" si="0"/>
        <v>Error?</v>
      </c>
    </row>
    <row r="93" spans="1:4" x14ac:dyDescent="0.2">
      <c r="A93" s="5">
        <v>32</v>
      </c>
      <c r="B93" s="138">
        <f>'Assets-Liab 5-6'!C41</f>
        <v>999988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273368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273368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119133</v>
      </c>
      <c r="C122" s="2" t="s">
        <v>573</v>
      </c>
      <c r="D122" s="2" t="str">
        <f t="shared" si="0"/>
        <v>Error?</v>
      </c>
    </row>
    <row r="123" spans="1:4" x14ac:dyDescent="0.2">
      <c r="A123" s="5">
        <v>62</v>
      </c>
      <c r="B123" s="138">
        <f>'Assets-Liab 5-6'!D39</f>
        <v>154235</v>
      </c>
      <c r="D123" s="2" t="str">
        <f t="shared" si="0"/>
        <v>Error?</v>
      </c>
    </row>
    <row r="124" spans="1:4" x14ac:dyDescent="0.2">
      <c r="A124" s="5">
        <v>63</v>
      </c>
      <c r="B124" s="138">
        <f>'Assets-Liab 5-6'!D41</f>
        <v>273368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v>
      </c>
      <c r="D129" s="2" t="str">
        <f t="shared" si="1"/>
        <v>Error?</v>
      </c>
    </row>
    <row r="130" spans="1:4" x14ac:dyDescent="0.2">
      <c r="A130" s="5">
        <v>69</v>
      </c>
      <c r="B130" s="138">
        <f>'Assets-Liab 5-6'!E12</f>
        <v>0</v>
      </c>
      <c r="D130" s="2" t="str">
        <f t="shared" si="1"/>
        <v>Error?</v>
      </c>
    </row>
    <row r="131" spans="1:4" x14ac:dyDescent="0.2">
      <c r="A131" s="5">
        <v>70</v>
      </c>
      <c r="B131" s="138">
        <f>'Assets-Liab 5-6'!E13</f>
        <v>6589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6589</v>
      </c>
      <c r="D140" s="2" t="str">
        <f t="shared" si="1"/>
        <v>Error?</v>
      </c>
    </row>
    <row r="141" spans="1:4" x14ac:dyDescent="0.2">
      <c r="A141" s="5">
        <v>80</v>
      </c>
      <c r="B141" s="138">
        <f>'Assets-Liab 5-6'!E41</f>
        <v>6589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14799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321445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321445</v>
      </c>
      <c r="D170" s="2" t="str">
        <f t="shared" si="1"/>
        <v>Error?</v>
      </c>
    </row>
    <row r="171" spans="1:4" x14ac:dyDescent="0.2">
      <c r="A171" s="5">
        <v>110</v>
      </c>
      <c r="B171" s="138">
        <f>'Assets-Liab 5-6'!F41</f>
        <v>321445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88112</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10145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10145</v>
      </c>
      <c r="D212" s="2" t="str">
        <f t="shared" si="2"/>
        <v>Error?</v>
      </c>
    </row>
    <row r="213" spans="1:4" x14ac:dyDescent="0.2">
      <c r="A213" s="12">
        <v>152</v>
      </c>
      <c r="B213" s="138">
        <f>'Assets-Liab 5-6'!H41</f>
        <v>10145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22782</v>
      </c>
      <c r="D273" s="2" t="str">
        <f t="shared" si="3"/>
        <v>Error?</v>
      </c>
    </row>
    <row r="274" spans="1:4" x14ac:dyDescent="0.2">
      <c r="A274" s="5">
        <v>213</v>
      </c>
      <c r="B274" s="138">
        <f>'Assets-Liab 5-6'!M17</f>
        <v>4149472</v>
      </c>
      <c r="D274" s="2" t="str">
        <f t="shared" si="3"/>
        <v>Error?</v>
      </c>
    </row>
    <row r="275" spans="1:4" x14ac:dyDescent="0.2">
      <c r="A275" s="5">
        <v>214</v>
      </c>
      <c r="B275" s="138">
        <f>'Assets-Liab 5-6'!M18</f>
        <v>0</v>
      </c>
      <c r="D275" s="2" t="str">
        <f t="shared" si="3"/>
        <v>Error?</v>
      </c>
    </row>
    <row r="276" spans="1:4" x14ac:dyDescent="0.2">
      <c r="A276" s="5">
        <v>215</v>
      </c>
      <c r="B276" s="138">
        <f>'Assets-Liab 5-6'!M19</f>
        <v>1141252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5757240</v>
      </c>
      <c r="C279" s="2" t="s">
        <v>573</v>
      </c>
      <c r="D279" s="2" t="str">
        <f t="shared" si="3"/>
        <v>Error?</v>
      </c>
    </row>
    <row r="280" spans="1:4" x14ac:dyDescent="0.2">
      <c r="A280" s="5">
        <v>219</v>
      </c>
      <c r="B280" s="138">
        <f>'Assets-Liab 5-6'!M40</f>
        <v>5757240</v>
      </c>
      <c r="D280" s="2" t="str">
        <f t="shared" si="3"/>
        <v>Error?</v>
      </c>
    </row>
    <row r="281" spans="1:4" x14ac:dyDescent="0.2">
      <c r="A281" s="5">
        <v>220</v>
      </c>
      <c r="B281" s="138">
        <f>'Assets-Liab 5-6'!M41</f>
        <v>5757240</v>
      </c>
      <c r="C281" s="2" t="s">
        <v>573</v>
      </c>
      <c r="D281" s="2" t="str">
        <f t="shared" si="3"/>
        <v>Error?</v>
      </c>
    </row>
    <row r="282" spans="1:4" x14ac:dyDescent="0.2">
      <c r="A282" s="5">
        <v>221</v>
      </c>
      <c r="B282" s="138">
        <f>'Assets-Liab 5-6'!N21</f>
        <v>6589</v>
      </c>
      <c r="D282" s="2" t="str">
        <f t="shared" si="3"/>
        <v>Error?</v>
      </c>
    </row>
    <row r="283" spans="1:4" x14ac:dyDescent="0.2">
      <c r="A283" s="5">
        <v>222</v>
      </c>
      <c r="B283" s="138">
        <f>'Assets-Liab 5-6'!N22</f>
        <v>602014</v>
      </c>
      <c r="D283" s="2" t="str">
        <f t="shared" si="3"/>
        <v>Error?</v>
      </c>
    </row>
    <row r="284" spans="1:4" x14ac:dyDescent="0.2">
      <c r="A284" s="5">
        <v>223</v>
      </c>
      <c r="B284" s="138">
        <f>'Assets-Liab 5-6'!N23</f>
        <v>608603</v>
      </c>
      <c r="C284" s="2" t="s">
        <v>573</v>
      </c>
      <c r="D284" s="2" t="str">
        <f t="shared" si="3"/>
        <v>Error?</v>
      </c>
    </row>
    <row r="285" spans="1:4" x14ac:dyDescent="0.2">
      <c r="A285" s="5">
        <v>224</v>
      </c>
      <c r="B285" s="138">
        <f>'Assets-Liab 5-6'!N36</f>
        <v>608603</v>
      </c>
      <c r="D285" s="2" t="str">
        <f t="shared" si="3"/>
        <v>Error?</v>
      </c>
    </row>
    <row r="286" spans="1:4" x14ac:dyDescent="0.2">
      <c r="A286" s="10">
        <v>225</v>
      </c>
      <c r="D286" s="2" t="str">
        <f t="shared" si="3"/>
        <v>OK</v>
      </c>
    </row>
    <row r="287" spans="1:4" x14ac:dyDescent="0.2">
      <c r="A287" s="5">
        <v>226</v>
      </c>
      <c r="B287" s="138">
        <f>'Assets-Liab 5-6'!N37</f>
        <v>608603</v>
      </c>
      <c r="C287" s="2" t="s">
        <v>573</v>
      </c>
      <c r="D287" s="2" t="str">
        <f t="shared" si="3"/>
        <v>Error?</v>
      </c>
    </row>
    <row r="288" spans="1:4" x14ac:dyDescent="0.2">
      <c r="A288" s="5">
        <v>227</v>
      </c>
      <c r="B288" s="138">
        <f>'Assets-Liab 5-6'!N41</f>
        <v>608603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1257893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183222</v>
      </c>
      <c r="D717" s="2" t="str">
        <f t="shared" si="10"/>
        <v>Error?</v>
      </c>
    </row>
    <row r="718" spans="1:4" x14ac:dyDescent="0.2">
      <c r="A718" s="5">
        <v>657</v>
      </c>
      <c r="B718" s="138">
        <f>'Expenditures 15-22'!C14</f>
        <v>108237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1874544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67788</v>
      </c>
      <c r="D722" s="2" t="str">
        <f t="shared" si="10"/>
        <v>Error?</v>
      </c>
    </row>
    <row r="723" spans="1:4" x14ac:dyDescent="0.2">
      <c r="A723" s="5">
        <v>662</v>
      </c>
      <c r="B723" s="138">
        <f>'Expenditures 15-22'!C38</f>
        <v>31674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60155</v>
      </c>
      <c r="D726" s="2" t="str">
        <f t="shared" si="10"/>
        <v>Error?</v>
      </c>
    </row>
    <row r="727" spans="1:4" x14ac:dyDescent="0.2">
      <c r="A727" s="5">
        <v>666</v>
      </c>
      <c r="B727" s="138">
        <f>'Expenditures 15-22'!C42</f>
        <v>159617</v>
      </c>
      <c r="C727" s="2" t="s">
        <v>573</v>
      </c>
      <c r="D727" s="2" t="str">
        <f t="shared" si="10"/>
        <v>Error?</v>
      </c>
    </row>
    <row r="728" spans="1:4" x14ac:dyDescent="0.2">
      <c r="A728" s="5">
        <v>667</v>
      </c>
      <c r="B728" s="138">
        <f>'Expenditures 15-22'!C44</f>
        <v>91918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91918</v>
      </c>
      <c r="C731" s="2" t="s">
        <v>573</v>
      </c>
      <c r="D731" s="2" t="str">
        <f t="shared" si="10"/>
        <v>Error?</v>
      </c>
    </row>
    <row r="732" spans="1:4" x14ac:dyDescent="0.2">
      <c r="A732" s="5">
        <v>671</v>
      </c>
      <c r="B732" s="138">
        <f>'Expenditures 15-22'!C49</f>
        <v>9978</v>
      </c>
      <c r="D732" s="2" t="str">
        <f t="shared" si="10"/>
        <v>Error?</v>
      </c>
    </row>
    <row r="733" spans="1:4" x14ac:dyDescent="0.2">
      <c r="A733" s="5">
        <v>672</v>
      </c>
      <c r="B733" s="138">
        <f>'Expenditures 15-22'!C50</f>
        <v>53877</v>
      </c>
      <c r="D733" s="2" t="str">
        <f t="shared" si="10"/>
        <v>Error?</v>
      </c>
    </row>
    <row r="734" spans="1:4" x14ac:dyDescent="0.2">
      <c r="A734" s="5">
        <v>673</v>
      </c>
      <c r="B734" s="138">
        <f>'Expenditures 15-22'!C53</f>
        <v>63855</v>
      </c>
      <c r="C734" s="2" t="s">
        <v>573</v>
      </c>
      <c r="D734" s="2" t="str">
        <f t="shared" si="10"/>
        <v>Error?</v>
      </c>
    </row>
    <row r="735" spans="1:4" x14ac:dyDescent="0.2">
      <c r="A735" s="5">
        <v>674</v>
      </c>
      <c r="B735" s="138">
        <f>'Expenditures 15-22'!C55</f>
        <v>88645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88645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49736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132520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182256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586291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2460835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172335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23043</v>
      </c>
      <c r="D775" s="2" t="str">
        <f t="shared" si="11"/>
        <v>Error?</v>
      </c>
    </row>
    <row r="776" spans="1:4" x14ac:dyDescent="0.2">
      <c r="A776" s="5">
        <v>715</v>
      </c>
      <c r="B776" s="138">
        <f>'Expenditures 15-22'!D14</f>
        <v>716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256772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6151</v>
      </c>
      <c r="D780" s="2" t="str">
        <f t="shared" si="11"/>
        <v>Error?</v>
      </c>
    </row>
    <row r="781" spans="1:4" x14ac:dyDescent="0.2">
      <c r="A781" s="5">
        <v>720</v>
      </c>
      <c r="B781" s="138">
        <f>'Expenditures 15-22'!D38</f>
        <v>6300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6216</v>
      </c>
      <c r="D784" s="2" t="str">
        <f t="shared" si="11"/>
        <v>Error?</v>
      </c>
    </row>
    <row r="785" spans="1:4" x14ac:dyDescent="0.2">
      <c r="A785" s="5">
        <v>724</v>
      </c>
      <c r="B785" s="138">
        <f>'Expenditures 15-22'!D42</f>
        <v>18667</v>
      </c>
      <c r="C785" s="2" t="s">
        <v>573</v>
      </c>
      <c r="D785" s="2" t="str">
        <f t="shared" si="11"/>
        <v>Error?</v>
      </c>
    </row>
    <row r="786" spans="1:4" x14ac:dyDescent="0.2">
      <c r="A786" s="5">
        <v>725</v>
      </c>
      <c r="B786" s="138">
        <f>'Expenditures 15-22'!D44</f>
        <v>35090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35090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6951</v>
      </c>
      <c r="D791" s="2" t="str">
        <f t="shared" si="11"/>
        <v>Error?</v>
      </c>
    </row>
    <row r="792" spans="1:4" x14ac:dyDescent="0.2">
      <c r="A792" s="5">
        <v>731</v>
      </c>
      <c r="B792" s="138">
        <f>'Expenditures 15-22'!D53</f>
        <v>6951</v>
      </c>
      <c r="C792" s="2" t="s">
        <v>573</v>
      </c>
      <c r="D792" s="2" t="str">
        <f t="shared" si="11"/>
        <v>Error?</v>
      </c>
    </row>
    <row r="793" spans="1:4" x14ac:dyDescent="0.2">
      <c r="A793" s="5">
        <v>732</v>
      </c>
      <c r="B793" s="138">
        <f>'Expenditures 15-22'!D55</f>
        <v>25694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25694</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6300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25117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31417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117819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374591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30497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29196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79453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2026</v>
      </c>
      <c r="D842" s="2" t="str">
        <f t="shared" si="12"/>
        <v>Error?</v>
      </c>
    </row>
    <row r="843" spans="1:4" x14ac:dyDescent="0.2">
      <c r="A843" s="5">
        <v>782</v>
      </c>
      <c r="B843" s="138">
        <f>'Expenditures 15-22'!E42</f>
        <v>2026</v>
      </c>
      <c r="C843" s="2" t="s">
        <v>573</v>
      </c>
      <c r="D843" s="2" t="str">
        <f t="shared" si="12"/>
        <v>Error?</v>
      </c>
    </row>
    <row r="844" spans="1:4" x14ac:dyDescent="0.2">
      <c r="A844" s="5">
        <v>783</v>
      </c>
      <c r="B844" s="138">
        <f>'Expenditures 15-22'!E44</f>
        <v>21994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21994</v>
      </c>
      <c r="C847" s="2" t="s">
        <v>573</v>
      </c>
      <c r="D847" s="2" t="str">
        <f t="shared" si="12"/>
        <v>Error?</v>
      </c>
    </row>
    <row r="848" spans="1:4" x14ac:dyDescent="0.2">
      <c r="A848" s="5">
        <v>787</v>
      </c>
      <c r="B848" s="138">
        <f>'Expenditures 15-22'!E49</f>
        <v>33398</v>
      </c>
      <c r="D848" s="2" t="str">
        <f t="shared" si="12"/>
        <v>Error?</v>
      </c>
    </row>
    <row r="849" spans="1:4" x14ac:dyDescent="0.2">
      <c r="A849" s="5">
        <v>788</v>
      </c>
      <c r="B849" s="138">
        <f>'Expenditures 15-22'!E50</f>
        <v>9326</v>
      </c>
      <c r="D849" s="2" t="str">
        <f t="shared" si="12"/>
        <v>Error?</v>
      </c>
    </row>
    <row r="850" spans="1:4" x14ac:dyDescent="0.2">
      <c r="A850" s="5">
        <v>789</v>
      </c>
      <c r="B850" s="138">
        <f>'Expenditures 15-22'!E53</f>
        <v>42724</v>
      </c>
      <c r="C850" s="2" t="s">
        <v>573</v>
      </c>
      <c r="D850" s="2" t="str">
        <f t="shared" si="12"/>
        <v>Error?</v>
      </c>
    </row>
    <row r="851" spans="1:4" x14ac:dyDescent="0.2">
      <c r="A851" s="5">
        <v>790</v>
      </c>
      <c r="B851" s="138">
        <f>'Expenditures 15-22'!E55</f>
        <v>8330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8330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1526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10455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11981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87055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166508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79333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6311</v>
      </c>
      <c r="D891" s="2" t="str">
        <f t="shared" si="12"/>
        <v>Error?</v>
      </c>
    </row>
    <row r="892" spans="1:4" x14ac:dyDescent="0.2">
      <c r="A892" s="5">
        <v>831</v>
      </c>
      <c r="B892" s="138">
        <f>'Expenditures 15-22'!F14</f>
        <v>15540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109225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2038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16867</v>
      </c>
      <c r="D900" s="2" t="str">
        <f t="shared" si="13"/>
        <v>Error?</v>
      </c>
    </row>
    <row r="901" spans="1:4" x14ac:dyDescent="0.2">
      <c r="A901" s="5">
        <v>840</v>
      </c>
      <c r="B901" s="138">
        <f>'Expenditures 15-22'!F42</f>
        <v>18905</v>
      </c>
      <c r="C901" s="2" t="s">
        <v>573</v>
      </c>
      <c r="D901" s="2" t="str">
        <f t="shared" si="13"/>
        <v>Error?</v>
      </c>
    </row>
    <row r="902" spans="1:4" x14ac:dyDescent="0.2">
      <c r="A902" s="5">
        <v>841</v>
      </c>
      <c r="B902" s="138">
        <f>'Expenditures 15-22'!F44</f>
        <v>2723</v>
      </c>
      <c r="D902" s="2" t="str">
        <f t="shared" si="13"/>
        <v>Error?</v>
      </c>
    </row>
    <row r="903" spans="1:4" x14ac:dyDescent="0.2">
      <c r="A903" s="5">
        <v>842</v>
      </c>
      <c r="B903" s="138">
        <f>'Expenditures 15-22'!F45</f>
        <v>24968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27691</v>
      </c>
      <c r="C905" s="2" t="s">
        <v>573</v>
      </c>
      <c r="D905" s="2" t="str">
        <f t="shared" si="13"/>
        <v>Error?</v>
      </c>
    </row>
    <row r="906" spans="1:4" x14ac:dyDescent="0.2">
      <c r="A906" s="5">
        <v>845</v>
      </c>
      <c r="B906" s="138">
        <f>'Expenditures 15-22'!F49</f>
        <v>5668</v>
      </c>
      <c r="D906" s="2" t="str">
        <f t="shared" si="13"/>
        <v>Error?</v>
      </c>
    </row>
    <row r="907" spans="1:4" x14ac:dyDescent="0.2">
      <c r="A907" s="5">
        <v>846</v>
      </c>
      <c r="B907" s="138">
        <f>'Expenditures 15-22'!F50</f>
        <v>2682</v>
      </c>
      <c r="D907" s="2" t="str">
        <f t="shared" si="13"/>
        <v>Error?</v>
      </c>
    </row>
    <row r="908" spans="1:4" x14ac:dyDescent="0.2">
      <c r="A908" s="5">
        <v>847</v>
      </c>
      <c r="B908" s="138">
        <f>'Expenditures 15-22'!F53</f>
        <v>8350</v>
      </c>
      <c r="C908" s="2" t="s">
        <v>573</v>
      </c>
      <c r="D908" s="2" t="str">
        <f t="shared" si="13"/>
        <v>Error?</v>
      </c>
    </row>
    <row r="909" spans="1:4" x14ac:dyDescent="0.2">
      <c r="A909" s="5">
        <v>848</v>
      </c>
      <c r="B909" s="138">
        <f>'Expenditures 15-22'!F55</f>
        <v>4774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4774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616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91602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92218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151938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261163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40893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8085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48978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18585</v>
      </c>
      <c r="D958" s="2" t="str">
        <f t="shared" si="13"/>
        <v>Error?</v>
      </c>
    </row>
    <row r="959" spans="1:4" x14ac:dyDescent="0.2">
      <c r="A959" s="5">
        <v>898</v>
      </c>
      <c r="B959" s="138">
        <f>'Expenditures 15-22'!G42</f>
        <v>18585</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1145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1145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19730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68708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7800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5922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13722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1888</v>
      </c>
      <c r="D1023" s="2" t="str">
        <f t="shared" ref="D1023:D1086" si="15">IF(ISBLANK(B1023),"OK",IF(A1023-B1023=0,"OK","Error?"))</f>
        <v>Error?</v>
      </c>
    </row>
    <row r="1024" spans="1:4" x14ac:dyDescent="0.2">
      <c r="A1024" s="5">
        <v>963</v>
      </c>
      <c r="B1024" s="138">
        <f>'Expenditures 15-22'!H53</f>
        <v>1888</v>
      </c>
      <c r="C1024" s="2" t="s">
        <v>573</v>
      </c>
      <c r="D1024" s="2" t="str">
        <f t="shared" si="15"/>
        <v>Error?</v>
      </c>
    </row>
    <row r="1025" spans="1:4" x14ac:dyDescent="0.2">
      <c r="A1025" s="5">
        <v>964</v>
      </c>
      <c r="B1025" s="138">
        <f>'Expenditures 15-22'!H55</f>
        <v>1230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1230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3118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84562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101402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1588751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212576</v>
      </c>
      <c r="C1105" s="2" t="s">
        <v>573</v>
      </c>
      <c r="D1105" s="2" t="str">
        <f t="shared" si="16"/>
        <v>Error?</v>
      </c>
    </row>
    <row r="1106" spans="1:4" x14ac:dyDescent="0.2">
      <c r="A1106" s="5">
        <v>1045</v>
      </c>
      <c r="B1106" s="138">
        <f>'Expenditures 15-22'!K14</f>
        <v>167696</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2382694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73939</v>
      </c>
      <c r="C1110" s="2" t="s">
        <v>573</v>
      </c>
      <c r="D1110" s="2" t="str">
        <f t="shared" si="16"/>
        <v>Error?</v>
      </c>
    </row>
    <row r="1111" spans="1:4" x14ac:dyDescent="0.2">
      <c r="A1111" s="5">
        <v>1050</v>
      </c>
      <c r="B1111" s="138">
        <f>'Expenditures 15-22'!K38</f>
        <v>40012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103849</v>
      </c>
      <c r="C1114" s="2" t="s">
        <v>573</v>
      </c>
      <c r="D1114" s="2" t="str">
        <f t="shared" si="16"/>
        <v>Error?</v>
      </c>
    </row>
    <row r="1115" spans="1:4" x14ac:dyDescent="0.2">
      <c r="A1115" s="5">
        <v>1054</v>
      </c>
      <c r="B1115" s="138">
        <f>'Expenditures 15-22'!K42</f>
        <v>217800</v>
      </c>
      <c r="C1115" s="2" t="s">
        <v>573</v>
      </c>
      <c r="D1115" s="2" t="str">
        <f t="shared" si="16"/>
        <v>Error?</v>
      </c>
    </row>
    <row r="1116" spans="1:4" x14ac:dyDescent="0.2">
      <c r="A1116" s="5">
        <v>1055</v>
      </c>
      <c r="B1116" s="138">
        <f>'Expenditures 15-22'!K44</f>
        <v>151725</v>
      </c>
      <c r="C1116" s="2" t="s">
        <v>573</v>
      </c>
      <c r="D1116" s="2" t="str">
        <f t="shared" si="16"/>
        <v>Error?</v>
      </c>
    </row>
    <row r="1117" spans="1:4" x14ac:dyDescent="0.2">
      <c r="A1117" s="5">
        <v>1056</v>
      </c>
      <c r="B1117" s="138">
        <f>'Expenditures 15-22'!K45</f>
        <v>24968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176693</v>
      </c>
      <c r="C1119" s="2" t="s">
        <v>573</v>
      </c>
      <c r="D1119" s="2" t="str">
        <f t="shared" si="16"/>
        <v>Error?</v>
      </c>
    </row>
    <row r="1120" spans="1:4" x14ac:dyDescent="0.2">
      <c r="A1120" s="5">
        <v>1059</v>
      </c>
      <c r="B1120" s="138">
        <f>'Expenditures 15-22'!K49</f>
        <v>49044</v>
      </c>
      <c r="C1120" s="2" t="s">
        <v>573</v>
      </c>
      <c r="D1120" s="2" t="str">
        <f t="shared" si="16"/>
        <v>Error?</v>
      </c>
    </row>
    <row r="1121" spans="1:4" x14ac:dyDescent="0.2">
      <c r="A1121" s="5">
        <v>1060</v>
      </c>
      <c r="B1121" s="138">
        <f>'Expenditures 15-22'!K50</f>
        <v>74724</v>
      </c>
      <c r="C1121" s="2" t="s">
        <v>573</v>
      </c>
      <c r="D1121" s="2" t="str">
        <f t="shared" si="16"/>
        <v>Error?</v>
      </c>
    </row>
    <row r="1122" spans="1:4" x14ac:dyDescent="0.2">
      <c r="A1122" s="5">
        <v>1061</v>
      </c>
      <c r="B1122" s="138">
        <f>'Expenditures 15-22'!K53</f>
        <v>123768</v>
      </c>
      <c r="C1122" s="2" t="s">
        <v>573</v>
      </c>
      <c r="D1122" s="2" t="str">
        <f t="shared" si="16"/>
        <v>Error?</v>
      </c>
    </row>
    <row r="1123" spans="1:4" x14ac:dyDescent="0.2">
      <c r="A1123" s="5">
        <v>1062</v>
      </c>
      <c r="B1123" s="138">
        <f>'Expenditures 15-22'!K55</f>
        <v>128673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128673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58178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260839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319017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965951</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84562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3433207</v>
      </c>
      <c r="C1152" s="2" t="s">
        <v>573</v>
      </c>
      <c r="D1152" s="2" t="str">
        <f t="shared" si="17"/>
        <v>Error?</v>
      </c>
    </row>
    <row r="1153" spans="1:4" x14ac:dyDescent="0.2">
      <c r="A1153" s="5">
        <v>1092</v>
      </c>
      <c r="B1153" s="138">
        <f>'Expenditures 15-22'!K115</f>
        <v>-1211253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161440</v>
      </c>
      <c r="D1221" s="2" t="str">
        <f t="shared" si="18"/>
        <v>Error?</v>
      </c>
    </row>
    <row r="1222" spans="1:4" x14ac:dyDescent="0.2">
      <c r="A1222" s="10">
        <v>1161</v>
      </c>
      <c r="D1222" s="2" t="str">
        <f t="shared" si="18"/>
        <v>OK</v>
      </c>
    </row>
    <row r="1223" spans="1:4" x14ac:dyDescent="0.2">
      <c r="A1223" s="5">
        <v>1162</v>
      </c>
      <c r="B1223" s="138">
        <f>'Expenditures 15-22'!C127</f>
        <v>161440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161440</v>
      </c>
      <c r="C1225" s="2" t="s">
        <v>573</v>
      </c>
      <c r="D1225" s="2" t="str">
        <f t="shared" si="18"/>
        <v>Error?</v>
      </c>
    </row>
    <row r="1226" spans="1:4" x14ac:dyDescent="0.2">
      <c r="A1226" s="5">
        <v>1165</v>
      </c>
      <c r="B1226" s="138">
        <f>'Expenditures 15-22'!C151</f>
        <v>161440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18907</v>
      </c>
      <c r="D1229" s="2" t="str">
        <f t="shared" si="18"/>
        <v>Error?</v>
      </c>
    </row>
    <row r="1230" spans="1:4" x14ac:dyDescent="0.2">
      <c r="A1230" s="10">
        <v>1169</v>
      </c>
      <c r="D1230" s="2" t="str">
        <f t="shared" si="18"/>
        <v>OK</v>
      </c>
    </row>
    <row r="1231" spans="1:4" x14ac:dyDescent="0.2">
      <c r="A1231" s="5">
        <v>1170</v>
      </c>
      <c r="B1231" s="138">
        <f>'Expenditures 15-22'!D127</f>
        <v>18907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18907</v>
      </c>
      <c r="C1233" s="2" t="s">
        <v>573</v>
      </c>
      <c r="D1233" s="2" t="str">
        <f t="shared" si="18"/>
        <v>Error?</v>
      </c>
    </row>
    <row r="1234" spans="1:4" x14ac:dyDescent="0.2">
      <c r="A1234" s="5">
        <v>1173</v>
      </c>
      <c r="B1234" s="138">
        <f>'Expenditures 15-22'!D151</f>
        <v>18907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105248</v>
      </c>
      <c r="D1237" s="2" t="str">
        <f t="shared" si="18"/>
        <v>Error?</v>
      </c>
    </row>
    <row r="1238" spans="1:4" x14ac:dyDescent="0.2">
      <c r="A1238" s="10">
        <v>1177</v>
      </c>
      <c r="D1238" s="2" t="str">
        <f t="shared" si="18"/>
        <v>OK</v>
      </c>
    </row>
    <row r="1239" spans="1:4" x14ac:dyDescent="0.2">
      <c r="A1239" s="5">
        <v>1178</v>
      </c>
      <c r="B1239" s="138">
        <f>'Expenditures 15-22'!E127</f>
        <v>105248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105248</v>
      </c>
      <c r="C1241" s="2" t="s">
        <v>573</v>
      </c>
      <c r="D1241" s="2" t="str">
        <f t="shared" si="18"/>
        <v>Error?</v>
      </c>
    </row>
    <row r="1242" spans="1:4" x14ac:dyDescent="0.2">
      <c r="A1242" s="5">
        <v>1181</v>
      </c>
      <c r="B1242" s="138">
        <f>'Expenditures 15-22'!E151</f>
        <v>105248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246752</v>
      </c>
      <c r="D1245" s="2" t="str">
        <f t="shared" si="18"/>
        <v>Error?</v>
      </c>
    </row>
    <row r="1246" spans="1:4" x14ac:dyDescent="0.2">
      <c r="A1246" s="10">
        <v>1185</v>
      </c>
      <c r="D1246" s="2" t="str">
        <f t="shared" si="18"/>
        <v>OK</v>
      </c>
    </row>
    <row r="1247" spans="1:4" x14ac:dyDescent="0.2">
      <c r="A1247" s="5">
        <v>1186</v>
      </c>
      <c r="B1247" s="138">
        <f>'Expenditures 15-22'!F127</f>
        <v>246752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246752</v>
      </c>
      <c r="C1249" s="2" t="s">
        <v>573</v>
      </c>
      <c r="D1249" s="2" t="str">
        <f t="shared" si="18"/>
        <v>Error?</v>
      </c>
    </row>
    <row r="1250" spans="1:4" x14ac:dyDescent="0.2">
      <c r="A1250" s="5">
        <v>1189</v>
      </c>
      <c r="B1250" s="138">
        <f>'Expenditures 15-22'!F151</f>
        <v>246752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481643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481643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481643</v>
      </c>
      <c r="C1258" s="2" t="s">
        <v>573</v>
      </c>
      <c r="D1258" s="2" t="str">
        <f t="shared" si="18"/>
        <v>Error?</v>
      </c>
    </row>
    <row r="1259" spans="1:4" x14ac:dyDescent="0.2">
      <c r="A1259" s="5">
        <v>1198</v>
      </c>
      <c r="B1259" s="138">
        <f>'Expenditures 15-22'!G151</f>
        <v>481643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1013990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1013990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1013990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1013990</v>
      </c>
      <c r="C1288" s="2" t="s">
        <v>573</v>
      </c>
      <c r="D1288" s="2" t="str">
        <f t="shared" si="19"/>
        <v>Error?</v>
      </c>
    </row>
    <row r="1289" spans="1:4" x14ac:dyDescent="0.2">
      <c r="A1289" s="5">
        <v>1228</v>
      </c>
      <c r="B1289" s="138">
        <f>'Expenditures 15-22'!K152</f>
        <v>-715364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25637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95000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121637</v>
      </c>
      <c r="C1317" s="2" t="s">
        <v>573</v>
      </c>
      <c r="D1317" s="2" t="str">
        <f t="shared" si="19"/>
        <v>Error?</v>
      </c>
    </row>
    <row r="1318" spans="1:4" x14ac:dyDescent="0.2">
      <c r="A1318" s="5">
        <v>1257</v>
      </c>
      <c r="B1318" s="138">
        <f>'Expenditures 15-22'!H174</f>
        <v>121637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25637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95000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121637</v>
      </c>
      <c r="C1331" s="2" t="s">
        <v>573</v>
      </c>
      <c r="D1331" s="2" t="str">
        <f t="shared" si="19"/>
        <v>Error?</v>
      </c>
    </row>
    <row r="1332" spans="1:4" x14ac:dyDescent="0.2">
      <c r="A1332" s="5">
        <v>1271</v>
      </c>
      <c r="B1332" s="138">
        <f>'Expenditures 15-22'!K174</f>
        <v>121637</v>
      </c>
      <c r="C1332" s="2" t="s">
        <v>573</v>
      </c>
      <c r="D1332" s="2" t="str">
        <f t="shared" si="19"/>
        <v>Error?</v>
      </c>
    </row>
    <row r="1333" spans="1:4" x14ac:dyDescent="0.2">
      <c r="A1333" s="5">
        <v>1272</v>
      </c>
      <c r="B1333" s="138">
        <f>'Expenditures 15-22'!K175</f>
        <v>2319</v>
      </c>
      <c r="C1333" s="2" t="s">
        <v>573</v>
      </c>
      <c r="D1333" s="2" t="str">
        <f t="shared" si="19"/>
        <v>Error?</v>
      </c>
    </row>
    <row r="1334" spans="1:4" x14ac:dyDescent="0.2">
      <c r="A1334" s="10">
        <v>1273</v>
      </c>
      <c r="D1334" s="2" t="str">
        <f t="shared" si="19"/>
        <v>OK</v>
      </c>
    </row>
    <row r="1335" spans="1:4" x14ac:dyDescent="0.2">
      <c r="A1335" s="5">
        <v>1274</v>
      </c>
      <c r="B1335" s="138">
        <f>'Expenditures 15-22'!C182</f>
        <v>187966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187966</v>
      </c>
      <c r="C1339" s="2" t="s">
        <v>573</v>
      </c>
      <c r="D1339" s="2" t="str">
        <f t="shared" si="19"/>
        <v>Error?</v>
      </c>
    </row>
    <row r="1340" spans="1:4" x14ac:dyDescent="0.2">
      <c r="A1340" s="5">
        <v>1279</v>
      </c>
      <c r="B1340" s="138">
        <f>'Expenditures 15-22'!C210</f>
        <v>187966</v>
      </c>
      <c r="C1340" s="2" t="s">
        <v>573</v>
      </c>
      <c r="D1340" s="2" t="str">
        <f t="shared" si="19"/>
        <v>Error?</v>
      </c>
    </row>
    <row r="1341" spans="1:4" x14ac:dyDescent="0.2">
      <c r="A1341" s="5">
        <v>1280</v>
      </c>
      <c r="B1341" s="138">
        <f>'Expenditures 15-22'!D182</f>
        <v>9006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9006</v>
      </c>
      <c r="C1345" s="2" t="s">
        <v>573</v>
      </c>
      <c r="D1345" s="2" t="str">
        <f t="shared" si="20"/>
        <v>Error?</v>
      </c>
    </row>
    <row r="1346" spans="1:4" x14ac:dyDescent="0.2">
      <c r="A1346" s="5">
        <v>1285</v>
      </c>
      <c r="B1346" s="138">
        <f>'Expenditures 15-22'!D210</f>
        <v>9006</v>
      </c>
      <c r="C1346" s="2" t="s">
        <v>573</v>
      </c>
      <c r="D1346" s="2" t="str">
        <f t="shared" si="20"/>
        <v>Error?</v>
      </c>
    </row>
    <row r="1347" spans="1:4" x14ac:dyDescent="0.2">
      <c r="A1347" s="5">
        <v>1286</v>
      </c>
      <c r="B1347" s="138">
        <f>'Expenditures 15-22'!E182</f>
        <v>26907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26907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26907</v>
      </c>
      <c r="C1353" s="2" t="s">
        <v>573</v>
      </c>
      <c r="D1353" s="2" t="str">
        <f t="shared" si="20"/>
        <v>Error?</v>
      </c>
    </row>
    <row r="1354" spans="1:4" x14ac:dyDescent="0.2">
      <c r="A1354" s="5">
        <v>1293</v>
      </c>
      <c r="B1354" s="138">
        <f>'Expenditures 15-22'!F182</f>
        <v>50895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50895</v>
      </c>
      <c r="C1358" s="2" t="s">
        <v>573</v>
      </c>
      <c r="D1358" s="2" t="str">
        <f t="shared" si="20"/>
        <v>Error?</v>
      </c>
    </row>
    <row r="1359" spans="1:4" x14ac:dyDescent="0.2">
      <c r="A1359" s="5">
        <v>1298</v>
      </c>
      <c r="B1359" s="138">
        <f>'Expenditures 15-22'!F210</f>
        <v>50895</v>
      </c>
      <c r="C1359" s="2" t="s">
        <v>573</v>
      </c>
      <c r="D1359" s="2" t="str">
        <f t="shared" si="20"/>
        <v>Error?</v>
      </c>
    </row>
    <row r="1360" spans="1:4" x14ac:dyDescent="0.2">
      <c r="A1360" s="5">
        <v>1299</v>
      </c>
      <c r="B1360" s="138">
        <f>'Expenditures 15-22'!G182</f>
        <v>148002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148002</v>
      </c>
      <c r="C1364" s="2" t="s">
        <v>573</v>
      </c>
      <c r="D1364" s="2" t="str">
        <f t="shared" si="20"/>
        <v>Error?</v>
      </c>
    </row>
    <row r="1365" spans="1:4" x14ac:dyDescent="0.2">
      <c r="A1365" s="5">
        <v>1304</v>
      </c>
      <c r="B1365" s="138">
        <f>'Expenditures 15-22'!G210</f>
        <v>148002</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422776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422776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422776</v>
      </c>
      <c r="C1388" s="2" t="s">
        <v>573</v>
      </c>
      <c r="D1388" s="2" t="str">
        <f t="shared" si="20"/>
        <v>Error?</v>
      </c>
    </row>
    <row r="1389" spans="1:4" x14ac:dyDescent="0.2">
      <c r="A1389" s="5">
        <v>1328</v>
      </c>
      <c r="B1389" s="138">
        <f>'Expenditures 15-22'!K211</f>
        <v>-206102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2600</v>
      </c>
      <c r="D1407" s="2" t="str">
        <f t="shared" ref="D1407:D1470" si="21">IF(ISBLANK(B1407),"OK",IF(A1407-B1407=0,"OK","Error?"))</f>
        <v>Error?</v>
      </c>
    </row>
    <row r="1408" spans="1:4" x14ac:dyDescent="0.2">
      <c r="A1408" s="5">
        <v>1347</v>
      </c>
      <c r="B1408" s="138">
        <f>'Expenditures 15-22'!D223</f>
        <v>5309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62642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983</v>
      </c>
      <c r="D1412" s="2" t="str">
        <f t="shared" si="21"/>
        <v>Error?</v>
      </c>
    </row>
    <row r="1413" spans="1:4" x14ac:dyDescent="0.2">
      <c r="A1413" s="5">
        <v>1352</v>
      </c>
      <c r="B1413" s="138">
        <f>'Expenditures 15-22'!D234</f>
        <v>5860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11243</v>
      </c>
      <c r="D1416" s="2" t="str">
        <f t="shared" si="21"/>
        <v>Error?</v>
      </c>
    </row>
    <row r="1417" spans="1:4" x14ac:dyDescent="0.2">
      <c r="A1417" s="5">
        <v>1356</v>
      </c>
      <c r="B1417" s="138">
        <f>'Expenditures 15-22'!D238</f>
        <v>18086</v>
      </c>
      <c r="C1417" s="2" t="s">
        <v>573</v>
      </c>
      <c r="D1417" s="2" t="str">
        <f t="shared" si="21"/>
        <v>Error?</v>
      </c>
    </row>
    <row r="1418" spans="1:4" x14ac:dyDescent="0.2">
      <c r="A1418" s="5">
        <v>1357</v>
      </c>
      <c r="B1418" s="138">
        <f>'Expenditures 15-22'!D240</f>
        <v>5409</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5409</v>
      </c>
      <c r="C1421" s="2" t="s">
        <v>573</v>
      </c>
      <c r="D1421" s="2" t="str">
        <f t="shared" si="21"/>
        <v>Error?</v>
      </c>
    </row>
    <row r="1422" spans="1:4" x14ac:dyDescent="0.2">
      <c r="A1422" s="5">
        <v>1361</v>
      </c>
      <c r="B1422" s="138">
        <f>'Expenditures 15-22'!D245</f>
        <v>763</v>
      </c>
      <c r="D1422" s="2" t="str">
        <f t="shared" si="21"/>
        <v>Error?</v>
      </c>
    </row>
    <row r="1423" spans="1:4" x14ac:dyDescent="0.2">
      <c r="A1423" s="5">
        <v>1362</v>
      </c>
      <c r="B1423" s="138">
        <f>'Expenditures 15-22'!D246</f>
        <v>781</v>
      </c>
      <c r="D1423" s="2" t="str">
        <f t="shared" si="21"/>
        <v>Error?</v>
      </c>
    </row>
    <row r="1424" spans="1:4" x14ac:dyDescent="0.2">
      <c r="A1424" s="5">
        <v>1363</v>
      </c>
      <c r="B1424" s="138">
        <f>'Expenditures 15-22'!D257</f>
        <v>1544</v>
      </c>
      <c r="C1424" s="2" t="s">
        <v>573</v>
      </c>
      <c r="D1424" s="2" t="str">
        <f t="shared" si="21"/>
        <v>Error?</v>
      </c>
    </row>
    <row r="1425" spans="1:4" x14ac:dyDescent="0.2">
      <c r="A1425" s="5">
        <v>1364</v>
      </c>
      <c r="B1425" s="138">
        <f>'Expenditures 15-22'!D259</f>
        <v>8768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8768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9296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29063</v>
      </c>
      <c r="D1431" s="2" t="str">
        <f t="shared" si="21"/>
        <v>Error?</v>
      </c>
    </row>
    <row r="1432" spans="1:4" x14ac:dyDescent="0.2">
      <c r="A1432" s="5">
        <v>1371</v>
      </c>
      <c r="B1432" s="138">
        <f>'Expenditures 15-22'!D267</f>
        <v>27068</v>
      </c>
      <c r="D1432" s="2" t="str">
        <f t="shared" si="21"/>
        <v>Error?</v>
      </c>
    </row>
    <row r="1433" spans="1:4" x14ac:dyDescent="0.2">
      <c r="A1433" s="5">
        <v>1372</v>
      </c>
      <c r="B1433" s="138">
        <f>'Expenditures 15-22'!D268</f>
        <v>22486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87913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121720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184362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2600</v>
      </c>
      <c r="C1471" s="2" t="s">
        <v>573</v>
      </c>
      <c r="D1471" s="2" t="str">
        <f t="shared" ref="D1471:D1534" si="22">IF(ISBLANK(B1471),"OK",IF(A1471-B1471=0,"OK","Error?"))</f>
        <v>Error?</v>
      </c>
    </row>
    <row r="1472" spans="1:4" x14ac:dyDescent="0.2">
      <c r="A1472" s="5">
        <v>1411</v>
      </c>
      <c r="B1472" s="138">
        <f>'Expenditures 15-22'!K223</f>
        <v>5309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62642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983</v>
      </c>
      <c r="C1476" s="2" t="s">
        <v>573</v>
      </c>
      <c r="D1476" s="2" t="str">
        <f t="shared" si="22"/>
        <v>Error?</v>
      </c>
    </row>
    <row r="1477" spans="1:4" x14ac:dyDescent="0.2">
      <c r="A1477" s="5">
        <v>1416</v>
      </c>
      <c r="B1477" s="138">
        <f>'Expenditures 15-22'!K234</f>
        <v>5860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11243</v>
      </c>
      <c r="C1480" s="2" t="s">
        <v>573</v>
      </c>
      <c r="D1480" s="2" t="str">
        <f t="shared" si="22"/>
        <v>Error?</v>
      </c>
    </row>
    <row r="1481" spans="1:4" x14ac:dyDescent="0.2">
      <c r="A1481" s="5">
        <v>1420</v>
      </c>
      <c r="B1481" s="138">
        <f>'Expenditures 15-22'!K238</f>
        <v>18086</v>
      </c>
      <c r="C1481" s="2" t="s">
        <v>573</v>
      </c>
      <c r="D1481" s="2" t="str">
        <f t="shared" si="22"/>
        <v>Error?</v>
      </c>
    </row>
    <row r="1482" spans="1:4" x14ac:dyDescent="0.2">
      <c r="A1482" s="5">
        <v>1421</v>
      </c>
      <c r="B1482" s="138">
        <f>'Expenditures 15-22'!K240</f>
        <v>5409</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5409</v>
      </c>
      <c r="C1485" s="2" t="s">
        <v>573</v>
      </c>
      <c r="D1485" s="2" t="str">
        <f t="shared" si="22"/>
        <v>Error?</v>
      </c>
    </row>
    <row r="1486" spans="1:4" x14ac:dyDescent="0.2">
      <c r="A1486" s="5">
        <v>1425</v>
      </c>
      <c r="B1486" s="138">
        <f>'Expenditures 15-22'!K245</f>
        <v>763</v>
      </c>
      <c r="C1486" s="2" t="s">
        <v>573</v>
      </c>
      <c r="D1486" s="2" t="str">
        <f t="shared" si="22"/>
        <v>Error?</v>
      </c>
    </row>
    <row r="1487" spans="1:4" x14ac:dyDescent="0.2">
      <c r="A1487" s="5">
        <v>1426</v>
      </c>
      <c r="B1487" s="138">
        <f>'Expenditures 15-22'!K246</f>
        <v>781</v>
      </c>
      <c r="C1487" s="2" t="s">
        <v>573</v>
      </c>
      <c r="D1487" s="2" t="str">
        <f t="shared" si="22"/>
        <v>Error?</v>
      </c>
    </row>
    <row r="1488" spans="1:4" x14ac:dyDescent="0.2">
      <c r="A1488" s="5">
        <v>1427</v>
      </c>
      <c r="B1488" s="138">
        <f>'Expenditures 15-22'!K257</f>
        <v>1544</v>
      </c>
      <c r="C1488" s="2" t="s">
        <v>573</v>
      </c>
      <c r="D1488" s="2" t="str">
        <f t="shared" si="22"/>
        <v>Error?</v>
      </c>
    </row>
    <row r="1489" spans="1:4" x14ac:dyDescent="0.2">
      <c r="A1489" s="5">
        <v>1428</v>
      </c>
      <c r="B1489" s="138">
        <f>'Expenditures 15-22'!K259</f>
        <v>8768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8768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9296</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29063</v>
      </c>
      <c r="C1495" s="2" t="s">
        <v>573</v>
      </c>
      <c r="D1495" s="2" t="str">
        <f t="shared" si="22"/>
        <v>Error?</v>
      </c>
    </row>
    <row r="1496" spans="1:4" x14ac:dyDescent="0.2">
      <c r="A1496" s="5">
        <v>1435</v>
      </c>
      <c r="B1496" s="138">
        <f>'Expenditures 15-22'!K267</f>
        <v>27068</v>
      </c>
      <c r="C1496" s="2" t="s">
        <v>573</v>
      </c>
      <c r="D1496" s="2" t="str">
        <f t="shared" si="22"/>
        <v>Error?</v>
      </c>
    </row>
    <row r="1497" spans="1:4" x14ac:dyDescent="0.2">
      <c r="A1497" s="5">
        <v>1436</v>
      </c>
      <c r="B1497" s="138">
        <f>'Expenditures 15-22'!K268</f>
        <v>22486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87913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121720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184362</v>
      </c>
      <c r="C1517" s="2" t="s">
        <v>573</v>
      </c>
      <c r="D1517" s="2" t="str">
        <f t="shared" si="22"/>
        <v>Error?</v>
      </c>
    </row>
    <row r="1518" spans="1:4" x14ac:dyDescent="0.2">
      <c r="A1518" s="5">
        <v>1457</v>
      </c>
      <c r="B1518" s="138">
        <f>'Expenditures 15-22'!K296</f>
        <v>-58100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8458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8458</v>
      </c>
      <c r="C1535" s="2" t="s">
        <v>573</v>
      </c>
      <c r="D1535" s="2" t="str">
        <f t="shared" ref="D1535:D1598" si="23">IF(ISBLANK(B1535),"OK",IF(A1535-B1535=0,"OK","Error?"))</f>
        <v>Error?</v>
      </c>
    </row>
    <row r="1536" spans="1:4" x14ac:dyDescent="0.2">
      <c r="A1536" s="5">
        <v>1475</v>
      </c>
      <c r="B1536" s="138">
        <f>'Expenditures 15-22'!E312</f>
        <v>8458</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8458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8458</v>
      </c>
      <c r="C1559" s="2" t="s">
        <v>573</v>
      </c>
      <c r="D1559" s="2" t="str">
        <f t="shared" si="23"/>
        <v>Error?</v>
      </c>
    </row>
    <row r="1560" spans="1:4" x14ac:dyDescent="0.2">
      <c r="A1560" s="5">
        <v>1499</v>
      </c>
      <c r="B1560" s="138">
        <f>'Expenditures 15-22'!K312</f>
        <v>8458</v>
      </c>
      <c r="C1560" s="2" t="s">
        <v>573</v>
      </c>
      <c r="D1560" s="2" t="str">
        <f t="shared" si="23"/>
        <v>Error?</v>
      </c>
    </row>
    <row r="1561" spans="1:4" x14ac:dyDescent="0.2">
      <c r="A1561" s="5">
        <v>1500</v>
      </c>
      <c r="B1561" s="138">
        <f>'Expenditures 15-22'!K313</f>
        <v>26905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2458191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996438</v>
      </c>
      <c r="C1630" s="2" t="s">
        <v>573</v>
      </c>
      <c r="D1630" s="2" t="str">
        <f t="shared" si="24"/>
        <v>Error?</v>
      </c>
    </row>
    <row r="1631" spans="1:4" x14ac:dyDescent="0.2">
      <c r="A1631" s="5">
        <v>1570</v>
      </c>
      <c r="B1631" s="138">
        <f>'Acct Summary 7-8'!D79</f>
        <v>619599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154235</v>
      </c>
      <c r="C1644" s="2" t="s">
        <v>573</v>
      </c>
      <c r="D1644" s="2" t="str">
        <f t="shared" si="24"/>
        <v>Error?</v>
      </c>
    </row>
    <row r="1645" spans="1:4" x14ac:dyDescent="0.2">
      <c r="A1645" s="5">
        <v>1584</v>
      </c>
      <c r="B1645" s="138">
        <f>'Acct Summary 7-8'!E79</f>
        <v>4270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6589</v>
      </c>
      <c r="C1658" s="2" t="s">
        <v>573</v>
      </c>
      <c r="D1658" s="2" t="str">
        <f t="shared" si="24"/>
        <v>Error?</v>
      </c>
    </row>
    <row r="1659" spans="1:4" x14ac:dyDescent="0.2">
      <c r="A1659" s="5">
        <v>1598</v>
      </c>
      <c r="B1659" s="138">
        <f>'Acct Summary 7-8'!F79</f>
        <v>527547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321445</v>
      </c>
      <c r="C1672" s="2" t="s">
        <v>573</v>
      </c>
      <c r="D1672" s="2" t="str">
        <f t="shared" si="25"/>
        <v>Error?</v>
      </c>
    </row>
    <row r="1673" spans="1:4" x14ac:dyDescent="0.2">
      <c r="A1673" s="5">
        <v>1612</v>
      </c>
      <c r="B1673" s="138">
        <f>'Acct Summary 7-8'!G79</f>
        <v>-30012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-88112</v>
      </c>
      <c r="C1686" s="2" t="s">
        <v>573</v>
      </c>
      <c r="D1686" s="2" t="str">
        <f t="shared" si="25"/>
        <v>Error?</v>
      </c>
    </row>
    <row r="1687" spans="1:4" x14ac:dyDescent="0.2">
      <c r="A1687" s="5">
        <v>1626</v>
      </c>
      <c r="B1687" s="138">
        <f>'Acct Summary 7-8'!H79</f>
        <v>-16760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10145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1586256</v>
      </c>
      <c r="C1744" s="2" t="s">
        <v>573</v>
      </c>
      <c r="D1744" s="2" t="str">
        <f t="shared" si="26"/>
        <v>Error?</v>
      </c>
    </row>
    <row r="1745" spans="1:5" x14ac:dyDescent="0.2">
      <c r="A1745" s="5">
        <v>1684</v>
      </c>
      <c r="B1745" s="138">
        <f>'Tax Sched 23'!B5</f>
        <v>216645</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83088</v>
      </c>
      <c r="C1747" s="2" t="s">
        <v>573</v>
      </c>
      <c r="D1747" s="2" t="str">
        <f t="shared" si="26"/>
        <v>Error?</v>
      </c>
    </row>
    <row r="1748" spans="1:5" x14ac:dyDescent="0.2">
      <c r="A1748" s="5">
        <v>1687</v>
      </c>
      <c r="B1748" s="138">
        <f>'Tax Sched 23'!B8</f>
        <v>62326</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47082</v>
      </c>
      <c r="C1752" s="2" t="s">
        <v>573</v>
      </c>
      <c r="D1752" s="2" t="str">
        <f t="shared" si="26"/>
        <v>Error?</v>
      </c>
    </row>
    <row r="1753" spans="1:5" x14ac:dyDescent="0.2">
      <c r="A1753" s="5">
        <v>1692</v>
      </c>
      <c r="B1753" s="138">
        <f>'Tax Sched 23'!B12</f>
        <v>6263</v>
      </c>
      <c r="C1753" s="2" t="s">
        <v>573</v>
      </c>
      <c r="D1753" s="2" t="str">
        <f t="shared" si="26"/>
        <v>Error?</v>
      </c>
    </row>
    <row r="1754" spans="1:5" x14ac:dyDescent="0.2">
      <c r="A1754" s="5">
        <v>1693</v>
      </c>
      <c r="B1754" s="138">
        <f>'Tax Sched 23'!B14</f>
        <v>19387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2081981</v>
      </c>
      <c r="C1759" s="2" t="s">
        <v>573</v>
      </c>
      <c r="D1759" s="2" t="str">
        <f t="shared" si="26"/>
        <v>Error?</v>
      </c>
    </row>
    <row r="1760" spans="1:5" x14ac:dyDescent="0.2">
      <c r="A1760" s="5">
        <v>1699</v>
      </c>
      <c r="B1760" s="138">
        <f>'Tax Sched 23'!D4</f>
        <v>1194646</v>
      </c>
      <c r="C1760" s="2" t="s">
        <v>573</v>
      </c>
      <c r="D1760" s="2" t="str">
        <f t="shared" si="26"/>
        <v>Error?</v>
      </c>
    </row>
    <row r="1761" spans="1:5" x14ac:dyDescent="0.2">
      <c r="A1761" s="5">
        <v>1700</v>
      </c>
      <c r="B1761" s="138">
        <f>'Tax Sched 23'!D5</f>
        <v>161748</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62211</v>
      </c>
      <c r="C1763" s="2" t="s">
        <v>573</v>
      </c>
      <c r="D1763" s="2" t="str">
        <f t="shared" si="26"/>
        <v>Error?</v>
      </c>
    </row>
    <row r="1764" spans="1:5" x14ac:dyDescent="0.2">
      <c r="A1764" s="5">
        <v>1703</v>
      </c>
      <c r="B1764" s="138">
        <f>'Tax Sched 23'!D8</f>
        <v>45624</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35252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14516</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1559621</v>
      </c>
      <c r="C1775" s="2" t="s">
        <v>573</v>
      </c>
      <c r="D1775" s="2" t="str">
        <f t="shared" si="26"/>
        <v>Error?</v>
      </c>
    </row>
    <row r="1776" spans="1:5" x14ac:dyDescent="0.2">
      <c r="A1776" s="5">
        <v>1715</v>
      </c>
      <c r="B1776" s="138">
        <f>'Tax Sched 23'!C4</f>
        <v>391610</v>
      </c>
      <c r="D1776" s="2" t="str">
        <f t="shared" si="26"/>
        <v>Error?</v>
      </c>
    </row>
    <row r="1777" spans="1:4" x14ac:dyDescent="0.2">
      <c r="A1777" s="5">
        <v>1716</v>
      </c>
      <c r="B1777" s="138">
        <f>'Tax Sched 23'!C5</f>
        <v>54897</v>
      </c>
      <c r="D1777" s="2" t="str">
        <f t="shared" si="26"/>
        <v>Error?</v>
      </c>
    </row>
    <row r="1778" spans="1:4" x14ac:dyDescent="0.2">
      <c r="A1778" s="5">
        <v>1717</v>
      </c>
      <c r="B1778" s="138">
        <f>'Tax Sched 23'!C6</f>
        <v>0</v>
      </c>
      <c r="D1778" s="2" t="str">
        <f t="shared" si="26"/>
        <v>Error?</v>
      </c>
    </row>
    <row r="1779" spans="1:4" x14ac:dyDescent="0.2">
      <c r="A1779" s="5">
        <v>1718</v>
      </c>
      <c r="B1779" s="138">
        <f>'Tax Sched 23'!C7</f>
        <v>20877</v>
      </c>
      <c r="D1779" s="2" t="str">
        <f t="shared" si="26"/>
        <v>Error?</v>
      </c>
    </row>
    <row r="1780" spans="1:4" x14ac:dyDescent="0.2">
      <c r="A1780" s="5">
        <v>1719</v>
      </c>
      <c r="B1780" s="138">
        <f>'Tax Sched 23'!C8</f>
        <v>16702</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11830</v>
      </c>
      <c r="D1784" s="2" t="str">
        <f t="shared" si="26"/>
        <v>Error?</v>
      </c>
    </row>
    <row r="1785" spans="1:4" x14ac:dyDescent="0.2">
      <c r="A1785" s="5">
        <v>1724</v>
      </c>
      <c r="B1785" s="138">
        <f>'Tax Sched 23'!C12</f>
        <v>6263</v>
      </c>
      <c r="D1785" s="2" t="str">
        <f t="shared" si="26"/>
        <v>Error?</v>
      </c>
    </row>
    <row r="1786" spans="1:4" x14ac:dyDescent="0.2">
      <c r="A1786" s="5">
        <v>1725</v>
      </c>
      <c r="B1786" s="138">
        <f>'Tax Sched 23'!C14</f>
        <v>4871</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522360</v>
      </c>
      <c r="C1791" s="2" t="s">
        <v>573</v>
      </c>
      <c r="D1791" s="2" t="str">
        <f t="shared" ref="D1791:D1854" si="27">IF(ISBLANK(B1791),"OK",IF(A1791-B1791=0,"OK","Error?"))</f>
        <v>Error?</v>
      </c>
    </row>
    <row r="1792" spans="1:4" x14ac:dyDescent="0.2">
      <c r="A1792" s="5">
        <v>1731</v>
      </c>
      <c r="B1792" s="138">
        <f>'Tax Sched 23'!F4</f>
        <v>2424695</v>
      </c>
      <c r="C1792" s="2" t="s">
        <v>573</v>
      </c>
      <c r="D1792" s="2" t="str">
        <f t="shared" si="27"/>
        <v>Error?</v>
      </c>
    </row>
    <row r="1793" spans="1:4" x14ac:dyDescent="0.2">
      <c r="A1793" s="5">
        <v>1732</v>
      </c>
      <c r="B1793" s="138">
        <f>'Tax Sched 23'!F5</f>
        <v>339241</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129131</v>
      </c>
      <c r="C1795" s="2" t="s">
        <v>573</v>
      </c>
      <c r="D1795" s="2" t="str">
        <f t="shared" si="27"/>
        <v>Error?</v>
      </c>
    </row>
    <row r="1796" spans="1:4" x14ac:dyDescent="0.2">
      <c r="A1796" s="5">
        <v>1735</v>
      </c>
      <c r="B1796" s="138">
        <f>'Tax Sched 23'!F8</f>
        <v>103306</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73177</v>
      </c>
      <c r="C1800" s="2" t="s">
        <v>573</v>
      </c>
      <c r="D1800" s="2" t="str">
        <f t="shared" si="27"/>
        <v>Error?</v>
      </c>
    </row>
    <row r="1801" spans="1:4" x14ac:dyDescent="0.2">
      <c r="A1801" s="5">
        <v>1740</v>
      </c>
      <c r="B1801" s="138">
        <f>'Tax Sched 23'!F12</f>
        <v>38741</v>
      </c>
      <c r="C1801" s="2" t="s">
        <v>573</v>
      </c>
      <c r="D1801" s="2" t="str">
        <f t="shared" si="27"/>
        <v>Error?</v>
      </c>
    </row>
    <row r="1802" spans="1:4" x14ac:dyDescent="0.2">
      <c r="A1802" s="5">
        <v>1741</v>
      </c>
      <c r="B1802" s="138">
        <f>'Tax Sched 23'!F14</f>
        <v>30130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3233116</v>
      </c>
      <c r="C1807" s="2" t="s">
        <v>573</v>
      </c>
      <c r="D1807" s="2" t="str">
        <f t="shared" si="27"/>
        <v>Error?</v>
      </c>
    </row>
    <row r="1808" spans="1:4" x14ac:dyDescent="0.2">
      <c r="A1808" s="5">
        <v>1747</v>
      </c>
      <c r="B1808" s="138">
        <f>'Tax Sched 23'!E4</f>
        <v>2816305</v>
      </c>
      <c r="D1808" s="2" t="str">
        <f t="shared" si="27"/>
        <v>Error?</v>
      </c>
    </row>
    <row r="1809" spans="1:4" x14ac:dyDescent="0.2">
      <c r="A1809" s="5">
        <v>1748</v>
      </c>
      <c r="B1809" s="138">
        <f>'Tax Sched 23'!E5</f>
        <v>394138</v>
      </c>
      <c r="D1809" s="2" t="str">
        <f t="shared" si="27"/>
        <v>Error?</v>
      </c>
    </row>
    <row r="1810" spans="1:4" x14ac:dyDescent="0.2">
      <c r="A1810" s="5">
        <v>1749</v>
      </c>
      <c r="B1810" s="138">
        <f>'Tax Sched 23'!E6</f>
        <v>0</v>
      </c>
      <c r="D1810" s="2" t="str">
        <f t="shared" si="27"/>
        <v>Error?</v>
      </c>
    </row>
    <row r="1811" spans="1:4" x14ac:dyDescent="0.2">
      <c r="A1811" s="5">
        <v>1750</v>
      </c>
      <c r="B1811" s="138">
        <f>'Tax Sched 23'!E7</f>
        <v>150008</v>
      </c>
      <c r="D1811" s="2" t="str">
        <f t="shared" si="27"/>
        <v>Error?</v>
      </c>
    </row>
    <row r="1812" spans="1:4" x14ac:dyDescent="0.2">
      <c r="A1812" s="5">
        <v>1751</v>
      </c>
      <c r="B1812" s="138">
        <f>'Tax Sched 23'!E8</f>
        <v>120008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85007</v>
      </c>
      <c r="D1816" s="2" t="str">
        <f t="shared" si="27"/>
        <v>Error?</v>
      </c>
    </row>
    <row r="1817" spans="1:4" x14ac:dyDescent="0.2">
      <c r="A1817" s="5">
        <v>1756</v>
      </c>
      <c r="B1817" s="138">
        <f>'Tax Sched 23'!E12</f>
        <v>45004</v>
      </c>
      <c r="D1817" s="2" t="str">
        <f t="shared" si="27"/>
        <v>Error?</v>
      </c>
    </row>
    <row r="1818" spans="1:4" x14ac:dyDescent="0.2">
      <c r="A1818" s="5">
        <v>1757</v>
      </c>
      <c r="B1818" s="138">
        <f>'Tax Sched 23'!E14</f>
        <v>35001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3755476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710697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19387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19387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220045</v>
      </c>
      <c r="C1982" s="2" t="s">
        <v>573</v>
      </c>
      <c r="D1982" s="2" t="str">
        <f t="shared" si="29"/>
        <v>Error?</v>
      </c>
    </row>
    <row r="1983" spans="1:5" x14ac:dyDescent="0.2">
      <c r="A1983" s="5">
        <v>1922</v>
      </c>
      <c r="B1983" s="138">
        <f>'Rest Tax Levies-Tort Im 25'!H24</f>
        <v>-200658</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22782</v>
      </c>
      <c r="D2008" s="2" t="str">
        <f t="shared" si="30"/>
        <v>Error?</v>
      </c>
    </row>
    <row r="2009" spans="1:4" x14ac:dyDescent="0.2">
      <c r="A2009" s="5">
        <v>1948</v>
      </c>
      <c r="B2009" s="138">
        <f>'Cap Outlay Deprec 26'!C8</f>
        <v>4133502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288916</v>
      </c>
      <c r="D2011" s="2" t="str">
        <f t="shared" si="30"/>
        <v>Error?</v>
      </c>
    </row>
    <row r="2012" spans="1:4" x14ac:dyDescent="0.2">
      <c r="A2012" s="5">
        <v>1951</v>
      </c>
      <c r="B2012" s="138">
        <f>'Cap Outlay Deprec 26'!C13</f>
        <v>819803</v>
      </c>
      <c r="D2012" s="2" t="str">
        <f t="shared" si="30"/>
        <v>Error?</v>
      </c>
    </row>
    <row r="2013" spans="1:4" x14ac:dyDescent="0.2">
      <c r="A2013" s="5">
        <v>1952</v>
      </c>
      <c r="B2013" s="138">
        <f>'Cap Outlay Deprec 26'!C16</f>
        <v>5265003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15970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21939</v>
      </c>
      <c r="D2017" s="2" t="str">
        <f t="shared" si="30"/>
        <v>Error?</v>
      </c>
    </row>
    <row r="2018" spans="1:4" x14ac:dyDescent="0.2">
      <c r="A2018" s="5">
        <v>1957</v>
      </c>
      <c r="B2018" s="138">
        <f>'Cap Outlay Deprec 26'!D13</f>
        <v>138065</v>
      </c>
      <c r="D2018" s="2" t="str">
        <f t="shared" si="30"/>
        <v>Error?</v>
      </c>
    </row>
    <row r="2019" spans="1:4" x14ac:dyDescent="0.2">
      <c r="A2019" s="5">
        <v>1958</v>
      </c>
      <c r="B2019" s="138">
        <f>'Cap Outlay Deprec 26'!D16</f>
        <v>619708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127471</v>
      </c>
      <c r="D2024" s="2" t="str">
        <f t="shared" si="30"/>
        <v>Error?</v>
      </c>
    </row>
    <row r="2025" spans="1:4" x14ac:dyDescent="0.2">
      <c r="A2025" s="5">
        <v>1964</v>
      </c>
      <c r="B2025" s="138">
        <f>'Cap Outlay Deprec 26'!E16</f>
        <v>127471</v>
      </c>
      <c r="C2025" s="2" t="s">
        <v>573</v>
      </c>
      <c r="D2025" s="2" t="str">
        <f t="shared" si="30"/>
        <v>Error?</v>
      </c>
    </row>
    <row r="2026" spans="1:4" x14ac:dyDescent="0.2">
      <c r="A2026" s="5">
        <v>1965</v>
      </c>
      <c r="B2026" s="138">
        <f>'Cap Outlay Deprec 26'!F5</f>
        <v>22782</v>
      </c>
      <c r="C2026" s="2" t="s">
        <v>573</v>
      </c>
      <c r="D2026" s="2" t="str">
        <f t="shared" si="30"/>
        <v>Error?</v>
      </c>
    </row>
    <row r="2027" spans="1:4" x14ac:dyDescent="0.2">
      <c r="A2027" s="5">
        <v>1966</v>
      </c>
      <c r="B2027" s="138">
        <f>'Cap Outlay Deprec 26'!F8</f>
        <v>4149472</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310855</v>
      </c>
      <c r="C2029" s="2" t="s">
        <v>573</v>
      </c>
      <c r="D2029" s="2" t="str">
        <f t="shared" si="30"/>
        <v>Error?</v>
      </c>
    </row>
    <row r="2030" spans="1:4" x14ac:dyDescent="0.2">
      <c r="A2030" s="5">
        <v>1969</v>
      </c>
      <c r="B2030" s="138">
        <f>'Cap Outlay Deprec 26'!F13</f>
        <v>830397</v>
      </c>
      <c r="C2030" s="2" t="s">
        <v>573</v>
      </c>
      <c r="D2030" s="2" t="str">
        <f t="shared" si="30"/>
        <v>Error?</v>
      </c>
    </row>
    <row r="2031" spans="1:4" x14ac:dyDescent="0.2">
      <c r="A2031" s="5">
        <v>1970</v>
      </c>
      <c r="B2031" s="138">
        <f>'Cap Outlay Deprec 26'!F16</f>
        <v>5757240</v>
      </c>
      <c r="C2031" s="2" t="s">
        <v>573</v>
      </c>
      <c r="D2031" s="2" t="str">
        <f t="shared" si="30"/>
        <v>Error?</v>
      </c>
    </row>
    <row r="2032" spans="1:4" x14ac:dyDescent="0.2">
      <c r="A2032" s="10">
        <v>1971</v>
      </c>
      <c r="D2032" s="2" t="str">
        <f t="shared" si="30"/>
        <v>OK</v>
      </c>
    </row>
    <row r="2033" spans="1:4" x14ac:dyDescent="0.2">
      <c r="A2033" s="5">
        <v>1972</v>
      </c>
      <c r="B2033" s="138">
        <f>'Cap Outlay Deprec 26'!H8</f>
        <v>2390665</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270268</v>
      </c>
      <c r="D2035" s="2" t="str">
        <f t="shared" si="30"/>
        <v>Error?</v>
      </c>
    </row>
    <row r="2036" spans="1:4" x14ac:dyDescent="0.2">
      <c r="A2036" s="5">
        <v>1975</v>
      </c>
      <c r="B2036" s="138">
        <f>'Cap Outlay Deprec 26'!H13</f>
        <v>681642</v>
      </c>
      <c r="D2036" s="2" t="str">
        <f t="shared" si="30"/>
        <v>Error?</v>
      </c>
    </row>
    <row r="2037" spans="1:4" x14ac:dyDescent="0.2">
      <c r="A2037" s="5">
        <v>1976</v>
      </c>
      <c r="B2037" s="138">
        <f>'Cap Outlay Deprec 26'!H16</f>
        <v>3342575</v>
      </c>
      <c r="C2037" s="2" t="s">
        <v>573</v>
      </c>
      <c r="D2037" s="2" t="str">
        <f t="shared" si="30"/>
        <v>Error?</v>
      </c>
    </row>
    <row r="2038" spans="1:4" x14ac:dyDescent="0.2">
      <c r="A2038" s="10">
        <v>1977</v>
      </c>
      <c r="D2038" s="2" t="str">
        <f t="shared" si="30"/>
        <v>OK</v>
      </c>
    </row>
    <row r="2039" spans="1:4" x14ac:dyDescent="0.2">
      <c r="A2039" s="5">
        <v>1978</v>
      </c>
      <c r="B2039" s="138">
        <f>'Cap Outlay Deprec 26'!I8</f>
        <v>82344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7366</v>
      </c>
      <c r="D2041" s="2" t="str">
        <f t="shared" si="30"/>
        <v>Error?</v>
      </c>
    </row>
    <row r="2042" spans="1:4" x14ac:dyDescent="0.2">
      <c r="A2042" s="5">
        <v>1981</v>
      </c>
      <c r="B2042" s="138">
        <f>'Cap Outlay Deprec 26'!I13</f>
        <v>66999</v>
      </c>
      <c r="D2042" s="2" t="str">
        <f t="shared" si="30"/>
        <v>Error?</v>
      </c>
    </row>
    <row r="2043" spans="1:4" x14ac:dyDescent="0.2">
      <c r="A2043" s="5">
        <v>1982</v>
      </c>
      <c r="B2043" s="138">
        <f>'Cap Outlay Deprec 26'!I16</f>
        <v>156709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127471</v>
      </c>
      <c r="D2048" s="2" t="str">
        <f t="shared" si="31"/>
        <v>Error?</v>
      </c>
    </row>
    <row r="2049" spans="1:4" x14ac:dyDescent="0.2">
      <c r="A2049" s="5">
        <v>1988</v>
      </c>
      <c r="B2049" s="138">
        <f>'Cap Outlay Deprec 26'!J16</f>
        <v>127471</v>
      </c>
      <c r="C2049" s="2" t="s">
        <v>573</v>
      </c>
      <c r="D2049" s="2" t="str">
        <f t="shared" si="31"/>
        <v>Error?</v>
      </c>
    </row>
    <row r="2050" spans="1:4" x14ac:dyDescent="0.2">
      <c r="A2050" s="10">
        <v>1989</v>
      </c>
      <c r="D2050" s="2" t="str">
        <f t="shared" si="31"/>
        <v>OK</v>
      </c>
    </row>
    <row r="2051" spans="1:4" x14ac:dyDescent="0.2">
      <c r="A2051" s="5">
        <v>1990</v>
      </c>
      <c r="B2051" s="138">
        <f>'Cap Outlay Deprec 26'!K8</f>
        <v>2473009</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277634</v>
      </c>
      <c r="C2053" s="2" t="s">
        <v>573</v>
      </c>
      <c r="D2053" s="2" t="str">
        <f t="shared" si="31"/>
        <v>Error?</v>
      </c>
    </row>
    <row r="2054" spans="1:4" x14ac:dyDescent="0.2">
      <c r="A2054" s="5">
        <v>1993</v>
      </c>
      <c r="B2054" s="138">
        <f>'Cap Outlay Deprec 26'!K13</f>
        <v>621170</v>
      </c>
      <c r="C2054" s="2" t="s">
        <v>573</v>
      </c>
      <c r="D2054" s="2" t="str">
        <f t="shared" si="31"/>
        <v>Error?</v>
      </c>
    </row>
    <row r="2055" spans="1:4" x14ac:dyDescent="0.2">
      <c r="A2055" s="5">
        <v>1994</v>
      </c>
      <c r="B2055" s="138">
        <f>'Cap Outlay Deprec 26'!K16</f>
        <v>3371813</v>
      </c>
      <c r="C2055" s="2" t="s">
        <v>573</v>
      </c>
      <c r="D2055" s="2" t="str">
        <f t="shared" si="31"/>
        <v>Error?</v>
      </c>
    </row>
    <row r="2056" spans="1:4" x14ac:dyDescent="0.2">
      <c r="A2056" s="5">
        <v>1995</v>
      </c>
      <c r="B2056" s="138">
        <f>'Cap Outlay Deprec 26'!L5</f>
        <v>22782</v>
      </c>
      <c r="C2056" s="2" t="s">
        <v>573</v>
      </c>
      <c r="D2056" s="2" t="str">
        <f t="shared" si="31"/>
        <v>Error?</v>
      </c>
    </row>
    <row r="2057" spans="1:4" x14ac:dyDescent="0.2">
      <c r="A2057" s="5">
        <v>1996</v>
      </c>
      <c r="B2057" s="138">
        <f>'Cap Outlay Deprec 26'!L8</f>
        <v>1676463</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33221</v>
      </c>
      <c r="C2059" s="2" t="s">
        <v>573</v>
      </c>
      <c r="D2059" s="2" t="str">
        <f t="shared" si="31"/>
        <v>Error?</v>
      </c>
    </row>
    <row r="2060" spans="1:4" x14ac:dyDescent="0.2">
      <c r="A2060" s="5">
        <v>1999</v>
      </c>
      <c r="B2060" s="138">
        <f>'Cap Outlay Deprec 26'!L13</f>
        <v>209227</v>
      </c>
      <c r="C2060" s="2" t="s">
        <v>573</v>
      </c>
      <c r="D2060" s="2" t="str">
        <f t="shared" si="31"/>
        <v>Error?</v>
      </c>
    </row>
    <row r="2061" spans="1:4" x14ac:dyDescent="0.2">
      <c r="A2061" s="5">
        <v>2000</v>
      </c>
      <c r="B2061" s="138">
        <f>'Cap Outlay Deprec 26'!L16</f>
        <v>2385427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65115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65115</v>
      </c>
      <c r="C2088" s="2" t="s">
        <v>573</v>
      </c>
      <c r="D2088" s="2" t="str">
        <f t="shared" si="31"/>
        <v>Error?</v>
      </c>
    </row>
    <row r="2089" spans="1:4" x14ac:dyDescent="0.2">
      <c r="A2089" s="5">
        <v>2028</v>
      </c>
      <c r="B2089" s="138">
        <f>'Expenditures 15-22'!K92</f>
        <v>19447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37408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-88112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1756386</v>
      </c>
      <c r="C2551" s="2" t="s">
        <v>573</v>
      </c>
      <c r="D2551" s="2" t="str">
        <f t="shared" si="38"/>
        <v>Error?</v>
      </c>
    </row>
    <row r="2552" spans="1:4" x14ac:dyDescent="0.2">
      <c r="A2552" s="10">
        <v>2491</v>
      </c>
      <c r="D2552" s="2" t="str">
        <f t="shared" si="38"/>
        <v>OK</v>
      </c>
    </row>
    <row r="2553" spans="1:4" x14ac:dyDescent="0.2">
      <c r="A2553" s="5">
        <v>2492</v>
      </c>
      <c r="B2553" s="138">
        <f>'Acct Summary 7-8'!C6</f>
        <v>339644</v>
      </c>
      <c r="C2553" s="2" t="s">
        <v>573</v>
      </c>
      <c r="D2553" s="2" t="str">
        <f t="shared" si="38"/>
        <v>Error?</v>
      </c>
    </row>
    <row r="2554" spans="1:4" x14ac:dyDescent="0.2">
      <c r="A2554" s="5">
        <v>2493</v>
      </c>
      <c r="B2554" s="138">
        <f>'Acct Summary 7-8'!C7</f>
        <v>125924</v>
      </c>
      <c r="C2554" s="2" t="s">
        <v>573</v>
      </c>
      <c r="D2554" s="2" t="str">
        <f t="shared" si="38"/>
        <v>Error?</v>
      </c>
    </row>
    <row r="2555" spans="1:4" x14ac:dyDescent="0.2">
      <c r="A2555" s="5">
        <v>2494</v>
      </c>
      <c r="B2555" s="138">
        <f>'Acct Summary 7-8'!C8</f>
        <v>2221954</v>
      </c>
      <c r="C2555" s="2" t="s">
        <v>573</v>
      </c>
      <c r="D2555" s="2" t="str">
        <f t="shared" si="38"/>
        <v>Error?</v>
      </c>
    </row>
    <row r="2556" spans="1:4" x14ac:dyDescent="0.2">
      <c r="A2556" s="5">
        <v>2495</v>
      </c>
      <c r="B2556" s="138">
        <f>'Acct Summary 7-8'!C12</f>
        <v>2382694</v>
      </c>
      <c r="C2556" s="2" t="s">
        <v>573</v>
      </c>
      <c r="D2556" s="2" t="str">
        <f t="shared" si="38"/>
        <v>Error?</v>
      </c>
    </row>
    <row r="2557" spans="1:4" x14ac:dyDescent="0.2">
      <c r="A2557" s="5">
        <v>2496</v>
      </c>
      <c r="B2557" s="138">
        <f>'Acct Summary 7-8'!C13</f>
        <v>965951</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84562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3433207</v>
      </c>
      <c r="C2561" s="2" t="s">
        <v>573</v>
      </c>
      <c r="D2561" s="2" t="str">
        <f t="shared" si="39"/>
        <v>Error?</v>
      </c>
    </row>
    <row r="2562" spans="1:4" x14ac:dyDescent="0.2">
      <c r="A2562" s="5">
        <v>2501</v>
      </c>
      <c r="B2562" s="138">
        <f>'Acct Summary 7-8'!C20</f>
        <v>-1211253</v>
      </c>
      <c r="C2562" s="2" t="s">
        <v>573</v>
      </c>
      <c r="D2562" s="2" t="str">
        <f t="shared" si="39"/>
        <v>Error?</v>
      </c>
    </row>
    <row r="2563" spans="1:4" x14ac:dyDescent="0.2">
      <c r="A2563" s="5">
        <v>2502</v>
      </c>
      <c r="B2563" s="138">
        <f>'Acct Summary 7-8'!C80</f>
        <v>-500</v>
      </c>
      <c r="D2563" s="2" t="str">
        <f t="shared" si="39"/>
        <v>Error?</v>
      </c>
    </row>
    <row r="2564" spans="1:4" x14ac:dyDescent="0.2">
      <c r="A2564" s="5">
        <v>2503</v>
      </c>
      <c r="B2564" s="138">
        <f>'Acct Summary 7-8'!D4</f>
        <v>298626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298626</v>
      </c>
      <c r="C2568" s="2" t="s">
        <v>573</v>
      </c>
      <c r="D2568" s="2" t="str">
        <f t="shared" si="39"/>
        <v>Error?</v>
      </c>
    </row>
    <row r="2569" spans="1:4" x14ac:dyDescent="0.2">
      <c r="A2569" s="5">
        <v>2508</v>
      </c>
      <c r="B2569" s="138">
        <f>'Acct Summary 7-8'!D13</f>
        <v>1013990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1013990</v>
      </c>
      <c r="C2573" s="2" t="s">
        <v>573</v>
      </c>
      <c r="D2573" s="2" t="str">
        <f t="shared" si="39"/>
        <v>Error?</v>
      </c>
    </row>
    <row r="2574" spans="1:4" x14ac:dyDescent="0.2">
      <c r="A2574" s="5">
        <v>2513</v>
      </c>
      <c r="B2574" s="138">
        <f>'Acct Summary 7-8'!D20</f>
        <v>-715364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101041</v>
      </c>
      <c r="C2591" s="2" t="s">
        <v>573</v>
      </c>
      <c r="D2591" s="2" t="str">
        <f t="shared" si="39"/>
        <v>Error?</v>
      </c>
    </row>
    <row r="2592" spans="1:4" x14ac:dyDescent="0.2">
      <c r="A2592" s="10">
        <v>2531</v>
      </c>
      <c r="D2592" s="2" t="str">
        <f t="shared" si="39"/>
        <v>OK</v>
      </c>
    </row>
    <row r="2593" spans="1:4" x14ac:dyDescent="0.2">
      <c r="A2593" s="5">
        <v>2532</v>
      </c>
      <c r="B2593" s="138">
        <f>'Acct Summary 7-8'!F6</f>
        <v>115633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216674</v>
      </c>
      <c r="C2595" s="2" t="s">
        <v>573</v>
      </c>
      <c r="D2595" s="2" t="str">
        <f t="shared" si="39"/>
        <v>Error?</v>
      </c>
    </row>
    <row r="2596" spans="1:4" x14ac:dyDescent="0.2">
      <c r="A2596" s="5">
        <v>2535</v>
      </c>
      <c r="B2596" s="138">
        <f>'Acct Summary 7-8'!F13</f>
        <v>422776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422776</v>
      </c>
      <c r="C2600" s="2" t="s">
        <v>573</v>
      </c>
      <c r="D2600" s="2" t="str">
        <f t="shared" si="39"/>
        <v>Error?</v>
      </c>
    </row>
    <row r="2601" spans="1:4" x14ac:dyDescent="0.2">
      <c r="A2601" s="5">
        <v>2540</v>
      </c>
      <c r="B2601" s="138">
        <f>'Acct Summary 7-8'!F20</f>
        <v>-206102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126262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126262</v>
      </c>
      <c r="C2606" s="2" t="s">
        <v>573</v>
      </c>
      <c r="D2606" s="2" t="str">
        <f t="shared" si="39"/>
        <v>Error?</v>
      </c>
    </row>
    <row r="2607" spans="1:4" x14ac:dyDescent="0.2">
      <c r="A2607" s="5">
        <v>2546</v>
      </c>
      <c r="B2607" s="138">
        <f>'Acct Summary 7-8'!G12</f>
        <v>62642</v>
      </c>
      <c r="C2607" s="2" t="s">
        <v>573</v>
      </c>
      <c r="D2607" s="2" t="str">
        <f t="shared" si="39"/>
        <v>Error?</v>
      </c>
    </row>
    <row r="2608" spans="1:4" x14ac:dyDescent="0.2">
      <c r="A2608" s="5">
        <v>2547</v>
      </c>
      <c r="B2608" s="138">
        <f>'Acct Summary 7-8'!G13</f>
        <v>121720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184362</v>
      </c>
      <c r="C2612" s="2" t="s">
        <v>573</v>
      </c>
      <c r="D2612" s="2" t="str">
        <f t="shared" si="39"/>
        <v>Error?</v>
      </c>
    </row>
    <row r="2613" spans="1:4" x14ac:dyDescent="0.2">
      <c r="A2613" s="5">
        <v>2552</v>
      </c>
      <c r="B2613" s="138">
        <f>'Acct Summary 7-8'!G20</f>
        <v>-58100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123956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123956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121637</v>
      </c>
      <c r="C2634" s="2" t="s">
        <v>573</v>
      </c>
      <c r="D2634" s="2" t="str">
        <f t="shared" si="40"/>
        <v>Error?</v>
      </c>
    </row>
    <row r="2635" spans="1:4" x14ac:dyDescent="0.2">
      <c r="A2635" s="5">
        <v>2574</v>
      </c>
      <c r="B2635" s="138">
        <f>'Acct Summary 7-8'!E17</f>
        <v>121637</v>
      </c>
      <c r="C2635" s="2" t="s">
        <v>573</v>
      </c>
      <c r="D2635" s="2" t="str">
        <f t="shared" si="40"/>
        <v>Error?</v>
      </c>
    </row>
    <row r="2636" spans="1:4" x14ac:dyDescent="0.2">
      <c r="A2636" s="5">
        <v>2575</v>
      </c>
      <c r="B2636" s="138">
        <f>'Acct Summary 7-8'!E20</f>
        <v>2319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35363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35363</v>
      </c>
      <c r="C2658" s="2" t="s">
        <v>573</v>
      </c>
      <c r="D2658" s="2" t="str">
        <f t="shared" si="40"/>
        <v>Error?</v>
      </c>
    </row>
    <row r="2659" spans="1:4" x14ac:dyDescent="0.2">
      <c r="A2659" s="5">
        <v>2598</v>
      </c>
      <c r="B2659" s="138">
        <f>'Acct Summary 7-8'!H13</f>
        <v>8458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8458</v>
      </c>
      <c r="C2661" s="2" t="s">
        <v>573</v>
      </c>
      <c r="D2661" s="2" t="str">
        <f t="shared" si="40"/>
        <v>Error?</v>
      </c>
    </row>
    <row r="2662" spans="1:4" x14ac:dyDescent="0.2">
      <c r="A2662" s="5">
        <v>2601</v>
      </c>
      <c r="B2662" s="138">
        <f>'Acct Summary 7-8'!H20</f>
        <v>26905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443734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70072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70072</v>
      </c>
      <c r="D2914" s="2" t="str">
        <f t="shared" si="44"/>
        <v>Error?</v>
      </c>
    </row>
    <row r="2915" spans="1:4" x14ac:dyDescent="0.2">
      <c r="A2915" s="10">
        <v>2854</v>
      </c>
      <c r="D2915" s="2" t="str">
        <f t="shared" si="44"/>
        <v>OK</v>
      </c>
    </row>
    <row r="2916" spans="1:4" x14ac:dyDescent="0.2">
      <c r="A2916" s="5">
        <v>2855</v>
      </c>
      <c r="B2916" s="138">
        <f>'Assets-Liab 5-6'!L34</f>
        <v>70072</v>
      </c>
      <c r="C2916" s="2" t="s">
        <v>573</v>
      </c>
      <c r="D2916" s="2" t="str">
        <f t="shared" si="44"/>
        <v>Error?</v>
      </c>
    </row>
    <row r="2917" spans="1:4" x14ac:dyDescent="0.2">
      <c r="A2917" s="5">
        <v>2856</v>
      </c>
      <c r="B2917" s="138">
        <f>'Assets-Liab 5-6'!L41</f>
        <v>70072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65115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65115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32471</v>
      </c>
      <c r="D3055" s="2" t="str">
        <f t="shared" si="46"/>
        <v>Error?</v>
      </c>
    </row>
    <row r="3056" spans="1:4" x14ac:dyDescent="0.2">
      <c r="A3056" s="5">
        <v>2995</v>
      </c>
      <c r="B3056" s="138">
        <f>'Expenditures 15-22'!D10</f>
        <v>13377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45848</v>
      </c>
      <c r="C3062" s="2" t="s">
        <v>573</v>
      </c>
      <c r="D3062" s="2" t="str">
        <f t="shared" si="46"/>
        <v>Error?</v>
      </c>
    </row>
    <row r="3063" spans="1:4" x14ac:dyDescent="0.2">
      <c r="A3063" s="10">
        <v>3002</v>
      </c>
      <c r="D3063" s="2" t="str">
        <f t="shared" si="46"/>
        <v>OK</v>
      </c>
    </row>
    <row r="3064" spans="1:4" x14ac:dyDescent="0.2">
      <c r="A3064" s="5">
        <v>3003</v>
      </c>
      <c r="B3064" s="138">
        <f>'Expenditures 15-22'!D219</f>
        <v>6079</v>
      </c>
      <c r="D3064" s="2" t="str">
        <f t="shared" si="46"/>
        <v>Error?</v>
      </c>
    </row>
    <row r="3065" spans="1:4" x14ac:dyDescent="0.2">
      <c r="A3065" s="5">
        <v>3004</v>
      </c>
      <c r="B3065" s="138">
        <f>'Expenditures 15-22'!K219</f>
        <v>6079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250000</v>
      </c>
      <c r="C3231" s="2" t="s">
        <v>573</v>
      </c>
      <c r="D3231" s="2" t="str">
        <f t="shared" si="49"/>
        <v>Error?</v>
      </c>
    </row>
    <row r="3232" spans="1:4" x14ac:dyDescent="0.2">
      <c r="A3232" s="5">
        <v>3171</v>
      </c>
      <c r="B3232" s="138">
        <f>'Acct Summary 7-8'!C77</f>
        <v>-250000</v>
      </c>
      <c r="C3232" s="2" t="s">
        <v>573</v>
      </c>
      <c r="D3232" s="2" t="str">
        <f t="shared" si="49"/>
        <v>Error?</v>
      </c>
    </row>
    <row r="3233" spans="1:4" x14ac:dyDescent="0.2">
      <c r="A3233" s="5">
        <v>3172</v>
      </c>
      <c r="B3233" s="138">
        <f>'Acct Summary 7-8'!C78</f>
        <v>-1461253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250000</v>
      </c>
      <c r="C3238" s="2" t="s">
        <v>573</v>
      </c>
      <c r="D3238" s="2" t="str">
        <f t="shared" si="49"/>
        <v>Error?</v>
      </c>
    </row>
    <row r="3239" spans="1:4" x14ac:dyDescent="0.2">
      <c r="A3239" s="5">
        <v>3178</v>
      </c>
      <c r="B3239" s="138">
        <f>'Acct Summary 7-8'!D78</f>
        <v>-465364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-206102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-58100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2319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26905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170267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29696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19760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220045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30542</v>
      </c>
      <c r="D3387" s="2" t="str">
        <f t="shared" si="51"/>
        <v>Error?</v>
      </c>
    </row>
    <row r="3388" spans="1:4" x14ac:dyDescent="0.2">
      <c r="A3388" s="5">
        <v>3327</v>
      </c>
      <c r="B3388" s="138">
        <f>'Expenditures 15-22'!D217</f>
        <v>12490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30542</v>
      </c>
      <c r="C3390" s="2" t="s">
        <v>573</v>
      </c>
      <c r="D3390" s="2" t="str">
        <f t="shared" si="51"/>
        <v>Error?</v>
      </c>
    </row>
    <row r="3391" spans="1:4" x14ac:dyDescent="0.2">
      <c r="A3391" s="5">
        <v>3330</v>
      </c>
      <c r="B3391" s="138">
        <f>'Expenditures 15-22'!K217</f>
        <v>12490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534789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6588</v>
      </c>
      <c r="D3417" s="2" t="str">
        <f t="shared" si="52"/>
        <v>Error?</v>
      </c>
    </row>
    <row r="3418" spans="1:4" x14ac:dyDescent="0.2">
      <c r="A3418" s="10">
        <v>3357</v>
      </c>
      <c r="D3418" s="2" t="str">
        <f t="shared" si="52"/>
        <v>OK</v>
      </c>
    </row>
    <row r="3419" spans="1:4" x14ac:dyDescent="0.2">
      <c r="A3419" s="5">
        <v>3358</v>
      </c>
      <c r="B3419" s="138">
        <f>'Assets-Liab 5-6'!F4</f>
        <v>306646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10145</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70072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60934</v>
      </c>
      <c r="C3446" s="2" t="s">
        <v>573</v>
      </c>
      <c r="D3446" s="2" t="str">
        <f t="shared" si="52"/>
        <v>Error?</v>
      </c>
    </row>
    <row r="3447" spans="1:4" x14ac:dyDescent="0.2">
      <c r="A3447" s="5">
        <v>3386</v>
      </c>
      <c r="B3447" s="138">
        <f>'Tax Sched 23'!D16</f>
        <v>45624</v>
      </c>
      <c r="C3447" s="2" t="s">
        <v>573</v>
      </c>
      <c r="D3447" s="2" t="str">
        <f t="shared" si="52"/>
        <v>Error?</v>
      </c>
    </row>
    <row r="3448" spans="1:4" x14ac:dyDescent="0.2">
      <c r="A3448" s="5">
        <v>3387</v>
      </c>
      <c r="B3448" s="138">
        <f>'Tax Sched 23'!C16</f>
        <v>15310</v>
      </c>
      <c r="D3448" s="2" t="str">
        <f t="shared" si="52"/>
        <v>Error?</v>
      </c>
    </row>
    <row r="3449" spans="1:4" x14ac:dyDescent="0.2">
      <c r="A3449" s="5">
        <v>3388</v>
      </c>
      <c r="B3449" s="138">
        <f>'Tax Sched 23'!F16</f>
        <v>94695</v>
      </c>
      <c r="C3449" s="2" t="s">
        <v>573</v>
      </c>
      <c r="D3449" s="2" t="str">
        <f t="shared" si="52"/>
        <v>Error?</v>
      </c>
    </row>
    <row r="3450" spans="1:4" x14ac:dyDescent="0.2">
      <c r="A3450" s="5">
        <v>3389</v>
      </c>
      <c r="B3450" s="138">
        <f>'Tax Sched 23'!E16</f>
        <v>110005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443734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443734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443734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46800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46800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46800</v>
      </c>
      <c r="D3567" s="2" t="str">
        <f t="shared" si="54"/>
        <v>Error?</v>
      </c>
    </row>
    <row r="3568" spans="1:4" x14ac:dyDescent="0.2">
      <c r="A3568" s="5">
        <v>3507</v>
      </c>
      <c r="B3568" s="138">
        <f>'Assets-Liab 5-6'!K41</f>
        <v>46800</v>
      </c>
      <c r="C3568" s="2" t="s">
        <v>573</v>
      </c>
      <c r="D3568" s="2" t="str">
        <f t="shared" si="54"/>
        <v>Error?</v>
      </c>
    </row>
    <row r="3569" spans="1:4" x14ac:dyDescent="0.2">
      <c r="A3569" s="5">
        <v>3508</v>
      </c>
      <c r="B3569" s="138">
        <f>'Acct Summary 7-8'!K4</f>
        <v>6318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6318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6318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6318</v>
      </c>
      <c r="C3588" s="2" t="s">
        <v>573</v>
      </c>
      <c r="D3588" s="2" t="str">
        <f t="shared" si="55"/>
        <v>Error?</v>
      </c>
    </row>
    <row r="3589" spans="1:4" x14ac:dyDescent="0.2">
      <c r="A3589" s="5">
        <v>3528</v>
      </c>
      <c r="B3589" s="138">
        <f>'Acct Summary 7-8'!K79</f>
        <v>40482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46800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6318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84661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1211524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3433478</v>
      </c>
      <c r="C4122" s="2" t="s">
        <v>573</v>
      </c>
      <c r="D4122" s="2" t="str">
        <f t="shared" si="63"/>
        <v>Error?</v>
      </c>
    </row>
    <row r="4123" spans="1:4" x14ac:dyDescent="0.2">
      <c r="A4123" s="5">
        <v>4062</v>
      </c>
      <c r="B4123" s="138">
        <f>'Acct Summary 7-8'!D10</f>
        <v>298626</v>
      </c>
      <c r="C4123" s="2" t="s">
        <v>573</v>
      </c>
      <c r="D4123" s="2" t="str">
        <f t="shared" si="63"/>
        <v>Error?</v>
      </c>
    </row>
    <row r="4124" spans="1:4" x14ac:dyDescent="0.2">
      <c r="A4124" s="5">
        <v>4063</v>
      </c>
      <c r="B4124" s="138">
        <f>'Acct Summary 7-8'!E10</f>
        <v>123956</v>
      </c>
      <c r="C4124" s="2" t="s">
        <v>573</v>
      </c>
      <c r="D4124" s="2" t="str">
        <f t="shared" si="63"/>
        <v>Error?</v>
      </c>
    </row>
    <row r="4125" spans="1:4" x14ac:dyDescent="0.2">
      <c r="A4125" s="5">
        <v>4064</v>
      </c>
      <c r="B4125" s="138">
        <f>'Acct Summary 7-8'!F10</f>
        <v>216674</v>
      </c>
      <c r="C4125" s="2" t="s">
        <v>573</v>
      </c>
      <c r="D4125" s="2" t="str">
        <f t="shared" si="63"/>
        <v>Error?</v>
      </c>
    </row>
    <row r="4126" spans="1:4" x14ac:dyDescent="0.2">
      <c r="A4126" s="5">
        <v>4065</v>
      </c>
      <c r="B4126" s="138">
        <f>'Acct Summary 7-8'!G10</f>
        <v>126262</v>
      </c>
      <c r="C4126" s="2" t="s">
        <v>573</v>
      </c>
      <c r="D4126" s="2" t="str">
        <f t="shared" si="63"/>
        <v>Error?</v>
      </c>
    </row>
    <row r="4127" spans="1:4" x14ac:dyDescent="0.2">
      <c r="A4127" s="5">
        <v>4066</v>
      </c>
      <c r="B4127" s="138">
        <f>'Acct Summary 7-8'!H10</f>
        <v>35363</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6318</v>
      </c>
      <c r="C4130" s="2" t="s">
        <v>573</v>
      </c>
      <c r="D4130" s="2" t="str">
        <f t="shared" si="63"/>
        <v>Error?</v>
      </c>
    </row>
    <row r="4131" spans="1:4" x14ac:dyDescent="0.2">
      <c r="A4131" s="5">
        <v>4070</v>
      </c>
      <c r="B4131" s="138">
        <f>'Acct Summary 7-8'!C18</f>
        <v>1211524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4644731</v>
      </c>
      <c r="C4136" s="2" t="s">
        <v>573</v>
      </c>
      <c r="D4136" s="2" t="str">
        <f t="shared" si="63"/>
        <v>Error?</v>
      </c>
    </row>
    <row r="4137" spans="1:4" x14ac:dyDescent="0.2">
      <c r="A4137" s="5">
        <v>4076</v>
      </c>
      <c r="B4137" s="138">
        <f>'Acct Summary 7-8'!D19</f>
        <v>1013990</v>
      </c>
      <c r="C4137" s="2" t="s">
        <v>573</v>
      </c>
      <c r="D4137" s="2" t="str">
        <f t="shared" si="63"/>
        <v>Error?</v>
      </c>
    </row>
    <row r="4138" spans="1:4" x14ac:dyDescent="0.2">
      <c r="A4138" s="5">
        <v>4077</v>
      </c>
      <c r="B4138" s="138">
        <f>'Acct Summary 7-8'!E19</f>
        <v>121637</v>
      </c>
      <c r="C4138" s="2" t="s">
        <v>573</v>
      </c>
      <c r="D4138" s="2" t="str">
        <f t="shared" si="63"/>
        <v>Error?</v>
      </c>
    </row>
    <row r="4139" spans="1:4" x14ac:dyDescent="0.2">
      <c r="A4139" s="5">
        <v>4078</v>
      </c>
      <c r="B4139" s="138">
        <f>'Acct Summary 7-8'!F19</f>
        <v>422776</v>
      </c>
      <c r="C4139" s="2" t="s">
        <v>573</v>
      </c>
      <c r="D4139" s="2" t="str">
        <f t="shared" si="63"/>
        <v>Error?</v>
      </c>
    </row>
    <row r="4140" spans="1:4" x14ac:dyDescent="0.2">
      <c r="A4140" s="5">
        <v>4079</v>
      </c>
      <c r="B4140" s="138">
        <f>'Acct Summary 7-8'!G19</f>
        <v>184362</v>
      </c>
      <c r="C4140" s="2" t="s">
        <v>573</v>
      </c>
      <c r="D4140" s="2" t="str">
        <f t="shared" si="63"/>
        <v>Error?</v>
      </c>
    </row>
    <row r="4141" spans="1:4" x14ac:dyDescent="0.2">
      <c r="A4141" s="5">
        <v>4080</v>
      </c>
      <c r="B4141" s="138">
        <f>'Acct Summary 7-8'!H19</f>
        <v>8458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608603</v>
      </c>
      <c r="C4171" s="2" t="s">
        <v>573</v>
      </c>
      <c r="D4171" s="2" t="str">
        <f t="shared" si="64"/>
        <v>Error?</v>
      </c>
    </row>
    <row r="4172" spans="1:4" x14ac:dyDescent="0.2">
      <c r="A4172" s="5">
        <v>4111</v>
      </c>
      <c r="B4172" s="138">
        <f>'Short-Term Long-Term Debt 24'!J49</f>
        <v>602014</v>
      </c>
      <c r="C4172" s="2" t="s">
        <v>573</v>
      </c>
      <c r="D4172" s="2" t="str">
        <f t="shared" si="64"/>
        <v>Error?</v>
      </c>
    </row>
    <row r="4173" spans="1:4" x14ac:dyDescent="0.2">
      <c r="A4173" s="5">
        <v>4112</v>
      </c>
      <c r="B4173" s="138">
        <f>'Short-Term Long-Term Debt 24'!H49</f>
        <v>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-7094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3108.29</v>
      </c>
      <c r="C4265" s="2" t="s">
        <v>573</v>
      </c>
      <c r="D4265" s="2" t="str">
        <f t="shared" si="65"/>
        <v>Error?</v>
      </c>
      <c r="E4265" s="128"/>
    </row>
    <row r="4266" spans="1:5" x14ac:dyDescent="0.2">
      <c r="A4266" s="12">
        <v>4205</v>
      </c>
      <c r="B4266" s="138">
        <f>('FP Info 3'!F10)*100000</f>
        <v>434.99999999999994</v>
      </c>
      <c r="C4266" s="2" t="s">
        <v>573</v>
      </c>
      <c r="D4266" s="2" t="str">
        <f t="shared" si="65"/>
        <v>Error?</v>
      </c>
      <c r="E4266" s="128"/>
    </row>
    <row r="4267" spans="1:5" x14ac:dyDescent="0.2">
      <c r="A4267" s="12">
        <v>4206</v>
      </c>
      <c r="B4267" s="138">
        <f>('FP Info 3'!H10)*100000</f>
        <v>165.56</v>
      </c>
      <c r="C4267" s="2" t="s">
        <v>573</v>
      </c>
      <c r="D4267" s="2" t="str">
        <f t="shared" si="65"/>
        <v>Error?</v>
      </c>
      <c r="E4267" s="128"/>
    </row>
    <row r="4268" spans="1:5" x14ac:dyDescent="0.2">
      <c r="A4268" s="12">
        <v>4207</v>
      </c>
      <c r="B4268" s="138">
        <f>('FP Info 3'!J10)*100000</f>
        <v>3709</v>
      </c>
      <c r="C4268" s="2" t="s">
        <v>573</v>
      </c>
      <c r="D4268" s="2" t="str">
        <f t="shared" si="65"/>
        <v>Error?</v>
      </c>
    </row>
    <row r="4269" spans="1:5" x14ac:dyDescent="0.2">
      <c r="A4269" s="12">
        <v>4208</v>
      </c>
      <c r="B4269" s="138">
        <f>'FP Info 3'!J16</f>
        <v>1472118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4679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24907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90606258</v>
      </c>
      <c r="D4995" s="2" t="str">
        <f t="shared" si="77"/>
        <v>Error?</v>
      </c>
    </row>
    <row r="4996" spans="1:4" x14ac:dyDescent="0.2">
      <c r="A4996" s="12">
        <v>4935</v>
      </c>
      <c r="B4996" s="138">
        <f>'FP Info 3'!H31</f>
        <v>12503663.604</v>
      </c>
      <c r="D4996" s="2" t="str">
        <f t="shared" si="77"/>
        <v>Error?</v>
      </c>
    </row>
    <row r="4997" spans="1:4" x14ac:dyDescent="0.2">
      <c r="A4997" s="12">
        <v>4936</v>
      </c>
      <c r="B4997" s="138">
        <f>'FP Info 3'!H37</f>
        <v>608603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250000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250000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1586256</v>
      </c>
      <c r="D5061" s="2" t="str">
        <f t="shared" si="78"/>
        <v>Error?</v>
      </c>
    </row>
    <row r="5062" spans="1:4" x14ac:dyDescent="0.2">
      <c r="A5062" s="10">
        <v>5001</v>
      </c>
      <c r="D5062" s="2" t="str">
        <f t="shared" si="78"/>
        <v>OK</v>
      </c>
    </row>
    <row r="5063" spans="1:4" x14ac:dyDescent="0.2">
      <c r="A5063" s="5">
        <v>5002</v>
      </c>
      <c r="B5063" s="138">
        <f>'Revenues 9-14'!C7</f>
        <v>19387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1605643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6882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2408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86641</v>
      </c>
      <c r="C5096" s="2" t="s">
        <v>573</v>
      </c>
      <c r="D5096" s="2" t="str">
        <f t="shared" si="78"/>
        <v>Error?</v>
      </c>
    </row>
    <row r="5097" spans="1:4" x14ac:dyDescent="0.2">
      <c r="A5097" s="5">
        <v>5036</v>
      </c>
      <c r="B5097" s="138">
        <f>'Revenues 9-14'!C77</f>
        <v>14253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14253</v>
      </c>
      <c r="C5102" s="2" t="s">
        <v>573</v>
      </c>
      <c r="D5102" s="2" t="str">
        <f t="shared" si="78"/>
        <v>Error?</v>
      </c>
    </row>
    <row r="5103" spans="1:4" x14ac:dyDescent="0.2">
      <c r="A5103" s="5">
        <v>5042</v>
      </c>
      <c r="B5103" s="138">
        <f>'Revenues 9-14'!C84</f>
        <v>5753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5753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37164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50</v>
      </c>
      <c r="D5119" s="2" t="str">
        <f t="shared" ref="D5119:D5182" si="79">IF(ISBLANK(B5119),"OK",IF(A5119-B5119=0,"OK","Error?"))</f>
        <v>Error?</v>
      </c>
    </row>
    <row r="5120" spans="1:4" x14ac:dyDescent="0.2">
      <c r="A5120" s="5">
        <v>5059</v>
      </c>
      <c r="B5120" s="138">
        <f>'Revenues 9-14'!C108</f>
        <v>37214</v>
      </c>
      <c r="C5120" s="2" t="s">
        <v>573</v>
      </c>
      <c r="D5120" s="2" t="str">
        <f t="shared" si="79"/>
        <v>Error?</v>
      </c>
    </row>
    <row r="5121" spans="1:4" x14ac:dyDescent="0.2">
      <c r="A5121" s="5">
        <v>5060</v>
      </c>
      <c r="B5121" s="138">
        <f>'Revenues 9-14'!C109</f>
        <v>1756386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204158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204158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26719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900</v>
      </c>
      <c r="D5167" s="2" t="str">
        <f t="shared" si="79"/>
        <v>Error?</v>
      </c>
    </row>
    <row r="5168" spans="1:4" x14ac:dyDescent="0.2">
      <c r="A5168" s="5">
        <v>5107</v>
      </c>
      <c r="B5168" s="138">
        <f>'Revenues 9-14'!C148</f>
        <v>2626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104491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135486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339644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46616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8949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55565</v>
      </c>
      <c r="C5246" s="2" t="s">
        <v>573</v>
      </c>
      <c r="D5246" s="2" t="str">
        <f t="shared" si="80"/>
        <v>Error?</v>
      </c>
    </row>
    <row r="5247" spans="1:4" x14ac:dyDescent="0.2">
      <c r="A5247" s="5">
        <v>5186</v>
      </c>
      <c r="B5247" s="138">
        <f>'Revenues 9-14'!C200</f>
        <v>30773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30773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125924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125924</v>
      </c>
      <c r="C5326" s="2" t="s">
        <v>573</v>
      </c>
      <c r="D5326" s="2" t="str">
        <f t="shared" si="82"/>
        <v>Error?</v>
      </c>
    </row>
    <row r="5327" spans="1:5" x14ac:dyDescent="0.2">
      <c r="A5327" s="5">
        <v>5266</v>
      </c>
      <c r="B5327" s="138">
        <f>'Revenues 9-14'!C268</f>
        <v>2221954</v>
      </c>
      <c r="C5327" s="2" t="s">
        <v>573</v>
      </c>
      <c r="D5327" s="2" t="str">
        <f t="shared" si="82"/>
        <v>Error?</v>
      </c>
    </row>
    <row r="5328" spans="1:5" x14ac:dyDescent="0.2">
      <c r="A5328" s="5">
        <v>5267</v>
      </c>
      <c r="B5328" s="138">
        <f>'Revenues 9-14'!D5</f>
        <v>216645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216645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81760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81760</v>
      </c>
      <c r="C5339" s="2" t="s">
        <v>573</v>
      </c>
      <c r="D5339" s="2" t="str">
        <f t="shared" si="82"/>
        <v>Error?</v>
      </c>
    </row>
    <row r="5340" spans="1:4" x14ac:dyDescent="0.2">
      <c r="A5340" s="5">
        <v>5279</v>
      </c>
      <c r="B5340" s="138">
        <f>'Revenues 9-14'!D65</f>
        <v>122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v>
      </c>
      <c r="D5354" s="2" t="str">
        <f t="shared" si="82"/>
        <v>Error?</v>
      </c>
    </row>
    <row r="5355" spans="1:4" x14ac:dyDescent="0.2">
      <c r="A5355" s="5">
        <v>5294</v>
      </c>
      <c r="B5355" s="138">
        <f>'Revenues 9-14'!D108</f>
        <v>99</v>
      </c>
      <c r="C5355" s="2" t="s">
        <v>573</v>
      </c>
      <c r="D5355" s="2" t="str">
        <f t="shared" si="82"/>
        <v>Error?</v>
      </c>
    </row>
    <row r="5356" spans="1:4" x14ac:dyDescent="0.2">
      <c r="A5356" s="5">
        <v>5295</v>
      </c>
      <c r="B5356" s="138">
        <f>'Revenues 9-14'!D109</f>
        <v>298626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298626</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123935</v>
      </c>
      <c r="C5526" s="2" t="s">
        <v>573</v>
      </c>
      <c r="D5526" s="2" t="str">
        <f t="shared" si="85"/>
        <v>Error?</v>
      </c>
    </row>
    <row r="5527" spans="1:4" x14ac:dyDescent="0.2">
      <c r="A5527" s="5">
        <v>5466</v>
      </c>
      <c r="B5527" s="138">
        <f>'Revenues 9-14'!E109</f>
        <v>123956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123956</v>
      </c>
      <c r="C5552" s="2" t="s">
        <v>573</v>
      </c>
      <c r="D5552" s="2" t="str">
        <f t="shared" si="85"/>
        <v>Error?</v>
      </c>
    </row>
    <row r="5553" spans="1:4" x14ac:dyDescent="0.2">
      <c r="A5553" s="5">
        <v>5492</v>
      </c>
      <c r="B5553" s="138">
        <f>'Revenues 9-14'!F5</f>
        <v>83088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83088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5953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5953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12000</v>
      </c>
      <c r="D5586" s="2" t="str">
        <f t="shared" si="86"/>
        <v>Error?</v>
      </c>
    </row>
    <row r="5587" spans="1:4" x14ac:dyDescent="0.2">
      <c r="A5587" s="5">
        <v>5526</v>
      </c>
      <c r="B5587" s="138">
        <f>'Revenues 9-14'!F108</f>
        <v>12000</v>
      </c>
      <c r="C5587" s="2" t="s">
        <v>573</v>
      </c>
      <c r="D5587" s="2" t="str">
        <f t="shared" si="86"/>
        <v>Error?</v>
      </c>
    </row>
    <row r="5588" spans="1:4" x14ac:dyDescent="0.2">
      <c r="A5588" s="5">
        <v>5527</v>
      </c>
      <c r="B5588" s="138">
        <f>'Revenues 9-14'!F109</f>
        <v>101041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93528</v>
      </c>
      <c r="D5615" s="2" t="str">
        <f t="shared" si="86"/>
        <v>Error?</v>
      </c>
    </row>
    <row r="5616" spans="1:4" x14ac:dyDescent="0.2">
      <c r="A5616" s="10">
        <v>5555</v>
      </c>
      <c r="D5616" s="2" t="str">
        <f t="shared" si="86"/>
        <v>OK</v>
      </c>
    </row>
    <row r="5617" spans="1:5" x14ac:dyDescent="0.2">
      <c r="A5617" s="5">
        <v>5556</v>
      </c>
      <c r="B5617" s="138">
        <f>'Revenues 9-14'!F153</f>
        <v>22105</v>
      </c>
      <c r="D5617" s="2" t="str">
        <f t="shared" si="86"/>
        <v>Error?</v>
      </c>
    </row>
    <row r="5618" spans="1:5" x14ac:dyDescent="0.2">
      <c r="A5618" s="5">
        <v>5557</v>
      </c>
      <c r="B5618" s="138">
        <f>'Revenues 9-14'!F155</f>
        <v>115633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115633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115633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216674</v>
      </c>
      <c r="C5720" s="2" t="s">
        <v>573</v>
      </c>
      <c r="D5720" s="2" t="str">
        <f t="shared" si="88"/>
        <v>Error?</v>
      </c>
    </row>
    <row r="5721" spans="1:4" x14ac:dyDescent="0.2">
      <c r="A5721" s="5">
        <v>5660</v>
      </c>
      <c r="B5721" s="138">
        <f>'Revenues 9-14'!G5</f>
        <v>62326</v>
      </c>
      <c r="D5721" s="2" t="str">
        <f t="shared" si="88"/>
        <v>Error?</v>
      </c>
    </row>
    <row r="5722" spans="1:4" x14ac:dyDescent="0.2">
      <c r="A5722" s="5">
        <v>5661</v>
      </c>
      <c r="B5722" s="138">
        <f>'Revenues 9-14'!G7</f>
        <v>0</v>
      </c>
      <c r="D5722" s="2" t="str">
        <f t="shared" si="88"/>
        <v>Error?</v>
      </c>
    </row>
    <row r="5723" spans="1:4" x14ac:dyDescent="0.2">
      <c r="A5723" s="5">
        <v>5662</v>
      </c>
      <c r="B5723" s="138">
        <f>'Revenues 9-14'!G8</f>
        <v>60934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123260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573</v>
      </c>
      <c r="D5730" s="2" t="str">
        <f t="shared" si="88"/>
        <v>Error?</v>
      </c>
    </row>
    <row r="5731" spans="1:4" x14ac:dyDescent="0.2">
      <c r="A5731" s="5">
        <v>5670</v>
      </c>
      <c r="B5731" s="138">
        <f>'Revenues 9-14'!G65</f>
        <v>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126262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35362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35363</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6263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6263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6318</v>
      </c>
      <c r="C6023" s="2" t="s">
        <v>573</v>
      </c>
      <c r="D6023" s="2" t="str">
        <f t="shared" si="93"/>
        <v>Error?</v>
      </c>
    </row>
    <row r="6024" spans="1:5" x14ac:dyDescent="0.2">
      <c r="A6024" s="5">
        <v>5963</v>
      </c>
      <c r="B6024" s="138">
        <f>'Revenues 9-14'!G109</f>
        <v>126262</v>
      </c>
      <c r="C6024" s="2" t="s">
        <v>573</v>
      </c>
      <c r="D6024" s="2" t="str">
        <f t="shared" si="93"/>
        <v>Error?</v>
      </c>
    </row>
    <row r="6025" spans="1:5" x14ac:dyDescent="0.2">
      <c r="A6025" s="5">
        <v>5964</v>
      </c>
      <c r="B6025" s="138">
        <f>'Revenues 9-14'!H109</f>
        <v>35363</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6318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84233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8621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260.58999999999997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735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119133</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88112</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16894</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16894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-16159</v>
      </c>
      <c r="D6215" s="2" t="str">
        <f t="shared" si="96"/>
        <v>Error?</v>
      </c>
      <c r="E6215" s="2" t="s">
        <v>190</v>
      </c>
    </row>
    <row r="6216" spans="1:5" x14ac:dyDescent="0.2">
      <c r="A6216">
        <v>6155</v>
      </c>
      <c r="B6216" s="138">
        <f>'Assets-Liab 5-6'!J41</f>
        <v>735</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735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47092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47092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47092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67101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67101</v>
      </c>
      <c r="D6229" s="2" t="str">
        <f t="shared" si="96"/>
        <v>Error?</v>
      </c>
      <c r="E6229" s="2" t="s">
        <v>190</v>
      </c>
    </row>
    <row r="6230" spans="1:5" x14ac:dyDescent="0.2">
      <c r="A6230">
        <v>6169</v>
      </c>
      <c r="B6230" s="138">
        <f>'Acct Summary 7-8'!J20</f>
        <v>-20009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-20009</v>
      </c>
      <c r="D6263" s="2" t="str">
        <f t="shared" si="96"/>
        <v>Error?</v>
      </c>
      <c r="E6263" s="2" t="s">
        <v>190</v>
      </c>
    </row>
    <row r="6264" spans="1:5" x14ac:dyDescent="0.2">
      <c r="A6264">
        <v>6203</v>
      </c>
      <c r="B6264" s="138">
        <f>'Acct Summary 7-8'!J79</f>
        <v>3850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-16159</v>
      </c>
      <c r="D6266" s="2" t="str">
        <f t="shared" si="96"/>
        <v>Error?</v>
      </c>
      <c r="E6266" s="2" t="s">
        <v>190</v>
      </c>
    </row>
    <row r="6267" spans="1:5" x14ac:dyDescent="0.2">
      <c r="A6267">
        <v>6206</v>
      </c>
      <c r="B6267" s="138">
        <f>'Acct Summary 7-8'!C82</f>
        <v>-1461753</v>
      </c>
      <c r="D6267" s="2" t="str">
        <f t="shared" si="96"/>
        <v>Error?</v>
      </c>
      <c r="E6267" s="2" t="s">
        <v>190</v>
      </c>
    </row>
    <row r="6268" spans="1:5" x14ac:dyDescent="0.2">
      <c r="A6268">
        <v>6207</v>
      </c>
      <c r="B6268" s="138">
        <f>'Acct Summary 7-8'!D82</f>
        <v>-465364</v>
      </c>
      <c r="D6268" s="2" t="str">
        <f t="shared" si="96"/>
        <v>Error?</v>
      </c>
      <c r="E6268" s="2" t="s">
        <v>190</v>
      </c>
    </row>
    <row r="6269" spans="1:5" x14ac:dyDescent="0.2">
      <c r="A6269">
        <v>6208</v>
      </c>
      <c r="B6269" s="138">
        <f>'Acct Summary 7-8'!E82</f>
        <v>2319</v>
      </c>
      <c r="D6269" s="2" t="str">
        <f t="shared" si="96"/>
        <v>Error?</v>
      </c>
      <c r="E6269" s="2" t="s">
        <v>190</v>
      </c>
    </row>
    <row r="6270" spans="1:5" x14ac:dyDescent="0.2">
      <c r="A6270">
        <v>6209</v>
      </c>
      <c r="B6270" s="138">
        <f>'Acct Summary 7-8'!F82</f>
        <v>-206102</v>
      </c>
      <c r="D6270" s="2" t="str">
        <f t="shared" si="96"/>
        <v>Error?</v>
      </c>
      <c r="E6270" s="2" t="s">
        <v>190</v>
      </c>
    </row>
    <row r="6271" spans="1:5" x14ac:dyDescent="0.2">
      <c r="A6271">
        <v>6210</v>
      </c>
      <c r="B6271" s="138">
        <f>'Acct Summary 7-8'!G82</f>
        <v>-58100</v>
      </c>
      <c r="D6271" s="2" t="str">
        <f t="shared" ref="D6271:D6334" si="97">IF(ISBLANK(B6271),"OK",IF(A6271-B6271=0,"OK","Error?"))</f>
        <v>Error?</v>
      </c>
      <c r="E6271" s="2" t="s">
        <v>190</v>
      </c>
    </row>
    <row r="6272" spans="1:5" x14ac:dyDescent="0.2">
      <c r="A6272">
        <v>6211</v>
      </c>
      <c r="B6272" s="138">
        <f>'Acct Summary 7-8'!H82</f>
        <v>26905</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-20009</v>
      </c>
      <c r="D6274" s="2" t="str">
        <f t="shared" si="97"/>
        <v>Error?</v>
      </c>
      <c r="E6274" s="2" t="s">
        <v>190</v>
      </c>
    </row>
    <row r="6275" spans="1:5" x14ac:dyDescent="0.2">
      <c r="A6275">
        <v>6214</v>
      </c>
      <c r="B6275" s="138">
        <f>'Acct Summary 7-8'!K82</f>
        <v>6318</v>
      </c>
      <c r="D6275" s="2" t="str">
        <f t="shared" si="97"/>
        <v>Error?</v>
      </c>
      <c r="E6275" s="2" t="s">
        <v>190</v>
      </c>
    </row>
    <row r="6276" spans="1:5" x14ac:dyDescent="0.2">
      <c r="A6276">
        <v>6215</v>
      </c>
      <c r="B6276" s="138">
        <f>'Acct Summary 7-8'!C83</f>
        <v>-1.4669783769787985</v>
      </c>
      <c r="D6276" s="2" t="str">
        <f t="shared" si="97"/>
        <v>Error?</v>
      </c>
      <c r="E6276" s="2" t="s">
        <v>190</v>
      </c>
    </row>
    <row r="6277" spans="1:5" x14ac:dyDescent="0.2">
      <c r="A6277">
        <v>6216</v>
      </c>
      <c r="B6277" s="138">
        <f>'Acct Summary 7-8'!D83</f>
        <v>-3.0172399260868157</v>
      </c>
      <c r="D6277" s="2" t="str">
        <f t="shared" si="97"/>
        <v>Error?</v>
      </c>
      <c r="E6277" s="2" t="s">
        <v>190</v>
      </c>
    </row>
    <row r="6278" spans="1:5" x14ac:dyDescent="0.2">
      <c r="A6278">
        <v>6217</v>
      </c>
      <c r="B6278" s="138">
        <f>'Acct Summary 7-8'!E83</f>
        <v>0.3519502200637426</v>
      </c>
      <c r="D6278" s="2" t="str">
        <f t="shared" si="97"/>
        <v>Error?</v>
      </c>
      <c r="E6278" s="2" t="s">
        <v>190</v>
      </c>
    </row>
    <row r="6279" spans="1:5" x14ac:dyDescent="0.2">
      <c r="A6279">
        <v>6218</v>
      </c>
      <c r="B6279" s="138">
        <f>'Acct Summary 7-8'!F83</f>
        <v>-0.6411734511347198</v>
      </c>
      <c r="D6279" s="2" t="str">
        <f t="shared" si="97"/>
        <v>Error?</v>
      </c>
      <c r="E6279" s="2" t="s">
        <v>190</v>
      </c>
    </row>
    <row r="6280" spans="1:5" x14ac:dyDescent="0.2">
      <c r="A6280">
        <v>6219</v>
      </c>
      <c r="B6280" s="138">
        <f>'Acct Summary 7-8'!G83</f>
        <v>0.65938805157072822</v>
      </c>
      <c r="D6280" s="2" t="str">
        <f t="shared" si="97"/>
        <v>Error?</v>
      </c>
      <c r="E6280" s="2" t="s">
        <v>190</v>
      </c>
    </row>
    <row r="6281" spans="1:5" x14ac:dyDescent="0.2">
      <c r="A6281">
        <v>6220</v>
      </c>
      <c r="B6281" s="138">
        <f>'Acct Summary 7-8'!H83</f>
        <v>2.6520453425332677</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f>'Acct Summary 7-8'!J83</f>
        <v>1.2382573179033356</v>
      </c>
      <c r="D6283" s="2" t="str">
        <f t="shared" si="97"/>
        <v>Error?</v>
      </c>
      <c r="E6283" s="2" t="s">
        <v>190</v>
      </c>
    </row>
    <row r="6284" spans="1:5" x14ac:dyDescent="0.2">
      <c r="A6284">
        <v>6223</v>
      </c>
      <c r="B6284" s="138">
        <f>'Acct Summary 7-8'!K83</f>
        <v>0.13500000000000001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47082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47082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47092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26719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93807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116492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31286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19447</v>
      </c>
      <c r="D6987" s="2" t="str">
        <f t="shared" si="108"/>
        <v>Error?</v>
      </c>
    </row>
    <row r="6988" spans="1:4" x14ac:dyDescent="0.2">
      <c r="A6988">
        <v>6927</v>
      </c>
      <c r="B6988" s="138">
        <f>'Expenditures 15-22'!K88</f>
        <v>19447</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19447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67101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47092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5207</v>
      </c>
      <c r="D7073" s="2" t="str">
        <f t="shared" si="109"/>
        <v>Error?</v>
      </c>
    </row>
    <row r="7074" spans="1:4" x14ac:dyDescent="0.2">
      <c r="A7074">
        <v>7013</v>
      </c>
      <c r="B7074" s="138">
        <f>'Expenditures 15-22'!K216</f>
        <v>5207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415</v>
      </c>
      <c r="D7079" s="2" t="str">
        <f t="shared" si="109"/>
        <v>Error?</v>
      </c>
    </row>
    <row r="7080" spans="1:4" x14ac:dyDescent="0.2">
      <c r="A7080">
        <v>7019</v>
      </c>
      <c r="B7080" s="138">
        <f>'Expenditures 15-22'!K226</f>
        <v>415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28499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28499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32872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32872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607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607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5123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5123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67101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67101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67101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67101</v>
      </c>
      <c r="D7224" s="2" t="str">
        <f t="shared" si="111"/>
        <v>Error?</v>
      </c>
    </row>
    <row r="7225" spans="1:4" x14ac:dyDescent="0.2">
      <c r="A7225">
        <v>7164</v>
      </c>
      <c r="B7225" s="138">
        <f>'Expenditures 15-22'!K343</f>
        <v>-20009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15450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7235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28647</v>
      </c>
      <c r="D7263" s="2" t="str">
        <f t="shared" si="112"/>
        <v>Error?</v>
      </c>
    </row>
    <row r="7264" spans="1:4" x14ac:dyDescent="0.2">
      <c r="A7264">
        <f t="shared" si="113"/>
        <v>7203</v>
      </c>
      <c r="B7264" s="138">
        <f>'Expenditures 15-22'!D17</f>
        <v>2155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484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156709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162586</v>
      </c>
      <c r="D7713" s="2" t="str">
        <f t="shared" si="126"/>
        <v>Error?</v>
      </c>
      <c r="E7713" s="2" t="s">
        <v>827</v>
      </c>
    </row>
    <row r="7714" spans="1:6" x14ac:dyDescent="0.2">
      <c r="A7714">
        <v>7653</v>
      </c>
      <c r="B7714" s="138">
        <f>'Rest Tax Levies-Tort Im 25'!K9</f>
        <v>2626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162695</v>
      </c>
      <c r="D7718" s="2" t="str">
        <f t="shared" si="126"/>
        <v>Error?</v>
      </c>
      <c r="E7718" s="2" t="s">
        <v>827</v>
      </c>
    </row>
    <row r="7719" spans="1:6" x14ac:dyDescent="0.2">
      <c r="A7719">
        <v>7658</v>
      </c>
      <c r="B7719" s="138">
        <f>'Rest Tax Levies-Tort Im 25'!K12</f>
        <v>2626</v>
      </c>
      <c r="D7719" s="2" t="str">
        <f t="shared" si="126"/>
        <v>Error?</v>
      </c>
      <c r="E7719" s="2" t="s">
        <v>827</v>
      </c>
    </row>
    <row r="7720" spans="1:6" x14ac:dyDescent="0.2">
      <c r="A7720">
        <v>7659</v>
      </c>
      <c r="B7720" s="138">
        <f>'Rest Tax Levies-Tort Im 25'!H14</f>
        <v>220045</v>
      </c>
      <c r="D7720" s="2" t="str">
        <f t="shared" si="126"/>
        <v>Error?</v>
      </c>
      <c r="E7720" s="2" t="s">
        <v>827</v>
      </c>
    </row>
    <row r="7721" spans="1:6" x14ac:dyDescent="0.2">
      <c r="A7721">
        <v>7660</v>
      </c>
      <c r="B7721" s="138">
        <f>'Rest Tax Levies-Tort Im 25'!K14</f>
        <v>31286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31688</v>
      </c>
      <c r="D7724" s="2" t="str">
        <f t="shared" si="126"/>
        <v>Error?</v>
      </c>
      <c r="E7724" s="2" t="s">
        <v>827</v>
      </c>
      <c r="F7724" s="2"/>
    </row>
    <row r="7725" spans="1:6" x14ac:dyDescent="0.2">
      <c r="A7725">
        <v>7664</v>
      </c>
      <c r="B7725" s="138">
        <f>'Rest Tax Levies-Tort Im 25'!J19</f>
        <v>115000</v>
      </c>
      <c r="D7725" s="2" t="str">
        <f t="shared" si="126"/>
        <v>Error?</v>
      </c>
      <c r="E7725" s="2" t="s">
        <v>827</v>
      </c>
    </row>
    <row r="7726" spans="1:6" x14ac:dyDescent="0.2">
      <c r="A7726">
        <v>7665</v>
      </c>
      <c r="B7726" s="138">
        <f>'Rest Tax Levies-Tort Im 25'!J20</f>
        <v>1000</v>
      </c>
      <c r="D7726" s="2" t="str">
        <f t="shared" si="126"/>
        <v>Error?</v>
      </c>
      <c r="E7726" s="2" t="s">
        <v>827</v>
      </c>
    </row>
    <row r="7727" spans="1:6" x14ac:dyDescent="0.2">
      <c r="A7727">
        <v>7666</v>
      </c>
      <c r="B7727" s="138">
        <f>'Rest Tax Levies-Tort Im 25'!J21</f>
        <v>147688</v>
      </c>
      <c r="D7727" s="2" t="str">
        <f t="shared" si="126"/>
        <v>Error?</v>
      </c>
      <c r="E7727" s="2" t="s">
        <v>827</v>
      </c>
    </row>
    <row r="7728" spans="1:6" x14ac:dyDescent="0.2">
      <c r="A7728">
        <v>7667</v>
      </c>
      <c r="B7728" s="138">
        <f>'Revenues 9-14'!E103</f>
        <v>123935</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147688</v>
      </c>
      <c r="D7730" s="2" t="str">
        <f t="shared" si="126"/>
        <v>Error?</v>
      </c>
      <c r="E7730" s="2" t="s">
        <v>827</v>
      </c>
    </row>
    <row r="7731" spans="1:6" x14ac:dyDescent="0.2">
      <c r="A7731">
        <v>7670</v>
      </c>
      <c r="B7731" s="138">
        <f>'Revenues 9-14'!H103</f>
        <v>35362</v>
      </c>
      <c r="D7731" s="2" t="str">
        <f t="shared" si="126"/>
        <v>Error?</v>
      </c>
      <c r="E7731" s="2" t="s">
        <v>827</v>
      </c>
    </row>
    <row r="7732" spans="1:6" x14ac:dyDescent="0.2">
      <c r="A7732">
        <v>7671</v>
      </c>
      <c r="B7732" s="138">
        <f>'Rest Tax Levies-Tort Im 25'!J24</f>
        <v>15007</v>
      </c>
      <c r="D7732" s="2" t="str">
        <f t="shared" si="126"/>
        <v>Error?</v>
      </c>
      <c r="E7732" s="2" t="s">
        <v>827</v>
      </c>
    </row>
    <row r="7733" spans="1:6" x14ac:dyDescent="0.2">
      <c r="A7733">
        <v>7672</v>
      </c>
      <c r="B7733" s="138">
        <f>'Rest Tax Levies-Tort Im 25'!K24</f>
        <v>-28660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-50704</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-149954</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15007</v>
      </c>
      <c r="D7742" s="2" t="str">
        <f t="shared" si="126"/>
        <v>Error?</v>
      </c>
      <c r="E7742" s="2" t="s">
        <v>827</v>
      </c>
    </row>
    <row r="7743" spans="1:6" x14ac:dyDescent="0.2">
      <c r="A7743">
        <v>7682</v>
      </c>
      <c r="B7743" s="138">
        <f>'Rest Tax Levies-Tort Im 25'!K26</f>
        <v>-28660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13926</v>
      </c>
      <c r="D7797" s="2" t="str">
        <f t="shared" si="127"/>
        <v>Error?</v>
      </c>
      <c r="E7797" s="4" t="s">
        <v>1903</v>
      </c>
    </row>
    <row r="7798" spans="1:5" x14ac:dyDescent="0.2">
      <c r="A7798">
        <v>7737</v>
      </c>
      <c r="B7798" s="138">
        <f>'Contracts Paid in CY 29'!F142</f>
        <v>13926</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I21" sqref="I21"/>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1987</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Williamsfield CUSD 210</v>
      </c>
      <c r="B7" s="2409"/>
      <c r="C7" s="2409"/>
      <c r="D7" s="2410"/>
      <c r="E7" s="2411">
        <f>COVER!A13</f>
        <v>33048210026</v>
      </c>
      <c r="F7" s="2412"/>
      <c r="G7" s="2418" t="str">
        <f>COVER!T23</f>
        <v>065-024137</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BLUCKER, KNEER &amp; ASSOCIATES, LTD.</v>
      </c>
      <c r="H9" s="2424"/>
      <c r="I9" s="2424"/>
      <c r="J9" s="2424"/>
      <c r="K9" s="2424"/>
      <c r="L9" s="2425"/>
    </row>
    <row r="10" spans="1:29" ht="13.5" customHeight="1" x14ac:dyDescent="0.2">
      <c r="A10" s="2398" t="str">
        <f>COVER!A38</f>
        <v>TIM FARQUER</v>
      </c>
      <c r="B10" s="2399"/>
      <c r="C10" s="2399"/>
      <c r="D10" s="2399"/>
      <c r="E10" s="2399"/>
      <c r="F10" s="2400"/>
      <c r="G10" s="2392" t="str">
        <f>COVER!T17</f>
        <v>P.O. BOX 1464</v>
      </c>
      <c r="H10" s="2393"/>
      <c r="I10" s="2393"/>
      <c r="J10" s="2393"/>
      <c r="K10" s="2393"/>
      <c r="L10" s="2394"/>
    </row>
    <row r="11" spans="1:29" ht="13.5" customHeight="1" x14ac:dyDescent="0.2">
      <c r="A11" s="1184" t="s">
        <v>1519</v>
      </c>
      <c r="B11" s="1185"/>
      <c r="C11" s="1186"/>
      <c r="D11" s="1191"/>
      <c r="E11" s="1186"/>
      <c r="F11" s="1190"/>
      <c r="G11" s="2392" t="str">
        <f>COVER!T19</f>
        <v>GALESBURG</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teresabka@gmail.com</v>
      </c>
      <c r="J13" s="2405"/>
      <c r="K13" s="2405"/>
      <c r="L13" s="2406"/>
    </row>
    <row r="14" spans="1:29" ht="13.5" customHeight="1" x14ac:dyDescent="0.2">
      <c r="A14" s="2392" t="str">
        <f>COVER!A19</f>
        <v>325 WEST KENTUCKY</v>
      </c>
      <c r="B14" s="2393"/>
      <c r="C14" s="2393"/>
      <c r="D14" s="2393"/>
      <c r="E14" s="2393"/>
      <c r="F14" s="2394"/>
      <c r="G14" s="1195" t="s">
        <v>1185</v>
      </c>
      <c r="H14" s="1193"/>
      <c r="I14" s="1193"/>
      <c r="J14" s="1193"/>
      <c r="K14" s="1193"/>
      <c r="L14" s="1194"/>
    </row>
    <row r="15" spans="1:29" ht="13.5" customHeight="1" x14ac:dyDescent="0.2">
      <c r="A15" s="2392" t="str">
        <f>COVER!A21</f>
        <v>WILLIAMSFIELD, ILLINOIS</v>
      </c>
      <c r="B15" s="2393"/>
      <c r="C15" s="2393"/>
      <c r="D15" s="2393"/>
      <c r="E15" s="2393"/>
      <c r="F15" s="2394"/>
      <c r="G15" s="2389" t="str">
        <f>COVER!T15</f>
        <v>TERESA A. WELCH</v>
      </c>
      <c r="H15" s="2390"/>
      <c r="I15" s="2390"/>
      <c r="J15" s="2390"/>
      <c r="K15" s="2390"/>
      <c r="L15" s="2391"/>
    </row>
    <row r="16" spans="1:29" ht="12.2" customHeight="1" x14ac:dyDescent="0.2">
      <c r="A16" s="2414">
        <f>COVER!A25</f>
        <v>61489</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309-343-4156</v>
      </c>
      <c r="H18" s="2409"/>
      <c r="I18" s="2409"/>
      <c r="J18" s="2409"/>
      <c r="K18" s="2408" t="str">
        <f>COVER!X21</f>
        <v>309-343-0174</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Williamsfield CUSD 210</v>
      </c>
      <c r="B1" s="2407"/>
      <c r="C1" s="2407"/>
      <c r="D1" s="2407"/>
    </row>
    <row r="2" spans="1:11" s="1212" customFormat="1" ht="12.75" x14ac:dyDescent="0.2">
      <c r="A2" s="2431">
        <f>'Single Audit Cover'!E7</f>
        <v>33048210026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Williamsfield CUSD 210</v>
      </c>
      <c r="B1" s="2434"/>
      <c r="C1" s="2434"/>
      <c r="D1" s="2434"/>
      <c r="E1" s="2434"/>
    </row>
    <row r="2" spans="1:5" x14ac:dyDescent="0.2">
      <c r="A2" s="2435">
        <f>'Single Audit Cover'!E7</f>
        <v>33048210026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125924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8621</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134545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134545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134545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Williamsfield CUSD 210</v>
      </c>
      <c r="C1" s="2438"/>
      <c r="D1" s="2438"/>
      <c r="E1" s="2438"/>
      <c r="F1" s="2438"/>
      <c r="G1" s="2438"/>
      <c r="H1" s="2438"/>
      <c r="I1" s="2438"/>
      <c r="J1" s="2438"/>
      <c r="K1" s="2438"/>
      <c r="L1" s="2438"/>
      <c r="M1" s="2438"/>
    </row>
    <row r="2" spans="2:14" ht="15" x14ac:dyDescent="0.2">
      <c r="B2" s="2439">
        <f>'Single Audit Cover'!E7</f>
        <v>33048210026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Williamsfield CUSD 210</v>
      </c>
      <c r="B1" s="2451"/>
      <c r="C1" s="2451"/>
      <c r="D1" s="2451"/>
      <c r="E1" s="2451"/>
      <c r="F1" s="2451"/>
    </row>
    <row r="2" spans="1:7" ht="13.5" customHeight="1" x14ac:dyDescent="0.2">
      <c r="A2" s="2439">
        <f>'Single Audit Cover'!E7</f>
        <v>33048210026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1729</v>
      </c>
      <c r="B7" s="2450"/>
      <c r="C7" s="2450"/>
      <c r="D7" s="2450"/>
      <c r="E7" s="2450"/>
      <c r="F7" s="245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1731</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110" zoomScaleNormal="110" workbookViewId="0">
      <selection activeCell="B10" sqref="B1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2092</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2093</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integral part of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topLeftCell="A13"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Williamsfield CUSD 210</v>
      </c>
      <c r="C1" s="2466"/>
      <c r="D1" s="2466"/>
      <c r="E1" s="2466"/>
      <c r="F1" s="2466"/>
      <c r="G1" s="2466"/>
      <c r="H1" s="2466"/>
      <c r="I1" s="2466"/>
      <c r="J1" s="1406"/>
    </row>
    <row r="2" spans="2:10" s="317" customFormat="1" ht="12.75" customHeight="1" x14ac:dyDescent="0.2">
      <c r="B2" s="2467">
        <f>'Single Audit Cover'!E7</f>
        <v>33048210026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2062</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Williamsfield CUSD 210</v>
      </c>
      <c r="C1" s="2465"/>
      <c r="D1" s="2465"/>
      <c r="E1" s="2465"/>
      <c r="F1" s="2465"/>
      <c r="G1" s="2465"/>
      <c r="H1" s="2465"/>
      <c r="I1" s="2465"/>
      <c r="J1" s="2465"/>
      <c r="K1" s="2465"/>
      <c r="L1" s="1371"/>
      <c r="M1" s="1371"/>
    </row>
    <row r="2" spans="1:13" ht="12" customHeight="1" x14ac:dyDescent="0.2">
      <c r="B2" s="2467">
        <f>'Single Audit Cover'!E7</f>
        <v>33048210026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2097</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2098</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t="s">
        <v>2099</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2100</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2101</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2102</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t="s">
        <v>2103</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1E765-BC79-4429-907B-5102AB15CFAB}">
  <sheetPr>
    <tabColor rgb="FF92D050"/>
  </sheetPr>
  <dimension ref="A1:M41"/>
  <sheetViews>
    <sheetView showGridLines="0" zoomScale="110" zoomScaleNormal="110" workbookViewId="0">
      <selection activeCell="B35" sqref="B3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Williamsfield CUSD 210</v>
      </c>
      <c r="C1" s="2465"/>
      <c r="D1" s="2465"/>
      <c r="E1" s="2465"/>
      <c r="F1" s="2465"/>
      <c r="G1" s="2465"/>
      <c r="H1" s="2465"/>
      <c r="I1" s="2465"/>
      <c r="J1" s="2465"/>
      <c r="K1" s="2465"/>
      <c r="L1" s="1371"/>
      <c r="M1" s="1371"/>
    </row>
    <row r="2" spans="1:13" ht="12" customHeight="1" x14ac:dyDescent="0.2">
      <c r="B2" s="2467">
        <f>'Single Audit Cover'!E7</f>
        <v>33048210026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940"/>
      <c r="M3" s="1940"/>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2104</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2105</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2106</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2107</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2108</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t="s">
        <v>2109</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29C5D-55EC-43C4-B637-BA42D0BEB52D}">
  <sheetPr>
    <tabColor rgb="FF92D050"/>
  </sheetPr>
  <dimension ref="A1:M41"/>
  <sheetViews>
    <sheetView showGridLines="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Williamsfield CUSD 210</v>
      </c>
      <c r="C1" s="2465"/>
      <c r="D1" s="2465"/>
      <c r="E1" s="2465"/>
      <c r="F1" s="2465"/>
      <c r="G1" s="2465"/>
      <c r="H1" s="2465"/>
      <c r="I1" s="2465"/>
      <c r="J1" s="2465"/>
      <c r="K1" s="2465"/>
      <c r="L1" s="1371"/>
      <c r="M1" s="1371"/>
    </row>
    <row r="2" spans="1:13" ht="12" customHeight="1" x14ac:dyDescent="0.2">
      <c r="B2" s="2467">
        <f>'Single Audit Cover'!E7</f>
        <v>33048210026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940"/>
      <c r="M3" s="1940"/>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3</v>
      </c>
      <c r="E10" s="322"/>
      <c r="F10" s="1384" t="s">
        <v>1295</v>
      </c>
      <c r="G10" s="1385"/>
      <c r="H10" s="1386" t="s">
        <v>1294</v>
      </c>
      <c r="I10" s="1385" t="s">
        <v>2073</v>
      </c>
      <c r="J10" s="1387" t="s">
        <v>1293</v>
      </c>
      <c r="K10" s="322"/>
      <c r="L10" s="1378"/>
    </row>
    <row r="11" spans="1:13" ht="13.5" customHeight="1" x14ac:dyDescent="0.2">
      <c r="B11" s="322"/>
      <c r="C11" s="322"/>
      <c r="D11" s="322"/>
      <c r="E11" s="322"/>
      <c r="F11" s="322"/>
      <c r="G11" s="1380"/>
      <c r="H11" s="322"/>
      <c r="I11" s="1388" t="s">
        <v>1292</v>
      </c>
      <c r="J11" s="322"/>
      <c r="K11" s="1389">
        <v>2017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2110</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2111</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t="s">
        <v>2112</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2113</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2114</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2115</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t="s">
        <v>2116</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55EB9-1C1A-4817-9A54-2F23F72D4497}">
  <sheetPr>
    <tabColor rgb="FF92D050"/>
  </sheetPr>
  <dimension ref="A1:M41"/>
  <sheetViews>
    <sheetView showGridLines="0"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Williamsfield CUSD 210</v>
      </c>
      <c r="C1" s="2465"/>
      <c r="D1" s="2465"/>
      <c r="E1" s="2465"/>
      <c r="F1" s="2465"/>
      <c r="G1" s="2465"/>
      <c r="H1" s="2465"/>
      <c r="I1" s="2465"/>
      <c r="J1" s="2465"/>
      <c r="K1" s="2465"/>
      <c r="L1" s="1371"/>
      <c r="M1" s="1371"/>
    </row>
    <row r="2" spans="1:13" ht="12" customHeight="1" x14ac:dyDescent="0.2">
      <c r="B2" s="2467">
        <f>'Single Audit Cover'!E7</f>
        <v>33048210026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945"/>
      <c r="M3" s="1945"/>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4</v>
      </c>
      <c r="E10" s="322"/>
      <c r="F10" s="1384" t="s">
        <v>1295</v>
      </c>
      <c r="G10" s="1385" t="s">
        <v>2073</v>
      </c>
      <c r="H10" s="1386" t="s">
        <v>1294</v>
      </c>
      <c r="I10" s="1385" t="s">
        <v>1169</v>
      </c>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2145</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2149</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t="s">
        <v>2143</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2144</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2146</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2147</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t="s">
        <v>2148</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Williamsfield CUSD 210</v>
      </c>
      <c r="C1" s="2488"/>
      <c r="D1" s="2488"/>
      <c r="E1" s="2488"/>
      <c r="F1" s="2488"/>
      <c r="G1" s="2488"/>
      <c r="H1" s="2488"/>
      <c r="I1" s="2488"/>
      <c r="J1" s="2488"/>
      <c r="K1" s="2488"/>
      <c r="L1" s="1449"/>
    </row>
    <row r="2" spans="1:12" ht="12.75" customHeight="1" x14ac:dyDescent="0.2">
      <c r="B2" s="2489">
        <f>'Single Audit Cover'!E7</f>
        <v>33048210026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election activeCell="D23" sqref="D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Williamsfield CUSD 210</v>
      </c>
      <c r="C1" s="2465"/>
      <c r="D1" s="2465"/>
      <c r="E1" s="1469"/>
    </row>
    <row r="2" spans="2:5" s="1279" customFormat="1" ht="12.75" customHeight="1" x14ac:dyDescent="0.2">
      <c r="B2" s="2467">
        <f>'Single Audit Cover'!E7</f>
        <v>33048210026</v>
      </c>
      <c r="C2" s="2467"/>
      <c r="D2" s="2467"/>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t="s">
        <v>2117</v>
      </c>
      <c r="C8" s="324" t="s">
        <v>2118</v>
      </c>
      <c r="D8" s="324" t="s">
        <v>2119</v>
      </c>
      <c r="E8" s="324"/>
    </row>
    <row r="9" spans="2:5" ht="13.5" customHeight="1" x14ac:dyDescent="0.2">
      <c r="B9" s="1475"/>
      <c r="C9" s="323"/>
      <c r="D9" s="323" t="s">
        <v>2120</v>
      </c>
      <c r="E9" s="323"/>
    </row>
    <row r="10" spans="2:5" ht="13.5" customHeight="1" x14ac:dyDescent="0.2">
      <c r="B10" s="1474"/>
      <c r="C10" s="323"/>
      <c r="D10" s="323"/>
      <c r="E10" s="323"/>
    </row>
    <row r="11" spans="2:5" ht="13.5" customHeight="1" x14ac:dyDescent="0.2">
      <c r="B11" s="1474" t="s">
        <v>2121</v>
      </c>
      <c r="C11" s="323" t="s">
        <v>2122</v>
      </c>
      <c r="D11" s="323" t="s">
        <v>2119</v>
      </c>
      <c r="E11" s="323"/>
    </row>
    <row r="12" spans="2:5" ht="13.5" customHeight="1" x14ac:dyDescent="0.2">
      <c r="B12" s="1474"/>
      <c r="C12" s="323"/>
      <c r="D12" s="323" t="s">
        <v>2123</v>
      </c>
      <c r="E12" s="323"/>
    </row>
    <row r="13" spans="2:5" ht="13.5" customHeight="1" x14ac:dyDescent="0.2">
      <c r="B13" s="1474"/>
      <c r="C13" s="323"/>
      <c r="D13" s="323"/>
      <c r="E13" s="323"/>
    </row>
    <row r="14" spans="2:5" ht="13.5" customHeight="1" x14ac:dyDescent="0.2">
      <c r="B14" s="1474" t="s">
        <v>2124</v>
      </c>
      <c r="C14" s="323" t="s">
        <v>2125</v>
      </c>
      <c r="D14" s="323" t="s">
        <v>2126</v>
      </c>
      <c r="E14" s="323"/>
    </row>
    <row r="15" spans="2:5" ht="13.5" customHeight="1" x14ac:dyDescent="0.2">
      <c r="B15" s="1474"/>
      <c r="C15" s="323"/>
      <c r="D15" s="323" t="s">
        <v>2127</v>
      </c>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9" colorId="8" zoomScale="110" zoomScaleNormal="110" workbookViewId="0">
      <selection activeCell="B33" sqref="B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90606258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3.10829E-2</v>
      </c>
      <c r="E10" s="356" t="s">
        <v>1005</v>
      </c>
      <c r="F10" s="355">
        <v>4.3499999999999997E-3</v>
      </c>
      <c r="G10" s="356" t="s">
        <v>1005</v>
      </c>
      <c r="H10" s="355">
        <v>1.6555999999999999E-3</v>
      </c>
      <c r="I10" s="356" t="s">
        <v>1006</v>
      </c>
      <c r="J10" s="1732">
        <f>ROUND(D10+F10+H10,5)</f>
        <v>3.7089999999999998E-2</v>
      </c>
      <c r="K10" s="222"/>
      <c r="L10" s="355"/>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2737254</v>
      </c>
      <c r="E16" s="356"/>
      <c r="F16" s="1733">
        <f>SUM('Acct Summary 7-8'!C17,'Acct Summary 7-8'!D17,'Acct Summary 7-8'!F17)</f>
        <v>4869973</v>
      </c>
      <c r="G16" s="356"/>
      <c r="H16" s="1733">
        <f>SUM(D16-F16)</f>
        <v>-2132719</v>
      </c>
      <c r="I16" s="222"/>
      <c r="J16" s="1733">
        <f>SUM('Acct Summary 7-8'!C81,'Acct Summary 7-8'!D81,'Acct Summary 7-8'!F81,'Acct Summary 7-8'!I81)</f>
        <v>1472118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12503663.604</v>
      </c>
      <c r="I31" s="368"/>
      <c r="J31" s="222"/>
      <c r="K31" s="222"/>
      <c r="L31" s="222"/>
      <c r="M31" s="222"/>
    </row>
    <row r="32" spans="1:13" ht="13.35" customHeight="1" x14ac:dyDescent="0.2">
      <c r="B32" s="369" t="s">
        <v>2073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608603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activeCell="K24" sqref="K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Williamsfield CUSD 210</v>
      </c>
      <c r="E7" s="391"/>
      <c r="G7" s="252"/>
      <c r="H7" s="387"/>
      <c r="I7" s="387"/>
      <c r="J7" s="387"/>
      <c r="K7" s="387"/>
      <c r="L7" s="329"/>
      <c r="M7" s="329"/>
      <c r="N7" s="329"/>
      <c r="O7" s="329"/>
      <c r="P7" s="329"/>
    </row>
    <row r="8" spans="1:18" ht="12.75" x14ac:dyDescent="0.2">
      <c r="A8" s="329"/>
      <c r="B8" s="329"/>
      <c r="C8" s="389" t="s">
        <v>1125</v>
      </c>
      <c r="D8" s="392">
        <f>COVER!A13</f>
        <v>33048210026</v>
      </c>
      <c r="E8" s="393"/>
      <c r="G8" s="329"/>
      <c r="H8" s="329"/>
      <c r="I8" s="329"/>
      <c r="J8" s="329"/>
      <c r="K8" s="329"/>
      <c r="L8" s="329"/>
      <c r="M8" s="329"/>
      <c r="N8" s="329"/>
      <c r="O8" s="329"/>
      <c r="P8" s="329"/>
    </row>
    <row r="9" spans="1:18" ht="12.75" x14ac:dyDescent="0.2">
      <c r="A9" s="329"/>
      <c r="B9" s="329"/>
      <c r="C9" s="389" t="s">
        <v>713</v>
      </c>
      <c r="D9" s="394" t="str">
        <f>COVER!A15</f>
        <v>KNOX, PEORIA, AND STARK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1367847</v>
      </c>
      <c r="I12" s="404"/>
      <c r="J12" s="404"/>
      <c r="K12" s="405">
        <f>TRUNC((H12/H13*100000),5)/100000</f>
        <v>0.49971504280000001</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2737254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4869973</v>
      </c>
      <c r="I17" s="404"/>
      <c r="J17" s="416"/>
      <c r="K17" s="405">
        <f>TRUNC((H17/H18*100000),5)/100000</f>
        <v>1.7791454500999999</v>
      </c>
      <c r="L17" s="406"/>
      <c r="M17" s="417" t="s">
        <v>1171</v>
      </c>
      <c r="O17" s="418" t="str">
        <f>IF(AND(O16="2", J20 &gt; 2),"1",IF(AND(O16 = "1", J20 &gt; 2),"2",IF(AND(O16="1", J20 &gt;1),"1","0")))</f>
        <v>0</v>
      </c>
      <c r="P17" s="218"/>
    </row>
    <row r="18" spans="1:18" s="408" customFormat="1" ht="11.25" x14ac:dyDescent="0.2">
      <c r="A18" s="218"/>
      <c r="B18" s="401"/>
      <c r="C18" s="2106" t="s">
        <v>1317</v>
      </c>
      <c r="D18" s="2107"/>
      <c r="E18" s="218"/>
      <c r="F18" s="419" t="s">
        <v>794</v>
      </c>
      <c r="G18" s="402"/>
      <c r="H18" s="403">
        <f>SUM('Acct Summary 7-8'!C8+'Acct Summary 7-8'!D8+'Acct Summary 7-8'!F8+'Acct Summary 7-8'!I8)+H19</f>
        <v>2737254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0.51301720000000006</v>
      </c>
      <c r="K20" s="405" t="str">
        <f>IF(K17&lt;=1,"0",IF(AND(O16="2", J20 &gt; 2),TRUNC(((K12-0.1)/(K17-1)*100),5)/100,IF(AND(O16 = "1", J20 &gt; 2),TRUNC(((K12-0.1)/(K17-1)*100),5)/100,IF(AND(O16="1", J20 &gt;1),TRUNC(((K12-0.1)/(K17-1)*100),5)/100,""))))</f>
        <v/>
      </c>
      <c r="L20" s="218"/>
      <c r="M20" s="360" t="s">
        <v>1145</v>
      </c>
      <c r="N20" s="360"/>
      <c r="O20" s="411">
        <f>(O16+O17)*O18</f>
        <v>0.35</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1594801</v>
      </c>
      <c r="I24" s="422"/>
      <c r="J24" s="422"/>
      <c r="K24" s="423">
        <f>TRUNC(((H24/H25*100000)/100000),2)</f>
        <v>117.89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13527.70278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2856498.1928400001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608603</v>
      </c>
      <c r="I32" s="420"/>
      <c r="J32" s="420"/>
      <c r="K32" s="423">
        <f>TRUNC(100-((((H32/H33*100))*100)/100),2)</f>
        <v>95.13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12503663.604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2.8499999999999996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8" activePane="bottomLeft" state="frozen"/>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v>534789</v>
      </c>
      <c r="D4" s="466"/>
      <c r="E4" s="466">
        <v>6588</v>
      </c>
      <c r="F4" s="466">
        <v>306646</v>
      </c>
      <c r="G4" s="466"/>
      <c r="H4" s="466">
        <v>10145</v>
      </c>
      <c r="I4" s="466"/>
      <c r="J4" s="467"/>
      <c r="K4" s="466">
        <v>46800</v>
      </c>
      <c r="L4" s="466">
        <v>70072</v>
      </c>
      <c r="M4" s="468"/>
      <c r="N4" s="469"/>
    </row>
    <row r="5" spans="1:14" x14ac:dyDescent="0.2">
      <c r="A5" s="463" t="s">
        <v>992</v>
      </c>
      <c r="B5" s="470">
        <v>120</v>
      </c>
      <c r="C5" s="465">
        <v>465199</v>
      </c>
      <c r="D5" s="466">
        <v>273368</v>
      </c>
      <c r="E5" s="466">
        <v>1</v>
      </c>
      <c r="F5" s="466">
        <v>14799</v>
      </c>
      <c r="G5" s="466"/>
      <c r="H5" s="466"/>
      <c r="I5" s="466"/>
      <c r="J5" s="467">
        <v>735</v>
      </c>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999988</v>
      </c>
      <c r="D13" s="1737">
        <f t="shared" ref="D13:L13" si="0">SUM(D4:D12)</f>
        <v>273368</v>
      </c>
      <c r="E13" s="1737">
        <f t="shared" si="0"/>
        <v>6589</v>
      </c>
      <c r="F13" s="1737">
        <f t="shared" si="0"/>
        <v>321445</v>
      </c>
      <c r="G13" s="1737">
        <f t="shared" si="0"/>
        <v>0</v>
      </c>
      <c r="H13" s="1737">
        <f t="shared" si="0"/>
        <v>10145</v>
      </c>
      <c r="I13" s="1737">
        <f t="shared" si="0"/>
        <v>0</v>
      </c>
      <c r="J13" s="1737">
        <f t="shared" si="0"/>
        <v>735</v>
      </c>
      <c r="K13" s="1737">
        <f t="shared" si="0"/>
        <v>46800</v>
      </c>
      <c r="L13" s="1737">
        <f t="shared" si="0"/>
        <v>70072</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22782</v>
      </c>
      <c r="N16" s="484"/>
    </row>
    <row r="17" spans="1:14" s="485" customFormat="1" ht="12.75" customHeight="1" x14ac:dyDescent="0.2">
      <c r="A17" s="482" t="s">
        <v>1403</v>
      </c>
      <c r="B17" s="483">
        <v>230</v>
      </c>
      <c r="C17" s="477"/>
      <c r="D17" s="477"/>
      <c r="E17" s="477"/>
      <c r="F17" s="477"/>
      <c r="G17" s="477"/>
      <c r="H17" s="477"/>
      <c r="I17" s="477"/>
      <c r="J17" s="477"/>
      <c r="K17" s="477"/>
      <c r="L17" s="477"/>
      <c r="M17" s="467">
        <v>4149472</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1141252</v>
      </c>
      <c r="N19" s="484"/>
    </row>
    <row r="20" spans="1:14" s="485" customFormat="1" ht="12.75" customHeight="1" x14ac:dyDescent="0.2">
      <c r="A20" s="482" t="s">
        <v>1406</v>
      </c>
      <c r="B20" s="483">
        <v>260</v>
      </c>
      <c r="C20" s="477"/>
      <c r="D20" s="477"/>
      <c r="E20" s="477"/>
      <c r="F20" s="477"/>
      <c r="G20" s="477"/>
      <c r="H20" s="477"/>
      <c r="I20" s="477"/>
      <c r="J20" s="477"/>
      <c r="K20" s="477"/>
      <c r="L20" s="477"/>
      <c r="M20" s="467">
        <v>443734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6589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602014</v>
      </c>
    </row>
    <row r="23" spans="1:14" ht="13.5" customHeight="1" thickBot="1" x14ac:dyDescent="0.25">
      <c r="A23" s="1736" t="s">
        <v>643</v>
      </c>
      <c r="B23" s="1741"/>
      <c r="C23" s="468"/>
      <c r="D23" s="468"/>
      <c r="E23" s="468"/>
      <c r="F23" s="468"/>
      <c r="G23" s="468"/>
      <c r="H23" s="468"/>
      <c r="I23" s="468"/>
      <c r="J23" s="468"/>
      <c r="K23" s="468"/>
      <c r="L23" s="468"/>
      <c r="M23" s="1688">
        <f>SUM(M15:M22)</f>
        <v>5757240</v>
      </c>
      <c r="N23" s="1688">
        <f>SUM(N21:N22)</f>
        <v>608603</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v>119133</v>
      </c>
      <c r="E26" s="467"/>
      <c r="F26" s="467"/>
      <c r="G26" s="467">
        <v>88112</v>
      </c>
      <c r="H26" s="467"/>
      <c r="I26" s="467"/>
      <c r="J26" s="474">
        <v>16894</v>
      </c>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3550</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70072</v>
      </c>
      <c r="M33" s="468"/>
      <c r="N33" s="469"/>
    </row>
    <row r="34" spans="1:14" ht="13.5" customHeight="1" thickBot="1" x14ac:dyDescent="0.25">
      <c r="A34" s="1738" t="s">
        <v>654</v>
      </c>
      <c r="B34" s="1739"/>
      <c r="C34" s="1740">
        <f>SUM(C25:C33)</f>
        <v>3550</v>
      </c>
      <c r="D34" s="1740">
        <f t="shared" ref="D34:K34" si="1">SUM(D25:D33)</f>
        <v>119133</v>
      </c>
      <c r="E34" s="1740">
        <f t="shared" si="1"/>
        <v>0</v>
      </c>
      <c r="F34" s="1740">
        <f t="shared" si="1"/>
        <v>0</v>
      </c>
      <c r="G34" s="1740">
        <f t="shared" si="1"/>
        <v>88112</v>
      </c>
      <c r="H34" s="1740">
        <f t="shared" si="1"/>
        <v>0</v>
      </c>
      <c r="I34" s="1740">
        <f t="shared" si="1"/>
        <v>0</v>
      </c>
      <c r="J34" s="1740">
        <f t="shared" si="1"/>
        <v>16894</v>
      </c>
      <c r="K34" s="1740">
        <f t="shared" si="1"/>
        <v>0</v>
      </c>
      <c r="L34" s="1721">
        <f>SUM(L33)</f>
        <v>70072</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608603</v>
      </c>
    </row>
    <row r="37" spans="1:14" ht="13.5" thickBot="1" x14ac:dyDescent="0.25">
      <c r="A37" s="1736" t="s">
        <v>653</v>
      </c>
      <c r="B37" s="1741"/>
      <c r="C37" s="477"/>
      <c r="D37" s="477"/>
      <c r="E37" s="477"/>
      <c r="F37" s="477"/>
      <c r="G37" s="477"/>
      <c r="H37" s="477"/>
      <c r="I37" s="477"/>
      <c r="J37" s="477"/>
      <c r="K37" s="477"/>
      <c r="L37" s="480"/>
      <c r="M37" s="468"/>
      <c r="N37" s="1688">
        <f>SUM(N36:N36)</f>
        <v>608603</v>
      </c>
    </row>
    <row r="38" spans="1:14" s="329" customFormat="1" ht="13.5" customHeight="1" thickTop="1" x14ac:dyDescent="0.2">
      <c r="A38" s="496" t="s">
        <v>420</v>
      </c>
      <c r="B38" s="483">
        <v>714</v>
      </c>
      <c r="C38" s="466">
        <v>37408</v>
      </c>
      <c r="D38" s="466"/>
      <c r="E38" s="466"/>
      <c r="F38" s="466"/>
      <c r="G38" s="466">
        <v>-88112</v>
      </c>
      <c r="H38" s="466"/>
      <c r="I38" s="466"/>
      <c r="J38" s="467"/>
      <c r="K38" s="466"/>
      <c r="L38" s="481"/>
      <c r="M38" s="497"/>
      <c r="N38" s="497"/>
    </row>
    <row r="39" spans="1:14" s="329" customFormat="1" ht="13.5" customHeight="1" x14ac:dyDescent="0.2">
      <c r="A39" s="496" t="s">
        <v>342</v>
      </c>
      <c r="B39" s="483">
        <v>730</v>
      </c>
      <c r="C39" s="466">
        <v>959030</v>
      </c>
      <c r="D39" s="466">
        <v>154235</v>
      </c>
      <c r="E39" s="466">
        <v>6589</v>
      </c>
      <c r="F39" s="466">
        <v>321445</v>
      </c>
      <c r="G39" s="466"/>
      <c r="H39" s="466">
        <v>10145</v>
      </c>
      <c r="I39" s="466"/>
      <c r="J39" s="467">
        <v>-16159</v>
      </c>
      <c r="K39" s="466">
        <v>46800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5757240</v>
      </c>
      <c r="N40" s="497"/>
    </row>
    <row r="41" spans="1:14" ht="13.5" customHeight="1" thickBot="1" x14ac:dyDescent="0.25">
      <c r="A41" s="1736" t="s">
        <v>655</v>
      </c>
      <c r="B41" s="1706"/>
      <c r="C41" s="1688">
        <f>(SUM(C34,C37,C38,C39))</f>
        <v>999988</v>
      </c>
      <c r="D41" s="1688">
        <f t="shared" ref="D41:L41" si="2">SUM(D34,D37,D38:D39)</f>
        <v>273368</v>
      </c>
      <c r="E41" s="1688">
        <f t="shared" si="2"/>
        <v>6589</v>
      </c>
      <c r="F41" s="1688">
        <f t="shared" si="2"/>
        <v>321445</v>
      </c>
      <c r="G41" s="1688">
        <f t="shared" si="2"/>
        <v>0</v>
      </c>
      <c r="H41" s="1688">
        <f t="shared" si="2"/>
        <v>10145</v>
      </c>
      <c r="I41" s="1688">
        <f t="shared" si="2"/>
        <v>0</v>
      </c>
      <c r="J41" s="1688">
        <f t="shared" si="2"/>
        <v>735</v>
      </c>
      <c r="K41" s="1688">
        <f t="shared" si="2"/>
        <v>46800</v>
      </c>
      <c r="L41" s="1688">
        <f t="shared" si="2"/>
        <v>70072</v>
      </c>
      <c r="M41" s="1688">
        <f>SUM(M40)</f>
        <v>5757240</v>
      </c>
      <c r="N41" s="1688">
        <f>SUM(N37)</f>
        <v>608603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1756386</v>
      </c>
      <c r="D4" s="1742">
        <f>'Revenues 9-14'!D109</f>
        <v>298626</v>
      </c>
      <c r="E4" s="1742">
        <f>'Revenues 9-14'!E109</f>
        <v>123956</v>
      </c>
      <c r="F4" s="1742">
        <f>'Revenues 9-14'!F109</f>
        <v>101041</v>
      </c>
      <c r="G4" s="1742">
        <f>'Revenues 9-14'!G109</f>
        <v>126262</v>
      </c>
      <c r="H4" s="1742">
        <f>'Revenues 9-14'!H109</f>
        <v>35363</v>
      </c>
      <c r="I4" s="1742">
        <f>'Revenues 9-14'!I109</f>
        <v>0</v>
      </c>
      <c r="J4" s="1742">
        <f>'Revenues 9-14'!J109</f>
        <v>47092</v>
      </c>
      <c r="K4" s="1742">
        <f>'Revenues 9-14'!K109</f>
        <v>6318</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339644</v>
      </c>
      <c r="D6" s="1743">
        <f>'Revenues 9-14'!D170</f>
        <v>0</v>
      </c>
      <c r="E6" s="1743">
        <f>'Revenues 9-14'!E170</f>
        <v>0</v>
      </c>
      <c r="F6" s="1743">
        <f>'Revenues 9-14'!F170</f>
        <v>115633</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125924</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2221954</v>
      </c>
      <c r="D8" s="1688">
        <f t="shared" ref="D8:K8" si="0">SUM(D4:D7)</f>
        <v>298626</v>
      </c>
      <c r="E8" s="1688">
        <f t="shared" si="0"/>
        <v>123956</v>
      </c>
      <c r="F8" s="1688">
        <f t="shared" si="0"/>
        <v>216674</v>
      </c>
      <c r="G8" s="1688">
        <f t="shared" si="0"/>
        <v>126262</v>
      </c>
      <c r="H8" s="1688">
        <f t="shared" si="0"/>
        <v>35363</v>
      </c>
      <c r="I8" s="1688">
        <f t="shared" si="0"/>
        <v>0</v>
      </c>
      <c r="J8" s="1688">
        <f t="shared" si="0"/>
        <v>47092</v>
      </c>
      <c r="K8" s="1688">
        <f t="shared" si="0"/>
        <v>6318</v>
      </c>
      <c r="L8" s="347"/>
    </row>
    <row r="9" spans="1:13" ht="15.75" thickTop="1" x14ac:dyDescent="0.2">
      <c r="A9" s="514" t="s">
        <v>1653</v>
      </c>
      <c r="B9" s="515">
        <v>3998</v>
      </c>
      <c r="C9" s="481">
        <v>1211524</v>
      </c>
      <c r="D9" s="516"/>
      <c r="E9" s="481"/>
      <c r="F9" s="481"/>
      <c r="G9" s="517"/>
      <c r="H9" s="481"/>
      <c r="I9" s="509" t="s">
        <v>1169</v>
      </c>
      <c r="J9" s="478"/>
      <c r="K9" s="481"/>
      <c r="L9" s="347"/>
    </row>
    <row r="10" spans="1:13" s="519" customFormat="1" ht="13.5" thickBot="1" x14ac:dyDescent="0.25">
      <c r="A10" s="1736" t="s">
        <v>1173</v>
      </c>
      <c r="B10" s="1709"/>
      <c r="C10" s="1688">
        <f>SUM(C8:C9)</f>
        <v>3433478</v>
      </c>
      <c r="D10" s="1688">
        <f t="shared" ref="D10:K10" si="1">SUM(D8:D9)</f>
        <v>298626</v>
      </c>
      <c r="E10" s="1688">
        <f t="shared" si="1"/>
        <v>123956</v>
      </c>
      <c r="F10" s="1688">
        <f t="shared" si="1"/>
        <v>216674</v>
      </c>
      <c r="G10" s="1688">
        <f t="shared" si="1"/>
        <v>126262</v>
      </c>
      <c r="H10" s="1688">
        <f t="shared" si="1"/>
        <v>35363</v>
      </c>
      <c r="I10" s="1688">
        <f t="shared" si="1"/>
        <v>0</v>
      </c>
      <c r="J10" s="1688">
        <f t="shared" si="1"/>
        <v>47092</v>
      </c>
      <c r="K10" s="1688">
        <f t="shared" si="1"/>
        <v>6318</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2382694</v>
      </c>
      <c r="D12" s="520" t="s">
        <v>1169</v>
      </c>
      <c r="E12" s="468" t="s">
        <v>1169</v>
      </c>
      <c r="F12" s="468" t="s">
        <v>1169</v>
      </c>
      <c r="G12" s="1742">
        <f>'Expenditures 15-22'!K229</f>
        <v>62642</v>
      </c>
      <c r="H12" s="521"/>
      <c r="I12" s="468" t="s">
        <v>1169</v>
      </c>
      <c r="J12" s="468" t="s">
        <v>1169</v>
      </c>
      <c r="K12" s="521" t="s">
        <v>1169</v>
      </c>
      <c r="L12" s="347"/>
    </row>
    <row r="13" spans="1:13" ht="15.75" customHeight="1" x14ac:dyDescent="0.2">
      <c r="A13" s="1576" t="s">
        <v>457</v>
      </c>
      <c r="B13" s="1578">
        <v>2000</v>
      </c>
      <c r="C13" s="1743">
        <f>'Expenditures 15-22'!K74</f>
        <v>965951</v>
      </c>
      <c r="D13" s="1743">
        <f>'Expenditures 15-22'!K129</f>
        <v>1013990</v>
      </c>
      <c r="E13" s="469" t="s">
        <v>1169</v>
      </c>
      <c r="F13" s="1743">
        <f>'Expenditures 15-22'!K184</f>
        <v>422776</v>
      </c>
      <c r="G13" s="1743">
        <f>'Expenditures 15-22'!K279</f>
        <v>121720</v>
      </c>
      <c r="H13" s="1743">
        <f>'Expenditures 15-22'!K303</f>
        <v>8458</v>
      </c>
      <c r="I13" s="468" t="s">
        <v>1169</v>
      </c>
      <c r="J13" s="1743">
        <f>'Expenditures 15-22'!K330</f>
        <v>67101</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84562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121637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3433207</v>
      </c>
      <c r="D17" s="1688">
        <f t="shared" si="2"/>
        <v>1013990</v>
      </c>
      <c r="E17" s="1688">
        <f t="shared" si="2"/>
        <v>121637</v>
      </c>
      <c r="F17" s="1688">
        <f t="shared" si="2"/>
        <v>422776</v>
      </c>
      <c r="G17" s="1688">
        <f t="shared" si="2"/>
        <v>184362</v>
      </c>
      <c r="H17" s="1688">
        <f t="shared" si="2"/>
        <v>8458</v>
      </c>
      <c r="I17" s="468"/>
      <c r="J17" s="1688">
        <f>SUM(J12:J16)</f>
        <v>67101</v>
      </c>
      <c r="K17" s="1688">
        <f>SUM(K12:K16)</f>
        <v>0</v>
      </c>
      <c r="L17" s="347"/>
    </row>
    <row r="18" spans="1:12" ht="15" customHeight="1" thickTop="1" x14ac:dyDescent="0.2">
      <c r="A18" s="1744" t="s">
        <v>1654</v>
      </c>
      <c r="B18" s="1745">
        <v>4180</v>
      </c>
      <c r="C18" s="1742">
        <f t="shared" ref="C18:H18" si="3">C9</f>
        <v>1211524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4644731</v>
      </c>
      <c r="D19" s="1688">
        <f t="shared" si="4"/>
        <v>1013990</v>
      </c>
      <c r="E19" s="1688">
        <f t="shared" si="4"/>
        <v>121637</v>
      </c>
      <c r="F19" s="1688">
        <f t="shared" si="4"/>
        <v>422776</v>
      </c>
      <c r="G19" s="1688">
        <f t="shared" si="4"/>
        <v>184362</v>
      </c>
      <c r="H19" s="1688">
        <f t="shared" si="4"/>
        <v>8458</v>
      </c>
      <c r="I19" s="468"/>
      <c r="J19" s="1688">
        <f>SUM(J17:J18)</f>
        <v>67101</v>
      </c>
      <c r="K19" s="1688">
        <f>SUM(K17:K18)</f>
        <v>0</v>
      </c>
      <c r="L19" s="347"/>
    </row>
    <row r="20" spans="1:12" ht="16.5" thickTop="1" thickBot="1" x14ac:dyDescent="0.25">
      <c r="A20" s="2131" t="s">
        <v>1655</v>
      </c>
      <c r="B20" s="2132"/>
      <c r="C20" s="1746">
        <f>C8-C17</f>
        <v>-1211253</v>
      </c>
      <c r="D20" s="1746">
        <f t="shared" ref="D20:K20" si="5">D8-D17</f>
        <v>-715364</v>
      </c>
      <c r="E20" s="1746">
        <f t="shared" si="5"/>
        <v>2319</v>
      </c>
      <c r="F20" s="1746">
        <f t="shared" si="5"/>
        <v>-206102</v>
      </c>
      <c r="G20" s="1746">
        <f t="shared" si="5"/>
        <v>-58100</v>
      </c>
      <c r="H20" s="1746">
        <f t="shared" si="5"/>
        <v>26905</v>
      </c>
      <c r="I20" s="1746">
        <f t="shared" si="5"/>
        <v>0</v>
      </c>
      <c r="J20" s="1746">
        <f t="shared" si="5"/>
        <v>-20009</v>
      </c>
      <c r="K20" s="1746">
        <f t="shared" si="5"/>
        <v>6318</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250000</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0</v>
      </c>
      <c r="D44" s="1703">
        <f t="shared" ref="D44:K44" si="6">SUM(D24:D43)</f>
        <v>250000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250000</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250000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-250000</v>
      </c>
      <c r="D77" s="1703">
        <f t="shared" si="8"/>
        <v>250000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597</v>
      </c>
      <c r="B78" s="2128"/>
      <c r="C78" s="1702">
        <f t="shared" ref="C78:K78" si="9">C20+C77</f>
        <v>-1461253</v>
      </c>
      <c r="D78" s="1702">
        <f t="shared" si="9"/>
        <v>-465364</v>
      </c>
      <c r="E78" s="1702">
        <f t="shared" si="9"/>
        <v>2319</v>
      </c>
      <c r="F78" s="1702">
        <f t="shared" si="9"/>
        <v>-206102</v>
      </c>
      <c r="G78" s="1702">
        <f t="shared" si="9"/>
        <v>-58100</v>
      </c>
      <c r="H78" s="1702">
        <f t="shared" si="9"/>
        <v>26905</v>
      </c>
      <c r="I78" s="1702">
        <f t="shared" si="9"/>
        <v>0</v>
      </c>
      <c r="J78" s="1702">
        <f t="shared" si="9"/>
        <v>-20009</v>
      </c>
      <c r="K78" s="1702">
        <f t="shared" si="9"/>
        <v>6318</v>
      </c>
      <c r="L78" s="533"/>
    </row>
    <row r="79" spans="1:12" ht="13.5" thickTop="1" x14ac:dyDescent="0.2">
      <c r="A79" s="1494" t="s">
        <v>1947</v>
      </c>
      <c r="B79" s="534"/>
      <c r="C79" s="478">
        <v>2458191</v>
      </c>
      <c r="D79" s="535">
        <v>619599</v>
      </c>
      <c r="E79" s="535">
        <v>4270</v>
      </c>
      <c r="F79" s="535">
        <v>527547</v>
      </c>
      <c r="G79" s="535">
        <v>-30012</v>
      </c>
      <c r="H79" s="535">
        <v>-16760</v>
      </c>
      <c r="I79" s="535"/>
      <c r="J79" s="535">
        <v>3850</v>
      </c>
      <c r="K79" s="535">
        <v>40482</v>
      </c>
      <c r="L79" s="347"/>
    </row>
    <row r="80" spans="1:12" x14ac:dyDescent="0.2">
      <c r="A80" s="2133" t="s">
        <v>1795</v>
      </c>
      <c r="B80" s="2134"/>
      <c r="C80" s="467">
        <v>-500</v>
      </c>
      <c r="D80" s="467"/>
      <c r="E80" s="467"/>
      <c r="F80" s="467"/>
      <c r="G80" s="467"/>
      <c r="H80" s="467"/>
      <c r="I80" s="467"/>
      <c r="J80" s="467"/>
      <c r="K80" s="467"/>
      <c r="L80" s="347"/>
    </row>
    <row r="81" spans="1:12" ht="13.5" thickBot="1" x14ac:dyDescent="0.25">
      <c r="A81" s="2125" t="s">
        <v>1948</v>
      </c>
      <c r="B81" s="2126"/>
      <c r="C81" s="1688">
        <f>(SUM(C78:C80))</f>
        <v>996438</v>
      </c>
      <c r="D81" s="1688">
        <f>SUM(D78:D80)</f>
        <v>154235</v>
      </c>
      <c r="E81" s="1688">
        <f t="shared" ref="E81:K81" si="10">SUM(E78:E80)</f>
        <v>6589</v>
      </c>
      <c r="F81" s="1688">
        <f t="shared" si="10"/>
        <v>321445</v>
      </c>
      <c r="G81" s="1688">
        <f t="shared" si="10"/>
        <v>-88112</v>
      </c>
      <c r="H81" s="1688">
        <f t="shared" si="10"/>
        <v>10145</v>
      </c>
      <c r="I81" s="1688">
        <f t="shared" si="10"/>
        <v>0</v>
      </c>
      <c r="J81" s="1688">
        <f t="shared" si="10"/>
        <v>-16159</v>
      </c>
      <c r="K81" s="1688">
        <f t="shared" si="10"/>
        <v>46800</v>
      </c>
      <c r="L81" s="347"/>
    </row>
    <row r="82" spans="1:12" ht="0.75" customHeight="1" thickTop="1" thickBot="1" x14ac:dyDescent="0.25">
      <c r="A82" s="536" t="s">
        <v>343</v>
      </c>
      <c r="B82" s="537"/>
      <c r="C82" s="538">
        <f>(C81-C79)</f>
        <v>-1461753</v>
      </c>
      <c r="D82" s="538">
        <f t="shared" ref="D82:K82" si="11">(D81-D79)</f>
        <v>-465364</v>
      </c>
      <c r="E82" s="538">
        <f t="shared" si="11"/>
        <v>2319</v>
      </c>
      <c r="F82" s="538">
        <f t="shared" si="11"/>
        <v>-206102</v>
      </c>
      <c r="G82" s="538">
        <f t="shared" si="11"/>
        <v>-58100</v>
      </c>
      <c r="H82" s="538">
        <f t="shared" si="11"/>
        <v>26905</v>
      </c>
      <c r="I82" s="538">
        <f t="shared" si="11"/>
        <v>0</v>
      </c>
      <c r="J82" s="538">
        <f t="shared" si="11"/>
        <v>-20009</v>
      </c>
      <c r="K82" s="538">
        <f t="shared" si="11"/>
        <v>6318</v>
      </c>
    </row>
    <row r="83" spans="1:12" ht="14.25" hidden="1" thickTop="1" thickBot="1" x14ac:dyDescent="0.25">
      <c r="A83" s="539" t="s">
        <v>344</v>
      </c>
      <c r="B83" s="464"/>
      <c r="C83" s="540">
        <f>C82/C81</f>
        <v>-1.4669783769787985</v>
      </c>
      <c r="D83" s="540">
        <f t="shared" ref="D83:K83" si="12">D82/D81</f>
        <v>-3.0172399260868157</v>
      </c>
      <c r="E83" s="540">
        <f t="shared" si="12"/>
        <v>0.3519502200637426</v>
      </c>
      <c r="F83" s="540">
        <f t="shared" si="12"/>
        <v>-0.6411734511347198</v>
      </c>
      <c r="G83" s="540">
        <f t="shared" si="12"/>
        <v>0.65938805157072822</v>
      </c>
      <c r="H83" s="540">
        <f t="shared" si="12"/>
        <v>2.6520453425332677</v>
      </c>
      <c r="I83" s="540" t="e">
        <f t="shared" si="12"/>
        <v>#DIV/0!</v>
      </c>
      <c r="J83" s="540">
        <f t="shared" si="12"/>
        <v>1.2382573179033356</v>
      </c>
      <c r="K83" s="540">
        <f t="shared" si="12"/>
        <v>0.13500000000000001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G5" sqref="G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1586256</v>
      </c>
      <c r="D5" s="481">
        <v>216645</v>
      </c>
      <c r="E5" s="466"/>
      <c r="F5" s="548">
        <v>83088</v>
      </c>
      <c r="G5" s="466">
        <v>62326</v>
      </c>
      <c r="H5" s="466"/>
      <c r="I5" s="466"/>
      <c r="J5" s="467">
        <v>47082</v>
      </c>
      <c r="K5" s="466">
        <v>6263</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19387</v>
      </c>
      <c r="D7" s="466"/>
      <c r="E7" s="468"/>
      <c r="F7" s="467"/>
      <c r="G7" s="467"/>
      <c r="H7" s="467"/>
      <c r="I7" s="468"/>
      <c r="J7" s="468"/>
      <c r="K7" s="468"/>
    </row>
    <row r="8" spans="1:12" x14ac:dyDescent="0.2">
      <c r="A8" s="463" t="s">
        <v>413</v>
      </c>
      <c r="B8" s="470">
        <v>1150</v>
      </c>
      <c r="C8" s="475"/>
      <c r="D8" s="475"/>
      <c r="E8" s="477"/>
      <c r="F8" s="477"/>
      <c r="G8" s="481">
        <v>60934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1605643</v>
      </c>
      <c r="D12" s="1707">
        <f t="shared" si="0"/>
        <v>216645</v>
      </c>
      <c r="E12" s="1707">
        <f t="shared" si="0"/>
        <v>0</v>
      </c>
      <c r="F12" s="1707">
        <f t="shared" si="0"/>
        <v>83088</v>
      </c>
      <c r="G12" s="1707">
        <f t="shared" si="0"/>
        <v>123260</v>
      </c>
      <c r="H12" s="1707">
        <f t="shared" si="0"/>
        <v>0</v>
      </c>
      <c r="I12" s="1707">
        <f t="shared" si="0"/>
        <v>0</v>
      </c>
      <c r="J12" s="1707">
        <f t="shared" si="0"/>
        <v>47082</v>
      </c>
      <c r="K12" s="1688">
        <f t="shared" si="0"/>
        <v>6263</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81760</v>
      </c>
      <c r="E16" s="466"/>
      <c r="F16" s="466"/>
      <c r="G16" s="466">
        <v>3000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81760</v>
      </c>
      <c r="E18" s="1710">
        <f t="shared" si="1"/>
        <v>0</v>
      </c>
      <c r="F18" s="1710">
        <f t="shared" si="1"/>
        <v>0</v>
      </c>
      <c r="G18" s="1710">
        <f t="shared" si="1"/>
        <v>3000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6882</v>
      </c>
      <c r="D65" s="466">
        <v>122</v>
      </c>
      <c r="E65" s="466">
        <v>21</v>
      </c>
      <c r="F65" s="467">
        <v>5953</v>
      </c>
      <c r="G65" s="466">
        <v>2</v>
      </c>
      <c r="H65" s="466">
        <v>1</v>
      </c>
      <c r="I65" s="466"/>
      <c r="J65" s="467">
        <v>10</v>
      </c>
      <c r="K65" s="466">
        <v>55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6882</v>
      </c>
      <c r="D67" s="1688">
        <f t="shared" ref="D67:K67" si="2">SUM(D65:D66)</f>
        <v>122</v>
      </c>
      <c r="E67" s="1688">
        <f t="shared" si="2"/>
        <v>21</v>
      </c>
      <c r="F67" s="1688">
        <f t="shared" si="2"/>
        <v>5953</v>
      </c>
      <c r="G67" s="1688">
        <f t="shared" si="2"/>
        <v>2</v>
      </c>
      <c r="H67" s="1688">
        <f t="shared" si="2"/>
        <v>1</v>
      </c>
      <c r="I67" s="1688">
        <f t="shared" si="2"/>
        <v>0</v>
      </c>
      <c r="J67" s="1688">
        <f t="shared" si="2"/>
        <v>10</v>
      </c>
      <c r="K67" s="1688">
        <f t="shared" si="2"/>
        <v>55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84233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2408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86641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14253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14253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5753</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5753</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37164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123935</v>
      </c>
      <c r="F103" s="468"/>
      <c r="G103" s="468"/>
      <c r="H103" s="489">
        <v>35362</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50</v>
      </c>
      <c r="D107" s="466">
        <v>99</v>
      </c>
      <c r="E107" s="466"/>
      <c r="F107" s="466">
        <v>12000</v>
      </c>
      <c r="G107" s="466"/>
      <c r="H107" s="466"/>
      <c r="I107" s="466"/>
      <c r="J107" s="467"/>
      <c r="K107" s="466"/>
    </row>
    <row r="108" spans="1:12" ht="12.75" customHeight="1" thickBot="1" x14ac:dyDescent="0.25">
      <c r="A108" s="1708" t="s">
        <v>487</v>
      </c>
      <c r="B108" s="1712"/>
      <c r="C108" s="1707">
        <f>SUM(C95:C107)</f>
        <v>37214</v>
      </c>
      <c r="D108" s="1707">
        <f t="shared" ref="D108:K108" si="3">SUM(D95:D107)</f>
        <v>99</v>
      </c>
      <c r="E108" s="1707">
        <f t="shared" si="3"/>
        <v>123935</v>
      </c>
      <c r="F108" s="1707">
        <f t="shared" si="3"/>
        <v>12000</v>
      </c>
      <c r="G108" s="1707">
        <f t="shared" si="3"/>
        <v>0</v>
      </c>
      <c r="H108" s="1707">
        <f t="shared" si="3"/>
        <v>35362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1756386</v>
      </c>
      <c r="D109" s="1715">
        <f t="shared" si="4"/>
        <v>298626</v>
      </c>
      <c r="E109" s="1715">
        <f t="shared" si="4"/>
        <v>123956</v>
      </c>
      <c r="F109" s="1715">
        <f t="shared" si="4"/>
        <v>101041</v>
      </c>
      <c r="G109" s="1715">
        <f t="shared" si="4"/>
        <v>126262</v>
      </c>
      <c r="H109" s="1715">
        <f t="shared" si="4"/>
        <v>35363</v>
      </c>
      <c r="I109" s="1715">
        <f t="shared" si="4"/>
        <v>0</v>
      </c>
      <c r="J109" s="1715">
        <f t="shared" si="4"/>
        <v>47092</v>
      </c>
      <c r="K109" s="1702">
        <f t="shared" si="4"/>
        <v>6318</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204158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204158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26719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26719</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900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2626</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93528</v>
      </c>
      <c r="G152" s="467"/>
      <c r="H152" s="468"/>
      <c r="I152" s="468"/>
      <c r="J152" s="468"/>
      <c r="K152" s="468"/>
    </row>
    <row r="153" spans="1:11" ht="12.75" customHeight="1" x14ac:dyDescent="0.2">
      <c r="A153" s="463" t="s">
        <v>1057</v>
      </c>
      <c r="B153" s="562">
        <v>3510</v>
      </c>
      <c r="C153" s="551"/>
      <c r="D153" s="466"/>
      <c r="E153" s="561"/>
      <c r="F153" s="466">
        <v>22105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115633</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104491</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135486</v>
      </c>
      <c r="D169" s="1722">
        <f t="shared" si="6"/>
        <v>0</v>
      </c>
      <c r="E169" s="1722">
        <f t="shared" si="6"/>
        <v>0</v>
      </c>
      <c r="F169" s="1722">
        <f t="shared" si="6"/>
        <v>115633</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339644</v>
      </c>
      <c r="D170" s="1715">
        <f t="shared" si="7"/>
        <v>0</v>
      </c>
      <c r="E170" s="1715">
        <f t="shared" si="7"/>
        <v>0</v>
      </c>
      <c r="F170" s="1715">
        <f t="shared" si="7"/>
        <v>115633</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46616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8949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55565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30773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30773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4679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v>24907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125924</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125924</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2221954</v>
      </c>
      <c r="D268" s="1715">
        <f t="shared" si="12"/>
        <v>298626</v>
      </c>
      <c r="E268" s="1715">
        <f t="shared" si="12"/>
        <v>123956</v>
      </c>
      <c r="F268" s="1715">
        <f t="shared" si="12"/>
        <v>216674</v>
      </c>
      <c r="G268" s="1715">
        <f t="shared" si="12"/>
        <v>126262</v>
      </c>
      <c r="H268" s="1715">
        <f t="shared" si="12"/>
        <v>35363</v>
      </c>
      <c r="I268" s="1715">
        <f t="shared" si="12"/>
        <v>0</v>
      </c>
      <c r="J268" s="1715">
        <f t="shared" si="12"/>
        <v>47092</v>
      </c>
      <c r="K268" s="1702">
        <f t="shared" si="12"/>
        <v>6318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36" activePane="bottomLeft" state="frozen"/>
      <selection pane="bottomLeft" activeCell="K114" sqref="K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1257893</v>
      </c>
      <c r="D5" s="466">
        <v>172335</v>
      </c>
      <c r="E5" s="466">
        <v>30497</v>
      </c>
      <c r="F5" s="466">
        <v>79333</v>
      </c>
      <c r="G5" s="466">
        <v>40893</v>
      </c>
      <c r="H5" s="466">
        <v>7800</v>
      </c>
      <c r="I5" s="467"/>
      <c r="J5" s="467"/>
      <c r="K5" s="1671">
        <f>SUM(C5:J5)</f>
        <v>1588751</v>
      </c>
      <c r="L5" s="466">
        <v>1587002</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93807</v>
      </c>
      <c r="D7" s="467">
        <v>15450</v>
      </c>
      <c r="E7" s="467"/>
      <c r="F7" s="467">
        <v>7235</v>
      </c>
      <c r="G7" s="467"/>
      <c r="H7" s="467"/>
      <c r="I7" s="467"/>
      <c r="J7" s="467"/>
      <c r="K7" s="1671">
        <f t="shared" ref="K7:K32" si="0">SUM(C7:J7)</f>
        <v>116492</v>
      </c>
      <c r="L7" s="466">
        <v>123032</v>
      </c>
    </row>
    <row r="8" spans="1:14" x14ac:dyDescent="0.2">
      <c r="A8" s="1504" t="s">
        <v>164</v>
      </c>
      <c r="B8" s="614">
        <v>1200</v>
      </c>
      <c r="C8" s="466">
        <v>170267</v>
      </c>
      <c r="D8" s="466">
        <v>29696</v>
      </c>
      <c r="E8" s="466">
        <v>19760</v>
      </c>
      <c r="F8" s="466">
        <v>322</v>
      </c>
      <c r="G8" s="466"/>
      <c r="H8" s="466"/>
      <c r="I8" s="467"/>
      <c r="J8" s="467"/>
      <c r="K8" s="1671">
        <f t="shared" si="0"/>
        <v>220045</v>
      </c>
      <c r="L8" s="466">
        <v>216732</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32471</v>
      </c>
      <c r="D10" s="466">
        <v>13377</v>
      </c>
      <c r="E10" s="466"/>
      <c r="F10" s="466"/>
      <c r="G10" s="466"/>
      <c r="H10" s="466"/>
      <c r="I10" s="467"/>
      <c r="J10" s="467"/>
      <c r="K10" s="1671">
        <f t="shared" si="0"/>
        <v>45848</v>
      </c>
      <c r="L10" s="466">
        <v>40688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183222</v>
      </c>
      <c r="D13" s="466">
        <v>23043</v>
      </c>
      <c r="E13" s="466"/>
      <c r="F13" s="466">
        <v>6311</v>
      </c>
      <c r="G13" s="466"/>
      <c r="H13" s="466"/>
      <c r="I13" s="467"/>
      <c r="J13" s="467"/>
      <c r="K13" s="1671">
        <f t="shared" si="0"/>
        <v>212576</v>
      </c>
      <c r="L13" s="466">
        <v>195304</v>
      </c>
    </row>
    <row r="14" spans="1:14" x14ac:dyDescent="0.2">
      <c r="A14" s="1504" t="s">
        <v>963</v>
      </c>
      <c r="B14" s="614">
        <v>1500</v>
      </c>
      <c r="C14" s="466">
        <v>108237</v>
      </c>
      <c r="D14" s="466">
        <v>716</v>
      </c>
      <c r="E14" s="466">
        <v>29196</v>
      </c>
      <c r="F14" s="466">
        <v>15540</v>
      </c>
      <c r="G14" s="466">
        <v>8085</v>
      </c>
      <c r="H14" s="466">
        <v>5922</v>
      </c>
      <c r="I14" s="467"/>
      <c r="J14" s="467"/>
      <c r="K14" s="1671">
        <f t="shared" si="0"/>
        <v>167696</v>
      </c>
      <c r="L14" s="466">
        <v>154070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28647</v>
      </c>
      <c r="D17" s="467">
        <v>2155</v>
      </c>
      <c r="E17" s="467"/>
      <c r="F17" s="467">
        <v>484</v>
      </c>
      <c r="G17" s="467"/>
      <c r="H17" s="467"/>
      <c r="I17" s="467"/>
      <c r="J17" s="467"/>
      <c r="K17" s="1671">
        <f t="shared" si="0"/>
        <v>31286</v>
      </c>
      <c r="L17" s="466">
        <v>32274</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1874544</v>
      </c>
      <c r="D33" s="1670">
        <f t="shared" ref="D33:L33" si="1">SUM(D5:D32)</f>
        <v>256772</v>
      </c>
      <c r="E33" s="1670">
        <f t="shared" si="1"/>
        <v>79453</v>
      </c>
      <c r="F33" s="1670">
        <f t="shared" si="1"/>
        <v>109225</v>
      </c>
      <c r="G33" s="1670">
        <f t="shared" si="1"/>
        <v>48978</v>
      </c>
      <c r="H33" s="1670">
        <f t="shared" si="1"/>
        <v>13722</v>
      </c>
      <c r="I33" s="1670">
        <f t="shared" si="1"/>
        <v>0</v>
      </c>
      <c r="J33" s="1670">
        <f t="shared" si="1"/>
        <v>0</v>
      </c>
      <c r="K33" s="1670">
        <f t="shared" si="1"/>
        <v>2382694</v>
      </c>
      <c r="L33" s="1670">
        <f t="shared" si="1"/>
        <v>2349102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67788</v>
      </c>
      <c r="D37" s="466">
        <v>6151</v>
      </c>
      <c r="E37" s="466"/>
      <c r="F37" s="466"/>
      <c r="G37" s="466"/>
      <c r="H37" s="466"/>
      <c r="I37" s="467"/>
      <c r="J37" s="467"/>
      <c r="K37" s="1671">
        <f t="shared" si="2"/>
        <v>73939</v>
      </c>
      <c r="L37" s="466">
        <v>70913</v>
      </c>
    </row>
    <row r="38" spans="1:14" x14ac:dyDescent="0.2">
      <c r="A38" s="1504" t="s">
        <v>198</v>
      </c>
      <c r="B38" s="614">
        <v>2130</v>
      </c>
      <c r="C38" s="466">
        <v>31674</v>
      </c>
      <c r="D38" s="466">
        <v>6300</v>
      </c>
      <c r="E38" s="466"/>
      <c r="F38" s="466">
        <v>2038</v>
      </c>
      <c r="G38" s="466"/>
      <c r="H38" s="466"/>
      <c r="I38" s="467"/>
      <c r="J38" s="467"/>
      <c r="K38" s="1671">
        <f t="shared" si="2"/>
        <v>40012</v>
      </c>
      <c r="L38" s="466">
        <v>35806</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v>60155</v>
      </c>
      <c r="D41" s="466">
        <v>6216</v>
      </c>
      <c r="E41" s="466">
        <v>2026</v>
      </c>
      <c r="F41" s="466">
        <v>16867</v>
      </c>
      <c r="G41" s="466">
        <v>18585</v>
      </c>
      <c r="H41" s="466"/>
      <c r="I41" s="467"/>
      <c r="J41" s="467"/>
      <c r="K41" s="1671">
        <f t="shared" si="2"/>
        <v>103849</v>
      </c>
      <c r="L41" s="466">
        <v>89262</v>
      </c>
    </row>
    <row r="42" spans="1:14" ht="12.75" customHeight="1" thickBot="1" x14ac:dyDescent="0.25">
      <c r="A42" s="1668" t="s">
        <v>560</v>
      </c>
      <c r="B42" s="1669" t="s">
        <v>716</v>
      </c>
      <c r="C42" s="1670">
        <f>SUM(C36:C41)</f>
        <v>159617</v>
      </c>
      <c r="D42" s="1670">
        <f t="shared" ref="D42:L42" si="3">SUM(D36:D41)</f>
        <v>18667</v>
      </c>
      <c r="E42" s="1670">
        <f t="shared" si="3"/>
        <v>2026</v>
      </c>
      <c r="F42" s="1670">
        <f t="shared" si="3"/>
        <v>18905</v>
      </c>
      <c r="G42" s="1670">
        <f t="shared" si="3"/>
        <v>18585</v>
      </c>
      <c r="H42" s="1670">
        <f t="shared" si="3"/>
        <v>0</v>
      </c>
      <c r="I42" s="1670">
        <f t="shared" si="3"/>
        <v>0</v>
      </c>
      <c r="J42" s="1670">
        <f t="shared" si="3"/>
        <v>0</v>
      </c>
      <c r="K42" s="1670">
        <f t="shared" si="3"/>
        <v>217800</v>
      </c>
      <c r="L42" s="1670">
        <f t="shared" si="3"/>
        <v>195981</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91918</v>
      </c>
      <c r="D44" s="481">
        <v>35090</v>
      </c>
      <c r="E44" s="481">
        <v>21994</v>
      </c>
      <c r="F44" s="481">
        <v>2723</v>
      </c>
      <c r="G44" s="481"/>
      <c r="H44" s="481"/>
      <c r="I44" s="467"/>
      <c r="J44" s="467"/>
      <c r="K44" s="1672">
        <f>SUM(C44:J44)</f>
        <v>151725</v>
      </c>
      <c r="L44" s="481">
        <v>150945</v>
      </c>
    </row>
    <row r="45" spans="1:14" x14ac:dyDescent="0.2">
      <c r="A45" s="1504" t="s">
        <v>815</v>
      </c>
      <c r="B45" s="614">
        <v>2220</v>
      </c>
      <c r="C45" s="466"/>
      <c r="D45" s="466"/>
      <c r="E45" s="466"/>
      <c r="F45" s="466">
        <v>24968</v>
      </c>
      <c r="G45" s="466"/>
      <c r="H45" s="466"/>
      <c r="I45" s="467"/>
      <c r="J45" s="467"/>
      <c r="K45" s="1672">
        <f>SUM(C45:J45)</f>
        <v>24968</v>
      </c>
      <c r="L45" s="466">
        <v>19500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91918</v>
      </c>
      <c r="D47" s="1670">
        <f t="shared" ref="D47:K47" si="4">SUM(D44:D46)</f>
        <v>35090</v>
      </c>
      <c r="E47" s="1670">
        <f t="shared" si="4"/>
        <v>21994</v>
      </c>
      <c r="F47" s="1670">
        <f t="shared" si="4"/>
        <v>27691</v>
      </c>
      <c r="G47" s="1670">
        <f t="shared" si="4"/>
        <v>0</v>
      </c>
      <c r="H47" s="1670">
        <f t="shared" si="4"/>
        <v>0</v>
      </c>
      <c r="I47" s="1670">
        <f t="shared" si="4"/>
        <v>0</v>
      </c>
      <c r="J47" s="1670">
        <f t="shared" si="4"/>
        <v>0</v>
      </c>
      <c r="K47" s="1670">
        <f t="shared" si="4"/>
        <v>176693</v>
      </c>
      <c r="L47" s="1670">
        <f>SUM(L44:L46)</f>
        <v>170445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9978</v>
      </c>
      <c r="D49" s="481"/>
      <c r="E49" s="481">
        <v>33398</v>
      </c>
      <c r="F49" s="481">
        <v>5668</v>
      </c>
      <c r="G49" s="481"/>
      <c r="H49" s="481"/>
      <c r="I49" s="467"/>
      <c r="J49" s="467"/>
      <c r="K49" s="1672">
        <f>SUM(C49:J49)</f>
        <v>49044</v>
      </c>
      <c r="L49" s="481">
        <v>46478</v>
      </c>
    </row>
    <row r="50" spans="1:14" x14ac:dyDescent="0.2">
      <c r="A50" s="1504" t="s">
        <v>818</v>
      </c>
      <c r="B50" s="614">
        <v>2320</v>
      </c>
      <c r="C50" s="466">
        <v>53877</v>
      </c>
      <c r="D50" s="466">
        <v>6951</v>
      </c>
      <c r="E50" s="466">
        <v>9326</v>
      </c>
      <c r="F50" s="466">
        <v>2682</v>
      </c>
      <c r="G50" s="466"/>
      <c r="H50" s="466">
        <v>1888</v>
      </c>
      <c r="I50" s="467"/>
      <c r="J50" s="467"/>
      <c r="K50" s="1672">
        <f>SUM(C50:J50)</f>
        <v>74724</v>
      </c>
      <c r="L50" s="466">
        <v>74713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63855</v>
      </c>
      <c r="D53" s="1670">
        <f t="shared" ref="D53:L53" si="5">SUM(D49:D52)</f>
        <v>6951</v>
      </c>
      <c r="E53" s="1670">
        <f t="shared" si="5"/>
        <v>42724</v>
      </c>
      <c r="F53" s="1670">
        <f t="shared" si="5"/>
        <v>8350</v>
      </c>
      <c r="G53" s="1670">
        <f t="shared" si="5"/>
        <v>0</v>
      </c>
      <c r="H53" s="1670">
        <f t="shared" si="5"/>
        <v>1888</v>
      </c>
      <c r="I53" s="1670">
        <f t="shared" si="5"/>
        <v>0</v>
      </c>
      <c r="J53" s="1670">
        <f t="shared" si="5"/>
        <v>0</v>
      </c>
      <c r="K53" s="1670">
        <f t="shared" si="5"/>
        <v>123768</v>
      </c>
      <c r="L53" s="1670">
        <f t="shared" si="5"/>
        <v>121191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88645</v>
      </c>
      <c r="D55" s="481">
        <v>25694</v>
      </c>
      <c r="E55" s="481">
        <v>8330</v>
      </c>
      <c r="F55" s="481">
        <v>4774</v>
      </c>
      <c r="G55" s="481"/>
      <c r="H55" s="481">
        <v>1230</v>
      </c>
      <c r="I55" s="467"/>
      <c r="J55" s="467"/>
      <c r="K55" s="1672">
        <f>SUM(C55:J55)</f>
        <v>128673</v>
      </c>
      <c r="L55" s="481">
        <v>128577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88645</v>
      </c>
      <c r="D57" s="1674">
        <f t="shared" ref="D57:K57" si="6">SUM(D55:D56)</f>
        <v>25694</v>
      </c>
      <c r="E57" s="1674">
        <f t="shared" si="6"/>
        <v>8330</v>
      </c>
      <c r="F57" s="1674">
        <f t="shared" si="6"/>
        <v>4774</v>
      </c>
      <c r="G57" s="1674">
        <f t="shared" si="6"/>
        <v>0</v>
      </c>
      <c r="H57" s="1674">
        <f t="shared" si="6"/>
        <v>1230</v>
      </c>
      <c r="I57" s="1674">
        <f t="shared" si="6"/>
        <v>0</v>
      </c>
      <c r="J57" s="1674">
        <f t="shared" si="6"/>
        <v>0</v>
      </c>
      <c r="K57" s="1674">
        <f t="shared" si="6"/>
        <v>128673</v>
      </c>
      <c r="L57" s="1670">
        <f>SUM(L55:L56)</f>
        <v>128577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49736</v>
      </c>
      <c r="D60" s="466">
        <v>6300</v>
      </c>
      <c r="E60" s="466">
        <v>1526</v>
      </c>
      <c r="F60" s="466">
        <v>616</v>
      </c>
      <c r="G60" s="466"/>
      <c r="H60" s="466"/>
      <c r="I60" s="467"/>
      <c r="J60" s="467"/>
      <c r="K60" s="1672">
        <f t="shared" si="7"/>
        <v>58178</v>
      </c>
      <c r="L60" s="466">
        <v>59336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132520</v>
      </c>
      <c r="D63" s="466">
        <v>25117</v>
      </c>
      <c r="E63" s="466">
        <v>10455</v>
      </c>
      <c r="F63" s="466">
        <v>91602</v>
      </c>
      <c r="G63" s="466">
        <v>1145</v>
      </c>
      <c r="H63" s="466"/>
      <c r="I63" s="467"/>
      <c r="J63" s="467"/>
      <c r="K63" s="1672">
        <f t="shared" si="7"/>
        <v>260839</v>
      </c>
      <c r="L63" s="466">
        <v>257605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182256</v>
      </c>
      <c r="D65" s="1670">
        <f t="shared" ref="D65:L65" si="8">SUM(D59:D64)</f>
        <v>31417</v>
      </c>
      <c r="E65" s="1670">
        <f t="shared" si="8"/>
        <v>11981</v>
      </c>
      <c r="F65" s="1670">
        <f t="shared" si="8"/>
        <v>92218</v>
      </c>
      <c r="G65" s="1670">
        <f t="shared" si="8"/>
        <v>1145</v>
      </c>
      <c r="H65" s="1670">
        <f t="shared" si="8"/>
        <v>0</v>
      </c>
      <c r="I65" s="1670">
        <f t="shared" si="8"/>
        <v>0</v>
      </c>
      <c r="J65" s="1670">
        <f t="shared" si="8"/>
        <v>0</v>
      </c>
      <c r="K65" s="1670">
        <f t="shared" si="8"/>
        <v>319017</v>
      </c>
      <c r="L65" s="1670">
        <f t="shared" si="8"/>
        <v>316941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586291</v>
      </c>
      <c r="D74" s="1677">
        <f t="shared" ref="D74:K74" si="10">SUM(D42,D47,D53,D57,D65,D72,D73)</f>
        <v>117819</v>
      </c>
      <c r="E74" s="1677">
        <f t="shared" si="10"/>
        <v>87055</v>
      </c>
      <c r="F74" s="1677">
        <f t="shared" si="10"/>
        <v>151938</v>
      </c>
      <c r="G74" s="1677">
        <f t="shared" si="10"/>
        <v>19730</v>
      </c>
      <c r="H74" s="1677">
        <f t="shared" si="10"/>
        <v>3118</v>
      </c>
      <c r="I74" s="1677">
        <f t="shared" si="10"/>
        <v>0</v>
      </c>
      <c r="J74" s="1677">
        <f t="shared" si="10"/>
        <v>0</v>
      </c>
      <c r="K74" s="1677">
        <f t="shared" si="10"/>
        <v>965951</v>
      </c>
      <c r="L74" s="1677">
        <f>SUM(L42,L47,L53,L57,L65,L72,L73)</f>
        <v>933135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65115</v>
      </c>
      <c r="I79" s="477"/>
      <c r="J79" s="477"/>
      <c r="K79" s="1671">
        <f t="shared" si="11"/>
        <v>65115</v>
      </c>
      <c r="L79" s="466">
        <v>52388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65115</v>
      </c>
      <c r="I84" s="477"/>
      <c r="J84" s="477"/>
      <c r="K84" s="1670">
        <f>SUM(K78:K83)</f>
        <v>65115</v>
      </c>
      <c r="L84" s="1670">
        <f>SUM(L78:L83)</f>
        <v>52388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19447</v>
      </c>
      <c r="I88" s="477"/>
      <c r="J88" s="477"/>
      <c r="K88" s="1677">
        <f t="shared" si="12"/>
        <v>19447</v>
      </c>
      <c r="L88" s="530">
        <v>5500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19447</v>
      </c>
      <c r="I92" s="477"/>
      <c r="J92" s="477"/>
      <c r="K92" s="1677">
        <f t="shared" si="12"/>
        <v>19447</v>
      </c>
      <c r="L92" s="1670">
        <f>SUM(L85:L91)</f>
        <v>5500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84562</v>
      </c>
      <c r="I102" s="477"/>
      <c r="J102" s="477"/>
      <c r="K102" s="1677">
        <f>SUM(K84,K92,K100,K101)</f>
        <v>84562</v>
      </c>
      <c r="L102" s="1677">
        <f>SUM(L84,L92,L100,L101)</f>
        <v>57888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40000</v>
      </c>
      <c r="M113" s="613"/>
      <c r="N113" s="613"/>
    </row>
    <row r="114" spans="1:14" ht="12.75" customHeight="1" thickTop="1" thickBot="1" x14ac:dyDescent="0.25">
      <c r="A114" s="1668" t="s">
        <v>48</v>
      </c>
      <c r="B114" s="1682"/>
      <c r="C114" s="1670">
        <f>SUM(C33,C74,C75,C102,C112,C113)</f>
        <v>2460835</v>
      </c>
      <c r="D114" s="1670">
        <f t="shared" ref="D114:K114" si="13">SUM(D33,D74,D75,D102,D112,D113)</f>
        <v>374591</v>
      </c>
      <c r="E114" s="1670">
        <f t="shared" si="13"/>
        <v>166508</v>
      </c>
      <c r="F114" s="1670">
        <f t="shared" si="13"/>
        <v>261163</v>
      </c>
      <c r="G114" s="1670">
        <f t="shared" si="13"/>
        <v>68708</v>
      </c>
      <c r="H114" s="1670">
        <f>SUM(H33,H74,H75,H102,H112,H113)</f>
        <v>101402</v>
      </c>
      <c r="I114" s="1670">
        <f t="shared" si="13"/>
        <v>0</v>
      </c>
      <c r="J114" s="1670">
        <f t="shared" si="13"/>
        <v>0</v>
      </c>
      <c r="K114" s="1670">
        <f t="shared" si="13"/>
        <v>3433207</v>
      </c>
      <c r="L114" s="1670">
        <f>SUM(L33,L74,L75,L102,L112,L113)</f>
        <v>3380125</v>
      </c>
    </row>
    <row r="115" spans="1:14" ht="13.5" thickTop="1" x14ac:dyDescent="0.2">
      <c r="A115" s="2186" t="s">
        <v>996</v>
      </c>
      <c r="B115" s="2187"/>
      <c r="C115" s="618"/>
      <c r="D115" s="618"/>
      <c r="E115" s="618"/>
      <c r="F115" s="618"/>
      <c r="G115" s="618"/>
      <c r="H115" s="618"/>
      <c r="I115" s="618"/>
      <c r="J115" s="618"/>
      <c r="K115" s="1684">
        <f>'Revenues 9-14'!C268-'Expenditures 15-22'!K114</f>
        <v>-1211253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161440</v>
      </c>
      <c r="D124" s="466">
        <v>18907</v>
      </c>
      <c r="E124" s="466">
        <v>105248</v>
      </c>
      <c r="F124" s="466">
        <v>246752</v>
      </c>
      <c r="G124" s="466">
        <v>481643</v>
      </c>
      <c r="H124" s="466"/>
      <c r="I124" s="467"/>
      <c r="J124" s="467"/>
      <c r="K124" s="1670">
        <f>SUM(C124:J124)</f>
        <v>1013990</v>
      </c>
      <c r="L124" s="466">
        <v>960445</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161440</v>
      </c>
      <c r="D127" s="1670">
        <f t="shared" ref="D127:L127" si="14">SUM(D122:D126)</f>
        <v>18907</v>
      </c>
      <c r="E127" s="1670">
        <f t="shared" si="14"/>
        <v>105248</v>
      </c>
      <c r="F127" s="1670">
        <f t="shared" si="14"/>
        <v>246752</v>
      </c>
      <c r="G127" s="1670">
        <f t="shared" si="14"/>
        <v>481643</v>
      </c>
      <c r="H127" s="1670">
        <f t="shared" si="14"/>
        <v>0</v>
      </c>
      <c r="I127" s="1670">
        <f t="shared" si="14"/>
        <v>0</v>
      </c>
      <c r="J127" s="1670">
        <f t="shared" si="14"/>
        <v>0</v>
      </c>
      <c r="K127" s="1670">
        <f t="shared" si="14"/>
        <v>1013990</v>
      </c>
      <c r="L127" s="1670">
        <f t="shared" si="14"/>
        <v>960445</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161440</v>
      </c>
      <c r="D129" s="1677">
        <f t="shared" ref="D129:L129" si="15">SUM(D120,D127,D128)</f>
        <v>18907</v>
      </c>
      <c r="E129" s="1677">
        <f t="shared" si="15"/>
        <v>105248</v>
      </c>
      <c r="F129" s="1677">
        <f t="shared" si="15"/>
        <v>246752</v>
      </c>
      <c r="G129" s="1677">
        <f t="shared" si="15"/>
        <v>481643</v>
      </c>
      <c r="H129" s="1677">
        <f t="shared" si="15"/>
        <v>0</v>
      </c>
      <c r="I129" s="1677">
        <f t="shared" si="15"/>
        <v>0</v>
      </c>
      <c r="J129" s="1677">
        <f t="shared" si="15"/>
        <v>0</v>
      </c>
      <c r="K129" s="1677">
        <f t="shared" si="15"/>
        <v>1013990</v>
      </c>
      <c r="L129" s="1677">
        <f t="shared" si="15"/>
        <v>960445</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20000</v>
      </c>
    </row>
    <row r="151" spans="1:14" ht="12.75" customHeight="1" thickTop="1" thickBot="1" x14ac:dyDescent="0.25">
      <c r="A151" s="2176" t="s">
        <v>620</v>
      </c>
      <c r="B151" s="2158"/>
      <c r="C151" s="1670">
        <f>SUM(C129,C130,C139,C149,C150)</f>
        <v>161440</v>
      </c>
      <c r="D151" s="1670">
        <f t="shared" ref="D151:K151" si="16">SUM(D129,D130,D139,D149,D150)</f>
        <v>18907</v>
      </c>
      <c r="E151" s="1670">
        <f t="shared" si="16"/>
        <v>105248</v>
      </c>
      <c r="F151" s="1670">
        <f t="shared" si="16"/>
        <v>246752</v>
      </c>
      <c r="G151" s="1670">
        <f t="shared" si="16"/>
        <v>481643</v>
      </c>
      <c r="H151" s="1670">
        <f t="shared" si="16"/>
        <v>0</v>
      </c>
      <c r="I151" s="1670">
        <f t="shared" si="16"/>
        <v>0</v>
      </c>
      <c r="J151" s="1670">
        <f t="shared" si="16"/>
        <v>0</v>
      </c>
      <c r="K151" s="1670">
        <f t="shared" si="16"/>
        <v>1013990</v>
      </c>
      <c r="L151" s="1670">
        <f>SUM(L129,L130,L139,L149,L150)</f>
        <v>980445</v>
      </c>
    </row>
    <row r="152" spans="1:14" ht="12.75" customHeight="1" thickTop="1" x14ac:dyDescent="0.2">
      <c r="A152" s="2179" t="s">
        <v>1178</v>
      </c>
      <c r="B152" s="2180"/>
      <c r="C152" s="618"/>
      <c r="D152" s="618"/>
      <c r="E152" s="618"/>
      <c r="F152" s="618"/>
      <c r="G152" s="618"/>
      <c r="H152" s="618"/>
      <c r="I152" s="618"/>
      <c r="J152" s="616"/>
      <c r="K152" s="1684">
        <f>'Revenues 9-14'!D268-'Expenditures 15-22'!K151</f>
        <v>-715364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23937</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23937</v>
      </c>
    </row>
    <row r="169" spans="1:14" ht="15.75" customHeight="1" thickTop="1" x14ac:dyDescent="0.2">
      <c r="A169" s="669" t="s">
        <v>83</v>
      </c>
      <c r="B169" s="670" t="s">
        <v>38</v>
      </c>
      <c r="C169" s="616"/>
      <c r="D169" s="616"/>
      <c r="E169" s="616"/>
      <c r="F169" s="616"/>
      <c r="G169" s="616"/>
      <c r="H169" s="656">
        <v>25637</v>
      </c>
      <c r="I169" s="616"/>
      <c r="J169" s="616"/>
      <c r="K169" s="1671">
        <f>SUM(C169:H169)</f>
        <v>25637</v>
      </c>
      <c r="L169" s="656"/>
    </row>
    <row r="170" spans="1:14" ht="33.75" customHeight="1" x14ac:dyDescent="0.2">
      <c r="A170" s="669" t="s">
        <v>1670</v>
      </c>
      <c r="B170" s="671" t="s">
        <v>31</v>
      </c>
      <c r="C170" s="616"/>
      <c r="D170" s="616"/>
      <c r="E170" s="616"/>
      <c r="F170" s="616"/>
      <c r="G170" s="616"/>
      <c r="H170" s="569">
        <v>95000</v>
      </c>
      <c r="I170" s="616"/>
      <c r="J170" s="616"/>
      <c r="K170" s="1671">
        <f>SUM(C170:J170)</f>
        <v>95000</v>
      </c>
      <c r="L170" s="569">
        <v>96700</v>
      </c>
    </row>
    <row r="171" spans="1:14" ht="15.75" customHeight="1" x14ac:dyDescent="0.2">
      <c r="A171" s="621" t="s">
        <v>766</v>
      </c>
      <c r="B171" s="672" t="s">
        <v>84</v>
      </c>
      <c r="C171" s="616"/>
      <c r="D171" s="616"/>
      <c r="E171" s="466"/>
      <c r="F171" s="616"/>
      <c r="G171" s="616"/>
      <c r="H171" s="569">
        <v>1000</v>
      </c>
      <c r="I171" s="477"/>
      <c r="J171" s="616"/>
      <c r="K171" s="1671">
        <f>SUM(C171:J171)</f>
        <v>1000</v>
      </c>
      <c r="L171" s="569">
        <v>500</v>
      </c>
    </row>
    <row r="172" spans="1:14" ht="12.75" customHeight="1" thickBot="1" x14ac:dyDescent="0.25">
      <c r="A172" s="1668" t="s">
        <v>638</v>
      </c>
      <c r="B172" s="1669" t="s">
        <v>492</v>
      </c>
      <c r="C172" s="616"/>
      <c r="D172" s="616"/>
      <c r="E172" s="1677">
        <f>SUM(E168,E169,E170,E171)</f>
        <v>0</v>
      </c>
      <c r="F172" s="616"/>
      <c r="G172" s="616"/>
      <c r="H172" s="1677">
        <f>SUM(H168,H169,H170,H171)</f>
        <v>121637</v>
      </c>
      <c r="I172" s="638"/>
      <c r="J172" s="616"/>
      <c r="K172" s="1677">
        <f>SUM(K168,K169,K170,K171)</f>
        <v>121637</v>
      </c>
      <c r="L172" s="1677">
        <f>SUM(L168,L169,L170,L171)</f>
        <v>121137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121637</v>
      </c>
      <c r="I174" s="638"/>
      <c r="J174" s="616"/>
      <c r="K174" s="1677">
        <f>SUM(K160,K172,K173)</f>
        <v>121637</v>
      </c>
      <c r="L174" s="1677">
        <f>SUM(L160,L172,L173)</f>
        <v>121137</v>
      </c>
    </row>
    <row r="175" spans="1:14" ht="13.5" thickTop="1" x14ac:dyDescent="0.2">
      <c r="A175" s="2186" t="s">
        <v>996</v>
      </c>
      <c r="B175" s="2187"/>
      <c r="C175" s="616"/>
      <c r="D175" s="616"/>
      <c r="E175" s="616"/>
      <c r="F175" s="616"/>
      <c r="G175" s="616"/>
      <c r="H175" s="618"/>
      <c r="I175" s="616"/>
      <c r="J175" s="616"/>
      <c r="K175" s="1684">
        <f>'Revenues 9-14'!E268-'Expenditures 15-22'!K174</f>
        <v>2319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187966</v>
      </c>
      <c r="D182" s="466">
        <v>9006</v>
      </c>
      <c r="E182" s="466">
        <v>26907</v>
      </c>
      <c r="F182" s="466">
        <v>50895</v>
      </c>
      <c r="G182" s="466">
        <v>148002</v>
      </c>
      <c r="H182" s="466"/>
      <c r="I182" s="467"/>
      <c r="J182" s="467"/>
      <c r="K182" s="1671">
        <f>SUM(C182:J182)</f>
        <v>422776</v>
      </c>
      <c r="L182" s="466">
        <v>388956</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187966</v>
      </c>
      <c r="D184" s="1677">
        <f t="shared" ref="D184:J184" si="17">SUM(D180,D182,D183)</f>
        <v>9006</v>
      </c>
      <c r="E184" s="1677">
        <f t="shared" si="17"/>
        <v>26907</v>
      </c>
      <c r="F184" s="1677">
        <f t="shared" si="17"/>
        <v>50895</v>
      </c>
      <c r="G184" s="1677">
        <f t="shared" si="17"/>
        <v>148002</v>
      </c>
      <c r="H184" s="1677">
        <f t="shared" si="17"/>
        <v>0</v>
      </c>
      <c r="I184" s="1677">
        <f t="shared" si="17"/>
        <v>0</v>
      </c>
      <c r="J184" s="1677">
        <f t="shared" si="17"/>
        <v>0</v>
      </c>
      <c r="K184" s="1677">
        <f>SUM(K180,K182,K183)</f>
        <v>422776</v>
      </c>
      <c r="L184" s="1677">
        <f>SUM(L180, L182:L183)</f>
        <v>388956</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10000</v>
      </c>
    </row>
    <row r="210" spans="1:14" ht="12.75" customHeight="1" thickTop="1" thickBot="1" x14ac:dyDescent="0.25">
      <c r="A210" s="1692" t="s">
        <v>277</v>
      </c>
      <c r="B210" s="1693"/>
      <c r="C210" s="1670">
        <f>SUM(C184,C185)</f>
        <v>187966</v>
      </c>
      <c r="D210" s="1670">
        <f>SUM(D184,D185)</f>
        <v>9006</v>
      </c>
      <c r="E210" s="1670">
        <f>SUM(E184,E185,E196)</f>
        <v>26907</v>
      </c>
      <c r="F210" s="1670">
        <f>SUM(F184,F185)</f>
        <v>50895</v>
      </c>
      <c r="G210" s="1670">
        <f>SUM(G184,G185)</f>
        <v>148002</v>
      </c>
      <c r="H210" s="1670">
        <f>SUM(H184,H185,H196,H208,H209)</f>
        <v>0</v>
      </c>
      <c r="I210" s="1670">
        <f>SUM(I184,I185)</f>
        <v>0</v>
      </c>
      <c r="J210" s="1670">
        <f>SUM(J184,J185)</f>
        <v>0</v>
      </c>
      <c r="K210" s="1671">
        <f>SUM(K184,K185,K196,K208,K209)</f>
        <v>422776</v>
      </c>
      <c r="L210" s="1670">
        <f>SUM(L184,L185,L196,L208,L209)</f>
        <v>398956</v>
      </c>
    </row>
    <row r="211" spans="1:14" ht="13.5" thickTop="1" x14ac:dyDescent="0.2">
      <c r="A211" s="2186" t="s">
        <v>996</v>
      </c>
      <c r="B211" s="2187"/>
      <c r="C211" s="618"/>
      <c r="D211" s="618"/>
      <c r="E211" s="618"/>
      <c r="F211" s="618"/>
      <c r="G211" s="618"/>
      <c r="H211" s="618"/>
      <c r="I211" s="616"/>
      <c r="J211" s="616"/>
      <c r="K211" s="1684">
        <f>'Revenues 9-14'!F268-'Expenditures 15-22'!K210</f>
        <v>-206102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30542</v>
      </c>
      <c r="E215" s="616"/>
      <c r="F215" s="616"/>
      <c r="G215" s="616"/>
      <c r="H215" s="616"/>
      <c r="I215" s="616"/>
      <c r="J215" s="616"/>
      <c r="K215" s="1671">
        <f>D215</f>
        <v>30542</v>
      </c>
      <c r="L215" s="466">
        <v>34622</v>
      </c>
    </row>
    <row r="216" spans="1:14" x14ac:dyDescent="0.2">
      <c r="A216" s="1504" t="s">
        <v>163</v>
      </c>
      <c r="B216" s="614" t="s">
        <v>967</v>
      </c>
      <c r="C216" s="616"/>
      <c r="D216" s="467">
        <v>5207</v>
      </c>
      <c r="E216" s="616"/>
      <c r="F216" s="616"/>
      <c r="G216" s="616"/>
      <c r="H216" s="616"/>
      <c r="I216" s="616"/>
      <c r="J216" s="616"/>
      <c r="K216" s="1671">
        <f t="shared" ref="K216:K228" si="19">D216</f>
        <v>5207</v>
      </c>
      <c r="L216" s="466">
        <v>6472</v>
      </c>
    </row>
    <row r="217" spans="1:14" x14ac:dyDescent="0.2">
      <c r="A217" s="1504" t="s">
        <v>164</v>
      </c>
      <c r="B217" s="614">
        <v>1200</v>
      </c>
      <c r="C217" s="616"/>
      <c r="D217" s="466">
        <v>12490</v>
      </c>
      <c r="E217" s="616"/>
      <c r="F217" s="616"/>
      <c r="G217" s="616"/>
      <c r="H217" s="616"/>
      <c r="I217" s="616"/>
      <c r="J217" s="616"/>
      <c r="K217" s="1671">
        <f t="shared" si="19"/>
        <v>12490</v>
      </c>
      <c r="L217" s="466">
        <v>10624</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6079</v>
      </c>
      <c r="E219" s="616"/>
      <c r="F219" s="616"/>
      <c r="G219" s="616"/>
      <c r="H219" s="616"/>
      <c r="I219" s="616"/>
      <c r="J219" s="616"/>
      <c r="K219" s="1671">
        <f t="shared" si="19"/>
        <v>6079</v>
      </c>
      <c r="L219" s="466">
        <v>9825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2600</v>
      </c>
      <c r="E222" s="616"/>
      <c r="F222" s="616"/>
      <c r="G222" s="616"/>
      <c r="H222" s="616"/>
      <c r="I222" s="616"/>
      <c r="J222" s="616"/>
      <c r="K222" s="1671">
        <f t="shared" si="19"/>
        <v>2600</v>
      </c>
      <c r="L222" s="466">
        <v>2610</v>
      </c>
    </row>
    <row r="223" spans="1:14" x14ac:dyDescent="0.2">
      <c r="A223" s="1504" t="s">
        <v>963</v>
      </c>
      <c r="B223" s="614">
        <v>1500</v>
      </c>
      <c r="C223" s="616"/>
      <c r="D223" s="466">
        <v>5309</v>
      </c>
      <c r="E223" s="616"/>
      <c r="F223" s="616"/>
      <c r="G223" s="616"/>
      <c r="H223" s="616"/>
      <c r="I223" s="616"/>
      <c r="J223" s="616"/>
      <c r="K223" s="1671">
        <f t="shared" si="19"/>
        <v>5309</v>
      </c>
      <c r="L223" s="466">
        <v>4655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415</v>
      </c>
      <c r="E226" s="616"/>
      <c r="F226" s="616"/>
      <c r="G226" s="616"/>
      <c r="H226" s="616"/>
      <c r="I226" s="616"/>
      <c r="J226" s="616"/>
      <c r="K226" s="1671">
        <f t="shared" si="19"/>
        <v>415</v>
      </c>
      <c r="L226" s="466">
        <v>400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62642</v>
      </c>
      <c r="E229" s="616"/>
      <c r="F229" s="616"/>
      <c r="G229" s="616"/>
      <c r="H229" s="616"/>
      <c r="I229" s="616"/>
      <c r="J229" s="616"/>
      <c r="K229" s="1670">
        <f>SUM(K215:K228)</f>
        <v>62642</v>
      </c>
      <c r="L229" s="1670">
        <f>SUM(L215:L228)</f>
        <v>69208</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983</v>
      </c>
      <c r="E233" s="616"/>
      <c r="F233" s="616"/>
      <c r="G233" s="616"/>
      <c r="H233" s="616"/>
      <c r="I233" s="616"/>
      <c r="J233" s="616"/>
      <c r="K233" s="1671">
        <f t="shared" si="20"/>
        <v>983</v>
      </c>
      <c r="L233" s="466">
        <v>958</v>
      </c>
    </row>
    <row r="234" spans="1:12" x14ac:dyDescent="0.2">
      <c r="A234" s="1504" t="s">
        <v>198</v>
      </c>
      <c r="B234" s="614">
        <v>2130</v>
      </c>
      <c r="C234" s="616"/>
      <c r="D234" s="466">
        <v>5860</v>
      </c>
      <c r="E234" s="616"/>
      <c r="F234" s="616"/>
      <c r="G234" s="616"/>
      <c r="H234" s="616"/>
      <c r="I234" s="616"/>
      <c r="J234" s="616"/>
      <c r="K234" s="1671">
        <f t="shared" si="20"/>
        <v>5860</v>
      </c>
      <c r="L234" s="466">
        <v>4936</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11243</v>
      </c>
      <c r="E237" s="616"/>
      <c r="F237" s="616"/>
      <c r="G237" s="616"/>
      <c r="H237" s="616"/>
      <c r="I237" s="616"/>
      <c r="J237" s="616"/>
      <c r="K237" s="1671">
        <f t="shared" si="20"/>
        <v>11243</v>
      </c>
      <c r="L237" s="466">
        <v>12251</v>
      </c>
    </row>
    <row r="238" spans="1:12" ht="12.75" customHeight="1" thickBot="1" x14ac:dyDescent="0.25">
      <c r="A238" s="1668" t="s">
        <v>560</v>
      </c>
      <c r="B238" s="1675" t="s">
        <v>716</v>
      </c>
      <c r="C238" s="616"/>
      <c r="D238" s="1670">
        <f>SUM(D232:D237)</f>
        <v>18086</v>
      </c>
      <c r="E238" s="616"/>
      <c r="F238" s="616"/>
      <c r="G238" s="616"/>
      <c r="H238" s="616"/>
      <c r="I238" s="616"/>
      <c r="J238" s="616"/>
      <c r="K238" s="1670">
        <f>SUM(K232:K237)</f>
        <v>18086</v>
      </c>
      <c r="L238" s="1670">
        <f>SUM(L232:L237)</f>
        <v>18145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5409</v>
      </c>
      <c r="E240" s="616"/>
      <c r="F240" s="616"/>
      <c r="G240" s="616"/>
      <c r="H240" s="616"/>
      <c r="I240" s="616"/>
      <c r="J240" s="616"/>
      <c r="K240" s="1672">
        <f>D240</f>
        <v>5409</v>
      </c>
      <c r="L240" s="481">
        <v>5843</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5409</v>
      </c>
      <c r="E243" s="616"/>
      <c r="F243" s="616"/>
      <c r="G243" s="616"/>
      <c r="H243" s="616"/>
      <c r="I243" s="616"/>
      <c r="J243" s="616"/>
      <c r="K243" s="1670">
        <f>SUM(K240:K242)</f>
        <v>5409</v>
      </c>
      <c r="L243" s="1670">
        <f>SUM(L240:L242)</f>
        <v>5843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763</v>
      </c>
      <c r="E245" s="616"/>
      <c r="F245" s="616"/>
      <c r="G245" s="616"/>
      <c r="H245" s="616"/>
      <c r="I245" s="616"/>
      <c r="J245" s="616"/>
      <c r="K245" s="1672">
        <f>D245</f>
        <v>763</v>
      </c>
      <c r="L245" s="481">
        <v>778</v>
      </c>
    </row>
    <row r="246" spans="1:12" x14ac:dyDescent="0.2">
      <c r="A246" s="1504" t="s">
        <v>818</v>
      </c>
      <c r="B246" s="614">
        <v>2320</v>
      </c>
      <c r="C246" s="616"/>
      <c r="D246" s="466">
        <v>781</v>
      </c>
      <c r="E246" s="616"/>
      <c r="F246" s="616"/>
      <c r="G246" s="616"/>
      <c r="H246" s="616"/>
      <c r="I246" s="616"/>
      <c r="J246" s="616"/>
      <c r="K246" s="1672">
        <f t="shared" ref="K246:K256" si="21">D246</f>
        <v>781</v>
      </c>
      <c r="L246" s="466">
        <v>800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1544</v>
      </c>
      <c r="E257" s="616"/>
      <c r="F257" s="616"/>
      <c r="G257" s="616"/>
      <c r="H257" s="616"/>
      <c r="I257" s="616"/>
      <c r="J257" s="616"/>
      <c r="K257" s="1670">
        <f>SUM(K245:K256)</f>
        <v>1544</v>
      </c>
      <c r="L257" s="1670">
        <f>SUM(L245:L256)</f>
        <v>1578</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8768</v>
      </c>
      <c r="E259" s="616"/>
      <c r="F259" s="616"/>
      <c r="G259" s="616"/>
      <c r="H259" s="616"/>
      <c r="I259" s="616"/>
      <c r="J259" s="616"/>
      <c r="K259" s="1672">
        <f>D259</f>
        <v>8768</v>
      </c>
      <c r="L259" s="481">
        <v>9480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8768</v>
      </c>
      <c r="E261" s="616"/>
      <c r="F261" s="616"/>
      <c r="G261" s="616"/>
      <c r="H261" s="616"/>
      <c r="I261" s="616"/>
      <c r="J261" s="616"/>
      <c r="K261" s="1670">
        <f>SUM(K259:K260)</f>
        <v>8768</v>
      </c>
      <c r="L261" s="1670">
        <f>SUM(L259:L260)</f>
        <v>9480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9296</v>
      </c>
      <c r="E264" s="616"/>
      <c r="F264" s="616"/>
      <c r="G264" s="616"/>
      <c r="H264" s="616"/>
      <c r="I264" s="616"/>
      <c r="J264" s="616"/>
      <c r="K264" s="1672">
        <f t="shared" ref="K264:K269" si="22">D264</f>
        <v>9296</v>
      </c>
      <c r="L264" s="466">
        <v>10153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29063</v>
      </c>
      <c r="E266" s="616"/>
      <c r="F266" s="616"/>
      <c r="G266" s="616"/>
      <c r="H266" s="616"/>
      <c r="I266" s="616"/>
      <c r="J266" s="616"/>
      <c r="K266" s="1672">
        <f t="shared" si="22"/>
        <v>29063</v>
      </c>
      <c r="L266" s="466">
        <v>31895</v>
      </c>
    </row>
    <row r="267" spans="1:14" x14ac:dyDescent="0.2">
      <c r="A267" s="1504" t="s">
        <v>953</v>
      </c>
      <c r="B267" s="614">
        <v>2550</v>
      </c>
      <c r="C267" s="616"/>
      <c r="D267" s="466">
        <v>27068</v>
      </c>
      <c r="E267" s="616"/>
      <c r="F267" s="616"/>
      <c r="G267" s="616"/>
      <c r="H267" s="616"/>
      <c r="I267" s="616"/>
      <c r="J267" s="616"/>
      <c r="K267" s="1672">
        <f t="shared" si="22"/>
        <v>27068</v>
      </c>
      <c r="L267" s="466">
        <v>29953</v>
      </c>
    </row>
    <row r="268" spans="1:14" x14ac:dyDescent="0.2">
      <c r="A268" s="1504" t="s">
        <v>100</v>
      </c>
      <c r="B268" s="614">
        <v>2560</v>
      </c>
      <c r="C268" s="616"/>
      <c r="D268" s="466">
        <v>22486</v>
      </c>
      <c r="E268" s="616"/>
      <c r="F268" s="616"/>
      <c r="G268" s="616"/>
      <c r="H268" s="616"/>
      <c r="I268" s="616"/>
      <c r="J268" s="616"/>
      <c r="K268" s="1672">
        <f t="shared" si="22"/>
        <v>22486</v>
      </c>
      <c r="L268" s="466">
        <v>32667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87913</v>
      </c>
      <c r="E270" s="616"/>
      <c r="F270" s="616"/>
      <c r="G270" s="616"/>
      <c r="H270" s="616"/>
      <c r="I270" s="616"/>
      <c r="J270" s="616"/>
      <c r="K270" s="1670">
        <f>SUM(K263:K269)</f>
        <v>87913</v>
      </c>
      <c r="L270" s="1670">
        <f>SUM(L263:L269)</f>
        <v>104668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121720</v>
      </c>
      <c r="E279" s="616"/>
      <c r="F279" s="616"/>
      <c r="G279" s="616"/>
      <c r="H279" s="616"/>
      <c r="I279" s="616"/>
      <c r="J279" s="616"/>
      <c r="K279" s="1677">
        <f>SUM(K238,K243,K257,K261,K270,K277,K278)</f>
        <v>121720</v>
      </c>
      <c r="L279" s="1677">
        <f>SUM(L238,L243,L257,L261,L270,L277,L278)</f>
        <v>139714</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184362</v>
      </c>
      <c r="E295" s="616"/>
      <c r="F295" s="616"/>
      <c r="G295" s="616"/>
      <c r="H295" s="1670">
        <f>H293</f>
        <v>0</v>
      </c>
      <c r="I295" s="616"/>
      <c r="J295" s="616"/>
      <c r="K295" s="1670">
        <f>SUM(K229,K279,K280,K285,K293,K294)</f>
        <v>184362</v>
      </c>
      <c r="L295" s="1670">
        <f>SUM(L229,L279,L280,L285,L293,L294)</f>
        <v>208922</v>
      </c>
    </row>
    <row r="296" spans="1:14" ht="13.5" thickTop="1" x14ac:dyDescent="0.2">
      <c r="A296" s="2186" t="s">
        <v>996</v>
      </c>
      <c r="B296" s="2187"/>
      <c r="C296" s="616"/>
      <c r="D296" s="618"/>
      <c r="E296" s="616"/>
      <c r="F296" s="616"/>
      <c r="G296" s="616"/>
      <c r="H296" s="687"/>
      <c r="I296" s="616"/>
      <c r="J296" s="616"/>
      <c r="K296" s="1684">
        <f>'Revenues 9-14'!G268-'Expenditures 15-22'!K295</f>
        <v>-58100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8458</v>
      </c>
      <c r="F301" s="466"/>
      <c r="G301" s="466"/>
      <c r="H301" s="466"/>
      <c r="I301" s="467"/>
      <c r="J301" s="467"/>
      <c r="K301" s="1671">
        <f>SUM(C301:J301)</f>
        <v>8458</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8458</v>
      </c>
      <c r="F303" s="1677">
        <f t="shared" si="23"/>
        <v>0</v>
      </c>
      <c r="G303" s="1677">
        <f t="shared" si="23"/>
        <v>0</v>
      </c>
      <c r="H303" s="1677">
        <f t="shared" si="23"/>
        <v>0</v>
      </c>
      <c r="I303" s="1677">
        <f t="shared" si="23"/>
        <v>0</v>
      </c>
      <c r="J303" s="1677">
        <f t="shared" si="23"/>
        <v>0</v>
      </c>
      <c r="K303" s="1677">
        <f t="shared" si="23"/>
        <v>8458</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8458</v>
      </c>
      <c r="F312" s="1670">
        <f>SUM(F303)</f>
        <v>0</v>
      </c>
      <c r="G312" s="1670">
        <f>SUM(G303)</f>
        <v>0</v>
      </c>
      <c r="H312" s="1670">
        <f>SUM(H303,H310)</f>
        <v>0</v>
      </c>
      <c r="I312" s="1670">
        <f>SUM(I303)</f>
        <v>0</v>
      </c>
      <c r="J312" s="1670">
        <f>SUM(J303)</f>
        <v>0</v>
      </c>
      <c r="K312" s="1670">
        <f>SUM(K303,K310,K311)</f>
        <v>8458</v>
      </c>
      <c r="L312" s="1670">
        <f>SUM(L303,L310,L311)</f>
        <v>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26905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28499</v>
      </c>
      <c r="F320" s="467"/>
      <c r="G320" s="467"/>
      <c r="H320" s="467"/>
      <c r="I320" s="467"/>
      <c r="J320" s="467"/>
      <c r="K320" s="1671">
        <f t="shared" ref="K320:K327" si="24">SUM(C320:J320)</f>
        <v>28499</v>
      </c>
      <c r="L320" s="467">
        <v>28119</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f>185+32687</f>
        <v>32872</v>
      </c>
      <c r="F322" s="467"/>
      <c r="G322" s="467"/>
      <c r="H322" s="467"/>
      <c r="I322" s="467"/>
      <c r="J322" s="467"/>
      <c r="K322" s="1671">
        <f t="shared" si="24"/>
        <v>32872</v>
      </c>
      <c r="L322" s="467">
        <v>46881</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607</v>
      </c>
      <c r="F325" s="467"/>
      <c r="G325" s="467"/>
      <c r="H325" s="467"/>
      <c r="I325" s="467"/>
      <c r="J325" s="467"/>
      <c r="K325" s="1671">
        <f t="shared" si="24"/>
        <v>607</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5123</v>
      </c>
      <c r="F327" s="467"/>
      <c r="G327" s="467"/>
      <c r="H327" s="467"/>
      <c r="I327" s="467"/>
      <c r="J327" s="467"/>
      <c r="K327" s="1671">
        <f t="shared" si="24"/>
        <v>5123</v>
      </c>
      <c r="L327" s="467">
        <v>7500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67101</v>
      </c>
      <c r="F330" s="1670">
        <f t="shared" si="25"/>
        <v>0</v>
      </c>
      <c r="G330" s="1670">
        <f t="shared" si="25"/>
        <v>0</v>
      </c>
      <c r="H330" s="1670">
        <f t="shared" si="25"/>
        <v>0</v>
      </c>
      <c r="I330" s="1670">
        <f t="shared" si="25"/>
        <v>0</v>
      </c>
      <c r="J330" s="1670">
        <f t="shared" si="25"/>
        <v>0</v>
      </c>
      <c r="K330" s="1670">
        <f>SUM(K319:K329)</f>
        <v>67101</v>
      </c>
      <c r="L330" s="1670">
        <f>SUM(L319:L329)</f>
        <v>82500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67101</v>
      </c>
      <c r="F342" s="1670">
        <f>SUM(F330)</f>
        <v>0</v>
      </c>
      <c r="G342" s="1670">
        <f>SUM(G330)</f>
        <v>0</v>
      </c>
      <c r="H342" s="1670">
        <f>SUM(H330,H334,H340)</f>
        <v>0</v>
      </c>
      <c r="I342" s="1670">
        <f>SUM(I330)</f>
        <v>0</v>
      </c>
      <c r="J342" s="1670">
        <f>SUM(J330)</f>
        <v>0</v>
      </c>
      <c r="K342" s="1670">
        <f>SUM(K330,K334,K340)</f>
        <v>67101</v>
      </c>
      <c r="L342" s="1677">
        <f>SUM(L330,L334,L340,L341)</f>
        <v>82500</v>
      </c>
    </row>
    <row r="343" spans="1:14" ht="12.75" customHeight="1" thickTop="1" x14ac:dyDescent="0.2">
      <c r="A343" s="2172" t="s">
        <v>996</v>
      </c>
      <c r="B343" s="2173"/>
      <c r="C343" s="616"/>
      <c r="D343" s="616"/>
      <c r="E343" s="616"/>
      <c r="F343" s="616"/>
      <c r="G343" s="616"/>
      <c r="H343" s="616"/>
      <c r="I343" s="616"/>
      <c r="J343" s="616"/>
      <c r="K343" s="1684">
        <f>'Revenues 9-14'!J268-'Expenditures 15-22'!K342</f>
        <v>-20009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6" t="s">
        <v>996</v>
      </c>
      <c r="B368" s="2187"/>
      <c r="C368" s="654"/>
      <c r="D368" s="654"/>
      <c r="E368" s="626"/>
      <c r="F368" s="626"/>
      <c r="G368" s="626"/>
      <c r="H368" s="626"/>
      <c r="I368" s="626"/>
      <c r="J368" s="623"/>
      <c r="K368" s="1671">
        <f>'Revenues 9-14'!K268-'Expenditures 15-22'!K367</f>
        <v>6318</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openxmlformats.org/package/2006/metadata/core-properties"/>
    <ds:schemaRef ds:uri="4d435f69-8686-490b-bd6d-b153bf22ab50"/>
    <ds:schemaRef ds:uri="http://www.w3.org/XML/1998/namespace"/>
    <ds:schemaRef ds:uri="http://schemas.microsoft.com/office/infopath/2007/PartnerControls"/>
    <ds:schemaRef ds:uri="http://schemas.microsoft.com/office/2006/documentManagement/types"/>
    <ds:schemaRef ds:uri="d21dc803-237d-4c68-8692-8d731fd29118"/>
    <ds:schemaRef ds:uri="http://purl.org/dc/dcmitype/"/>
    <ds:schemaRef ds:uri="6ce3111e-7420-4802-b50a-75d4e9a0b980"/>
    <ds:schemaRef ds:uri="http://schemas.microsoft.com/sharepoint/v3"/>
    <ds:schemaRef ds:uri="http://schemas.microsoft.com/office/2006/metadata/properties"/>
    <ds:schemaRef ds:uri="http://purl.org/dc/term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2019-10-16T13:18:38Z</cp:lastPrinted>
  <dcterms:created xsi:type="dcterms:W3CDTF">2003-10-29T19:06:34Z</dcterms:created>
  <dcterms:modified xsi:type="dcterms:W3CDTF">2019-11-25T17:18:35Z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