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F786EF3-6323-462B-8AF2-4FFF0C4717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 sheetId="183" r:id="rId31"/>
    <sheet name="SF&amp;QC Sec-2 (2)" sheetId="175" r:id="rId32"/>
    <sheet name="SF&amp;QC Sec-2 (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E7" i="29" l="1"/>
  <c r="D7" i="29"/>
  <c r="C7" i="2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2" i="127"/>
  <c r="B63" i="127"/>
  <c r="G26" i="108"/>
  <c r="D27" i="108"/>
  <c r="E27" i="108"/>
  <c r="F27" i="108"/>
  <c r="G27" i="108"/>
  <c r="F31" i="108"/>
  <c r="G28" i="108"/>
  <c r="G29" i="108"/>
  <c r="G30"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B5752" i="106"/>
  <c r="D5752" i="106" s="1"/>
  <c r="I210" i="29" l="1"/>
  <c r="B7071" i="106" s="1"/>
  <c r="D7071" i="106" s="1"/>
  <c r="L5" i="11"/>
  <c r="B2056" i="106" s="1"/>
  <c r="D2056" i="106" s="1"/>
  <c r="F68" i="34"/>
  <c r="F28" i="108"/>
  <c r="D68" i="36"/>
  <c r="L342" i="29"/>
  <c r="J22" i="37"/>
  <c r="D22" i="37"/>
  <c r="F36" i="108"/>
  <c r="L13" i="11"/>
  <c r="B2060" i="106" s="1"/>
  <c r="D2060" i="106" s="1"/>
  <c r="K184" i="29"/>
  <c r="F13" i="4" s="1"/>
  <c r="B2596" i="106" s="1"/>
  <c r="D2596" i="106" s="1"/>
  <c r="E29" i="108"/>
  <c r="L367" i="29"/>
  <c r="H112" i="29"/>
  <c r="B7018" i="106" s="1"/>
  <c r="D7018" i="106" s="1"/>
  <c r="F77" i="4"/>
  <c r="B3255" i="106" s="1"/>
  <c r="D3255" i="106" s="1"/>
  <c r="G210" i="29"/>
  <c r="K76" i="4"/>
  <c r="B3586" i="106" s="1"/>
  <c r="D3586" i="106" s="1"/>
  <c r="B1868" i="106"/>
  <c r="D1868" i="106" s="1"/>
  <c r="E38" i="108"/>
  <c r="E26" i="108"/>
  <c r="F50" i="34"/>
  <c r="F37" i="34"/>
  <c r="F19" i="7"/>
  <c r="B1807" i="106" s="1"/>
  <c r="D1807" i="106" s="1"/>
  <c r="D54" i="36"/>
  <c r="J352" i="29"/>
  <c r="J367" i="29" s="1"/>
  <c r="B7245" i="106" s="1"/>
  <c r="D7245" i="106" s="1"/>
  <c r="D6103" i="106"/>
  <c r="H365" i="29"/>
  <c r="B7242" i="106" s="1"/>
  <c r="D7242" i="106" s="1"/>
  <c r="C352" i="29"/>
  <c r="B3621" i="106" s="1"/>
  <c r="D3621" i="106" s="1"/>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1" i="106"/>
  <c r="L16" i="11"/>
  <c r="B2061" i="106" s="1"/>
  <c r="D2061" i="106" s="1"/>
  <c r="K365" i="29"/>
  <c r="C114" i="29"/>
  <c r="B757" i="106" s="1"/>
  <c r="D757" i="106" s="1"/>
  <c r="D44" i="36"/>
  <c r="B5770" i="106"/>
  <c r="D5770" i="106" s="1"/>
  <c r="C367" i="29"/>
  <c r="B3622" i="106" s="1"/>
  <c r="D3622" i="106" s="1"/>
  <c r="D7254" i="106"/>
  <c r="D7250" i="106"/>
  <c r="N23" i="3"/>
  <c r="B284" i="106" s="1"/>
  <c r="D284" i="106" s="1"/>
  <c r="F66" i="34"/>
  <c r="D7256" i="106"/>
  <c r="D41" i="108"/>
  <c r="E43" i="108" s="1"/>
  <c r="B1365" i="106"/>
  <c r="D1365" i="106" s="1"/>
  <c r="F65" i="34"/>
  <c r="B1328" i="106"/>
  <c r="D1328"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J10" i="4"/>
  <c r="B6225" i="106" s="1"/>
  <c r="D6225" i="106" s="1"/>
  <c r="B6223" i="106"/>
  <c r="D6223"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<sst xmlns="http://schemas.openxmlformats.org/spreadsheetml/2006/main" count="5182" uniqueCount="2151">
  <si>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</si>
  <si>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</si>
  <si>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</si>
  <si>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</si>
  <si>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</si>
  <si>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</si>
  <si>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</si>
  <si>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</si>
  <si>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</si>
  <si>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</si>
  <si>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</si>
  <si>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</si>
  <si>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</si>
  <si>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</si>
  <si>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</si>
  <si>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</si>
  <si>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</si>
  <si>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</si>
  <si>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</si>
  <si>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</si>
  <si>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</si>
  <si>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</si>
  <si>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</si>
  <si>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</si>
  <si>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</si>
  <si>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</si>
  <si>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</si>
  <si>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</si>
  <si>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</si>
  <si>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</si>
  <si>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</si>
  <si>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</si>
  <si>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</si>
  <si>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</si>
  <si>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</si>
  <si>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</si>
  <si>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</si>
  <si>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</si>
  <si>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</si>
  <si>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</si>
  <si>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</si>
  <si>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</si>
  <si>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</si>
  <si>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</si>
  <si>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</si>
  <si>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</si>
  <si>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</si>
  <si>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</si>
  <si>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</si>
  <si>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</si>
  <si>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</si>
  <si>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</si>
  <si>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</si>
  <si>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</si>
  <si>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</si>
  <si>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</si>
  <si>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</si>
  <si>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</si>
  <si>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</si>
  <si>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</si>
  <si>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</si>
  <si>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</si>
  <si>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</si>
  <si>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</si>
  <si>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</si>
  <si>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</si>
  <si>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</si>
  <si>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</si>
  <si>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</si>
  <si>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</si>
  <si>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</si>
  <si>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</si>
  <si>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</si>
  <si>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</si>
  <si>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</si>
  <si>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</si>
  <si>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</si>
  <si>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</si>
  <si>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</si>
  <si>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</si>
  <si>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</si>
  <si>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</si>
  <si>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</si>
  <si>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</si>
  <si>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</si>
  <si>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</si>
  <si>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</si>
  <si>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</si>
  <si>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</si>
  <si>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</si>
  <si>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</si>
  <si>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</si>
  <si>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</si>
  <si>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</si>
  <si>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</si>
  <si>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</si>
  <si>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</si>
  <si>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</si>
  <si>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</si>
  <si>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</si>
  <si>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</si>
  <si>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</si>
  <si>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</si>
  <si>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</si>
  <si>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</si>
  <si>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</si>
  <si>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</si>
  <si>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</si>
  <si>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</si>
  <si>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</si>
  <si>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</si>
  <si>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</si>
  <si>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</si>
  <si>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</si>
  <si>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</si>
  <si>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</si>
  <si>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</si>
  <si>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</si>
  <si>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</si>
  <si>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</si>
  <si>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</si>
  <si>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</si>
  <si>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</si>
  <si>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</si>
  <si>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</si>
  <si>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</si>
  <si>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</si>
  <si>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</si>
  <si>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</si>
  <si>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</si>
  <si>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</si>
  <si>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</si>
  <si>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</si>
  <si>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</si>
  <si>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</si>
  <si>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</si>
  <si>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</si>
  <si>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</si>
  <si>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</si>
  <si>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</si>
  <si>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</si>
  <si>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</si>
  <si>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</si>
  <si>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</si>
  <si>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</si>
  <si>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</si>
  <si>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</si>
  <si>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</si>
  <si>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</si>
  <si>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</si>
  <si>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</si>
  <si>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</si>
  <si>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</si>
  <si>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</si>
  <si>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</si>
  <si>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</si>
  <si>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</si>
  <si>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</si>
  <si>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</si>
  <si>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</si>
  <si>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</si>
  <si>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</si>
  <si>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</si>
  <si>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</si>
  <si>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</si>
  <si>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</si>
  <si>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</si>
  <si>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</si>
  <si>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</si>
  <si>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</si>
  <si>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</si>
  <si>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</si>
  <si>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</si>
  <si>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</si>
  <si>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</si>
  <si>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</si>
  <si>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</si>
  <si>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</si>
  <si>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</si>
  <si>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</si>
  <si>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</si>
  <si>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</si>
  <si>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</si>
  <si>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</si>
  <si>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</si>
  <si>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</si>
  <si>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</si>
  <si>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</si>
  <si>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</si>
  <si>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</si>
  <si>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</si>
  <si>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</si>
  <si>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</si>
  <si>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</si>
  <si>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</si>
  <si>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</si>
  <si>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</si>
  <si>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</si>
  <si>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</si>
  <si>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</si>
  <si>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</si>
  <si>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</si>
  <si>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</si>
  <si>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</si>
  <si>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</si>
  <si>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</si>
  <si>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</si>
  <si>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</si>
  <si>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</si>
  <si>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</si>
  <si>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</si>
  <si>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</si>
  <si>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</si>
  <si>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</si>
  <si>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</si>
  <si>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</si>
  <si>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</si>
  <si>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</si>
  <si>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</si>
  <si>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</si>
  <si>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</si>
  <si>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</si>
  <si>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</si>
  <si>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</si>
  <si>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</si>
  <si>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</si>
  <si>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</si>
  <si>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</si>
  <si>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</si>
  <si>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</si>
  <si>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</si>
  <si>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</si>
  <si>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</si>
  <si>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</si>
  <si>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</si>
  <si>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</si>
  <si>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</si>
  <si>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</si>
  <si>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</si>
  <si>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</si>
  <si>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</si>
  <si>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</si>
  <si>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</si>
  <si>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</si>
  <si>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</si>
  <si>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</si>
  <si>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</si>
  <si>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</si>
  <si>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</si>
  <si>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</si>
  <si>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</si>
  <si>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</si>
  <si>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</si>
  <si>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</si>
  <si>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</si>
  <si>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</si>
  <si>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</si>
  <si>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</si>
  <si>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</si>
  <si>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</si>
  <si>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</si>
  <si>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</si>
  <si>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</si>
  <si>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</si>
  <si>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</si>
  <si>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</si>
  <si>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</si>
  <si>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</si>
  <si>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</si>
  <si>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</si>
  <si>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</si>
  <si>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</si>
  <si>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</si>
  <si>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</si>
  <si>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</si>
  <si>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</si>
  <si>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</si>
  <si>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</si>
  <si>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</si>
  <si>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</si>
  <si>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</si>
  <si>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</si>
  <si>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</si>
  <si>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</si>
  <si>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</si>
  <si>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</si>
  <si>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</si>
  <si>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</si>
  <si>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</si>
  <si>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</si>
  <si>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</si>
  <si>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</si>
  <si>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</si>
  <si>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</si>
  <si>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</si>
  <si>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</si>
  <si>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</si>
  <si>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</si>
  <si>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</si>
  <si>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</si>
  <si>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</si>
  <si>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</si>
  <si>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</si>
  <si>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</si>
  <si>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</si>
  <si>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</si>
  <si>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</si>
  <si>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</si>
  <si>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</si>
  <si>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</si>
  <si>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</si>
  <si>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</si>
  <si>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</si>
  <si>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</si>
  <si>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</si>
  <si>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</si>
  <si>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</si>
  <si>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</si>
  <si>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</si>
  <si>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</si>
  <si>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</si>
  <si>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</si>
  <si>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</si>
  <si>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</si>
  <si>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</si>
  <si>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</si>
  <si>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</si>
  <si>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</si>
  <si>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</si>
  <si>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</si>
  <si>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</si>
  <si>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</si>
  <si>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</si>
  <si>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</si>
  <si>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</si>
  <si>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</si>
  <si>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</si>
  <si>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</si>
  <si>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</si>
  <si>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</si>
  <si>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</si>
  <si>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</si>
  <si>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</si>
  <si>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</si>
  <si>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</si>
  <si>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</si>
  <si>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</si>
  <si>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</si>
  <si>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</si>
  <si>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</si>
  <si>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</si>
  <si>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</si>
  <si>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</si>
  <si>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</si>
  <si>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</si>
  <si>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</si>
  <si>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</si>
  <si>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</si>
  <si>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</si>
  <si>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</si>
  <si>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</si>
  <si>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</si>
  <si>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</si>
  <si>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</si>
  <si>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</si>
  <si>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</si>
  <si>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</si>
  <si>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</si>
  <si>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</si>
  <si>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</si>
  <si>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</si>
  <si>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</si>
  <si>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</si>
  <si>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</si>
  <si>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</si>
  <si>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</si>
  <si>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</si>
  <si>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</si>
  <si>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</si>
  <si>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</si>
  <si>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</si>
  <si>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</si>
  <si>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</si>
  <si>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</si>
  <si>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</si>
  <si>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</si>
  <si>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</si>
  <si>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</si>
  <si>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</si>
  <si>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</si>
  <si>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</si>
  <si>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</si>
  <si>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</si>
  <si>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</si>
  <si>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</si>
  <si>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</si>
  <si>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</si>
  <si>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</si>
  <si>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</si>
  <si>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</si>
  <si>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</si>
  <si>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</si>
  <si>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</si>
  <si>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</si>
  <si>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</si>
  <si>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</si>
  <si>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</si>
  <si>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</si>
  <si>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</si>
  <si>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</si>
  <si>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</si>
  <si>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</si>
  <si>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</si>
  <si>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</si>
  <si>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</si>
  <si>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</si>
  <si>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</si>
  <si>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</si>
  <si>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</si>
  <si>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</si>
  <si>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</si>
  <si>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</si>
  <si>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</si>
  <si>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</si>
  <si>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</si>
  <si>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</si>
  <si>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</si>
  <si>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</si>
  <si>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</si>
  <si>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</si>
  <si>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</si>
  <si>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</si>
  <si>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</si>
  <si>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</si>
  <si>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</si>
  <si>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</si>
  <si>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</si>
  <si>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</si>
  <si>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</si>
  <si>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</si>
  <si>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</si>
  <si>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</si>
  <si>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</si>
  <si>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</si>
  <si>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</si>
  <si>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</si>
  <si>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</si>
  <si>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</si>
  <si>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</si>
  <si>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</si>
  <si>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</si>
  <si>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</si>
  <si>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</si>
  <si>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</si>
  <si>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</si>
  <si>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</si>
  <si>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</si>
  <si>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</si>
  <si>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</si>
  <si>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</si>
  <si>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</si>
  <si>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</si>
  <si>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</si>
  <si>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</si>
  <si>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</si>
  <si>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</si>
  <si>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</si>
  <si>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</si>
  <si>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</si>
  <si>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</si>
  <si>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</si>
  <si>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</si>
  <si>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</si>
  <si>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</si>
  <si>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</si>
  <si>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</si>
  <si>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</si>
  <si>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</si>
  <si>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</si>
  <si>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</si>
  <si>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</si>
  <si>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</si>
  <si>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</si>
  <si>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</si>
  <si>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</si>
  <si>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</si>
  <si>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</si>
  <si>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</si>
  <si>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</si>
  <si>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</si>
  <si>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</si>
  <si>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</si>
  <si>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</si>
  <si>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</si>
  <si>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</si>
  <si>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</si>
  <si>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</si>
  <si>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</si>
  <si>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</si>
  <si>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</si>
  <si>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</si>
  <si>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</si>
  <si>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</si>
  <si>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</si>
  <si>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</si>
  <si>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</si>
  <si>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</si>
  <si>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</si>
  <si>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</si>
  <si>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</si>
  <si>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</si>
  <si>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</si>
  <si>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</si>
  <si>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</si>
  <si>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</si>
  <si>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</si>
  <si>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</si>
  <si>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</si>
  <si>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</si>
  <si>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</si>
  <si>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</si>
  <si>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</si>
  <si>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</si>
  <si>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</si>
  <si>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</si>
  <si>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</si>
  <si>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</si>
  <si>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</si>
  <si>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</si>
  <si>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</si>
  <si>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</si>
  <si>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</si>
  <si>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</si>
  <si>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</si>
  <si>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</si>
  <si>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</si>
  <si>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</si>
  <si>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</si>
  <si>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</si>
  <si>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</si>
  <si>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</si>
  <si>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</si>
  <si>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</si>
  <si>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</si>
  <si>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</si>
  <si>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</si>
  <si>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</si>
  <si>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</si>
  <si>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</si>
  <si>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</si>
  <si>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</si>
  <si>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</si>
  <si>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</si>
  <si>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</si>
  <si>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</si>
  <si>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</si>
  <si>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</si>
  <si>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</si>
  <si>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</si>
  <si>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</si>
  <si>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</si>
  <si>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</si>
  <si>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</si>
  <si>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</si>
  <si>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</si>
  <si>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</si>
  <si>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</si>
  <si>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</si>
  <si>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</si>
  <si>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</si>
  <si>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</si>
  <si>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</si>
  <si>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</si>
  <si>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</si>
  <si>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</si>
  <si>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</si>
  <si>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</si>
  <si>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</si>
  <si>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</si>
  <si>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</si>
  <si>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</si>
  <si>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</si>
  <si>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</si>
  <si>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</si>
  <si>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</si>
  <si>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</si>
  <si>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</si>
  <si>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</si>
  <si>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</si>
  <si>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</si>
  <si>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</si>
  <si>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</si>
  <si>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</si>
  <si>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</si>
  <si>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</si>
  <si>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</si>
  <si>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</si>
  <si>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</si>
  <si>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</si>
  <si>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</si>
  <si>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</si>
  <si>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</si>
  <si>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</si>
  <si>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</si>
  <si>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</si>
  <si>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</si>
  <si>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</si>
  <si>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</si>
  <si>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</si>
  <si>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</si>
  <si>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</si>
  <si>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</si>
  <si>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</si>
  <si>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</si>
  <si>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</si>
  <si>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</si>
  <si>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</si>
  <si>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</si>
  <si>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</si>
  <si>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</si>
  <si>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</si>
  <si>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</si>
  <si>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</si>
  <si>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</si>
  <si>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</si>
  <si>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</si>
  <si>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</si>
  <si>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</si>
  <si>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</si>
  <si>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</si>
  <si>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</si>
  <si>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</si>
  <si>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</si>
  <si>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</si>
  <si>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</si>
  <si>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</si>
  <si>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</si>
  <si>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</si>
  <si>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</si>
  <si>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</si>
  <si>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</si>
  <si>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</si>
  <si>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</si>
  <si>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</si>
  <si>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</si>
  <si>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</si>
  <si>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</si>
  <si>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</si>
  <si>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</si>
  <si>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</si>
  <si>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</si>
  <si>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</si>
  <si>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</si>
  <si>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</si>
  <si>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</si>
  <si>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</si>
  <si>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</si>
  <si>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</si>
  <si>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</si>
  <si>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</si>
  <si>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</si>
  <si>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</si>
  <si>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</si>
  <si>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</si>
  <si>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</si>
  <si>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</si>
  <si>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</si>
  <si>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</si>
  <si>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</si>
  <si>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</si>
  <si>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</si>
  <si>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</si>
  <si>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</si>
  <si>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</si>
  <si>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</si>
  <si>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</si>
  <si>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</si>
  <si>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</si>
  <si>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</si>
  <si>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</si>
  <si>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</si>
  <si>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</si>
  <si>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</si>
  <si>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</si>
  <si>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</si>
  <si>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</si>
  <si>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</si>
  <si>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</si>
  <si>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</si>
  <si>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</si>
  <si>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</si>
  <si>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</si>
  <si>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</si>
  <si>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</si>
  <si>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</si>
  <si>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</si>
  <si>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</si>
  <si>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</si>
  <si>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</si>
  <si>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</si>
  <si>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</si>
  <si>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</si>
  <si>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</si>
  <si>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</si>
  <si>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</si>
  <si>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</si>
  <si>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</si>
  <si>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</si>
  <si>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</si>
  <si>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</si>
  <si>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</si>
  <si>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</si>
  <si>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</si>
  <si>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</si>
  <si>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</si>
  <si>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</si>
  <si>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</si>
  <si>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</si>
  <si>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</si>
  <si>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</si>
  <si>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</si>
  <si>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</si>
  <si>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</si>
  <si>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</si>
  <si>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</si>
  <si>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</si>
  <si>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</si>
  <si>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</si>
  <si>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</si>
  <si>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</si>
  <si>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</si>
  <si>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</si>
  <si>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</si>
  <si>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</si>
  <si>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</si>
  <si>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</si>
  <si>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</si>
  <si>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</si>
  <si>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</si>
  <si>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</si>
  <si>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</si>
  <si>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</si>
  <si>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</si>
  <si>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</si>
  <si>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</si>
  <si>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</si>
  <si>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</si>
  <si>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</si>
  <si>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</si>
  <si>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</si>
  <si>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</si>
  <si>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</si>
  <si>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</si>
  <si>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</si>
  <si>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</si>
  <si>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</si>
  <si>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</si>
  <si>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</si>
  <si>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</si>
  <si>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</si>
  <si>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</si>
  <si>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</si>
  <si>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</si>
  <si>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</si>
  <si>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</si>
  <si>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</si>
  <si>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</si>
  <si>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</si>
  <si>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</si>
  <si>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</si>
  <si>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</si>
  <si>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</si>
  <si>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</si>
  <si>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</si>
  <si>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</si>
  <si>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</si>
  <si>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</si>
  <si>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</si>
  <si>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</si>
  <si>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</si>
  <si>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</si>
  <si>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</si>
  <si>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</si>
  <si>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</si>
  <si>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</si>
  <si>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</si>
  <si>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</si>
  <si>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</si>
  <si>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</si>
  <si>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</si>
  <si>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</si>
  <si>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</si>
  <si>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</si>
  <si>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</si>
  <si>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</si>
  <si>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</si>
  <si>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</si>
  <si>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</si>
  <si>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</si>
  <si>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</si>
  <si>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</si>
  <si>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</si>
  <si>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</si>
  <si>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</si>
  <si>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</si>
  <si>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</si>
  <si>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</si>
  <si>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</si>
  <si>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</si>
  <si>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</si>
  <si>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</si>
  <si>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</si>
  <si>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</si>
  <si>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</si>
  <si>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</si>
  <si>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</si>
  <si>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</si>
  <si>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</si>
  <si>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</si>
  <si>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</si>
  <si>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</si>
  <si>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</si>
  <si>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</si>
  <si>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</si>
  <si>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</si>
  <si>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</si>
  <si>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</si>
  <si>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</si>
  <si>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</si>
  <si>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</si>
  <si>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</si>
  <si>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</si>
  <si>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</si>
  <si>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</si>
  <si>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</si>
  <si>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</si>
  <si>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</si>
  <si>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</si>
  <si>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</si>
  <si>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</si>
  <si>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</si>
  <si>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</si>
  <si>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</si>
  <si>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</si>
  <si>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</si>
  <si>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</si>
  <si>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</si>
  <si>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</si>
  <si>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</si>
  <si>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</si>
  <si>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</si>
  <si>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</si>
  <si>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</si>
  <si>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</si>
  <si>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</si>
  <si>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</si>
  <si>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</si>
  <si>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</si>
  <si>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</si>
  <si>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</si>
  <si>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</si>
  <si>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</si>
  <si>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</si>
  <si>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</si>
  <si>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</si>
  <si>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</si>
  <si>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</si>
  <si>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</si>
  <si>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</si>
  <si>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</si>
  <si>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</si>
  <si>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</si>
  <si>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</si>
  <si>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</si>
  <si>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</si>
  <si>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</si>
  <si>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</si>
  <si>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</si>
  <si>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</si>
  <si>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</si>
  <si>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</si>
  <si>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</si>
  <si>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</si>
  <si>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</si>
  <si>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</si>
  <si>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</si>
  <si>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</si>
  <si>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</si>
  <si>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</si>
  <si>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</si>
  <si>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</si>
  <si>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</si>
  <si>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</si>
  <si>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</si>
  <si>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</si>
  <si>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</si>
  <si>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</si>
  <si>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</si>
  <si>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</si>
  <si>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</si>
  <si>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</si>
  <si>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</si>
  <si>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</si>
  <si>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</si>
  <si>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</si>
  <si>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</si>
  <si>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</si>
  <si>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</si>
  <si>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</si>
  <si>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</si>
  <si>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</si>
  <si>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</si>
  <si>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</si>
  <si>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</si>
  <si>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</si>
  <si>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</si>
  <si>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</si>
  <si>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</si>
  <si>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</si>
  <si>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</si>
  <si>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</si>
  <si>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</si>
  <si>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</si>
  <si>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</si>
  <si>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</si>
  <si>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</si>
  <si>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</si>
  <si>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</si>
  <si>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</si>
  <si>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</si>
  <si>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</si>
  <si>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</si>
  <si>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</si>
  <si>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</si>
  <si>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</si>
  <si>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</si>
  <si>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</si>
  <si>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</si>
  <si>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</si>
  <si>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</si>
  <si>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</si>
  <si>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</si>
  <si>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</si>
  <si>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</si>
  <si>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</si>
  <si>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</si>
  <si>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</si>
  <si>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</si>
  <si>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</si>
  <si>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</si>
  <si>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</si>
  <si>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</si>
  <si>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</si>
  <si>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</si>
  <si>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</si>
  <si>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</si>
  <si>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</si>
  <si>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</si>
  <si>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</si>
  <si>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</si>
  <si>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</si>
  <si>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</si>
  <si>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</si>
  <si>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</si>
  <si>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</si>
  <si>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</si>
  <si>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</si>
  <si>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</si>
  <si>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</si>
  <si>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</si>
  <si>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</si>
  <si>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</si>
  <si>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</si>
  <si>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</si>
  <si>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</si>
  <si>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</si>
  <si>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</si>
  <si>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</si>
  <si>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</si>
  <si>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</si>
  <si>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</si>
  <si>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</si>
  <si>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</si>
  <si>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</si>
  <si>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</si>
  <si>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</si>
  <si>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</si>
  <si>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</si>
  <si>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</si>
  <si>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</si>
  <si>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</si>
  <si>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</si>
  <si>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</si>
  <si>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</si>
  <si>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</si>
  <si>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</si>
  <si>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</si>
  <si>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</si>
  <si>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</si>
  <si>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</si>
  <si>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</si>
  <si>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</si>
  <si>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</si>
  <si>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</si>
  <si>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</si>
  <si>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</si>
  <si>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</si>
  <si>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</si>
  <si>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</si>
  <si>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</si>
  <si>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</si>
  <si>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</si>
  <si>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</si>
  <si>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</si>
  <si>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</si>
  <si>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</si>
  <si>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</si>
  <si>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</si>
  <si>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</si>
  <si>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</si>
  <si>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</si>
  <si>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</si>
  <si>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</si>
  <si>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</si>
  <si>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</si>
  <si>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</si>
  <si>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</si>
  <si>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</si>
  <si>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</si>
  <si>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</si>
  <si>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</si>
  <si>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</si>
  <si>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</si>
  <si>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</si>
  <si>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</si>
  <si>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</si>
  <si>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</si>
  <si>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</si>
  <si>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</si>
  <si>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</si>
  <si>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</si>
  <si>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</si>
  <si>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</si>
  <si>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</si>
  <si>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</si>
  <si>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</si>
  <si>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</si>
  <si>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</si>
  <si>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</si>
  <si>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</si>
  <si>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</si>
  <si>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</si>
  <si>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</si>
  <si>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</si>
  <si>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</si>
  <si>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</si>
  <si>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</si>
  <si>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</si>
  <si>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</si>
  <si>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</si>
  <si>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</si>
  <si>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</si>
  <si>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</si>
  <si>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</si>
  <si>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</si>
  <si>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</si>
  <si>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</si>
  <si>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</si>
  <si>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</si>
  <si>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</si>
  <si>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</si>
  <si>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</si>
  <si>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</si>
  <si>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</si>
  <si>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</si>
  <si>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</si>
  <si>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</si>
  <si>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</si>
  <si>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</si>
  <si>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</si>
  <si>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</si>
  <si>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</si>
  <si>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</si>
  <si>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</si>
  <si>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</si>
  <si>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</si>
  <si>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</si>
  <si>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</si>
  <si>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</si>
  <si>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</si>
  <si>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</si>
  <si>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</si>
  <si>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</si>
  <si>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</si>
  <si>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</si>
  <si>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</si>
  <si>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</si>
  <si>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</si>
  <si>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</si>
  <si>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</si>
  <si>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</si>
  <si>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</si>
  <si>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</si>
  <si>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</si>
  <si>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</si>
  <si>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</si>
  <si>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</si>
  <si>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</si>
  <si>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</si>
  <si>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</si>
  <si>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</si>
  <si>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</si>
  <si>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</si>
  <si>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</si>
  <si>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</si>
  <si>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</si>
  <si>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</si>
  <si>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</si>
  <si>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</si>
  <si>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</si>
  <si>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</si>
  <si>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</si>
  <si>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</si>
  <si>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</si>
  <si>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</si>
  <si>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</si>
  <si>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</si>
  <si>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</si>
  <si>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</si>
  <si>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</si>
  <si>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</si>
  <si>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</si>
  <si>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</si>
  <si>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</si>
  <si>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</si>
  <si>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</si>
  <si>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</si>
  <si>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</si>
  <si>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</si>
  <si>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</si>
  <si>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</si>
  <si>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</si>
  <si>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</si>
  <si>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</si>
  <si>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</si>
  <si>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</si>
  <si>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</si>
  <si>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</si>
  <si>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</si>
  <si>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</si>
  <si>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</si>
  <si>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</si>
  <si>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</si>
  <si>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</si>
  <si>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</si>
  <si>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</si>
  <si>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</si>
  <si>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</si>
  <si>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</si>
  <si>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</si>
  <si>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</si>
  <si>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</si>
  <si>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</si>
  <si>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</si>
  <si>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</si>
  <si>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</si>
  <si>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</si>
  <si>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</si>
  <si>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</si>
  <si>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</si>
  <si>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</si>
  <si>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</si>
  <si>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</si>
  <si>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</si>
  <si>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</si>
  <si>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</si>
  <si>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</si>
  <si>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</si>
  <si>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</si>
  <si>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</si>
  <si>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</si>
  <si>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</si>
  <si>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</si>
  <si>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</si>
  <si>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</si>
  <si>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</si>
  <si>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</si>
  <si>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</si>
  <si>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</si>
  <si>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</si>
  <si>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</si>
  <si>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</si>
  <si>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</si>
  <si>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</si>
  <si>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</si>
  <si>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</si>
  <si>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</si>
  <si>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</si>
  <si>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</si>
  <si>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</si>
  <si>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</si>
  <si>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</si>
  <si>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</si>
  <si>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</si>
  <si>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</si>
  <si>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</si>
  <si>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</si>
  <si>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</si>
  <si>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</si>
  <si>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</si>
  <si>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</si>
  <si>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</si>
  <si>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</si>
  <si>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</si>
  <si>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</si>
  <si>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</si>
  <si>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</si>
  <si>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</si>
  <si>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</si>
  <si>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</si>
  <si>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</si>
  <si>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</si>
  <si>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</si>
  <si>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</si>
  <si>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</si>
  <si>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</si>
  <si>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</si>
  <si>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</si>
  <si>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</si>
  <si>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</si>
  <si>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</si>
  <si>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</si>
  <si>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</si>
  <si>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</si>
  <si>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</si>
  <si>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</si>
  <si>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</si>
  <si>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</si>
  <si>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</si>
  <si>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</si>
  <si>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</si>
  <si>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</si>
  <si>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</si>
  <si>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</si>
  <si>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</si>
  <si>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</si>
  <si>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</si>
  <si>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</si>
  <si>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</si>
  <si>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</si>
  <si>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</si>
  <si>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</si>
  <si>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</si>
  <si>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</si>
  <si>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</si>
  <si>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</si>
  <si>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</si>
  <si>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</si>
  <si>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</si>
  <si>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</si>
  <si>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</si>
  <si>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</si>
  <si>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</si>
  <si>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</si>
  <si>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</si>
  <si>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</si>
  <si>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</si>
  <si>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</si>
  <si>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</si>
  <si>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</si>
  <si>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</si>
  <si>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</si>
  <si>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</si>
  <si>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</si>
  <si>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</si>
  <si>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</si>
  <si>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</si>
  <si>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</si>
  <si>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</si>
  <si>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</si>
  <si>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</si>
  <si>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</si>
  <si>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</si>
  <si>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</si>
  <si>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</si>
  <si>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</si>
  <si>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</si>
  <si>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</si>
  <si>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</si>
  <si>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</si>
  <si>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</si>
  <si>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</si>
  <si>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</si>
  <si>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</si>
  <si>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</si>
  <si>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</si>
  <si>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</si>
  <si>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</si>
  <si>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</si>
  <si>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</si>
  <si>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</si>
  <si>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</si>
  <si>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</si>
  <si>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</si>
  <si>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</si>
  <si>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</si>
  <si>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</si>
  <si>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</si>
  <si>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</si>
  <si>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</si>
  <si>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</si>
  <si>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</si>
  <si>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</si>
  <si>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</si>
  <si>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</si>
  <si>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</si>
  <si>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</si>
  <si>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</si>
  <si>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</si>
  <si>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</si>
  <si>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</si>
  <si>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</si>
  <si>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</si>
  <si>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</si>
  <si>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</si>
  <si>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</si>
  <si>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</si>
  <si>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</si>
  <si>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</si>
  <si>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</si>
  <si>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</si>
  <si>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</si>
  <si>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</si>
  <si>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</si>
  <si>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</si>
  <si>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</si>
  <si>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</si>
  <si>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</si>
  <si>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</si>
  <si>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</si>
  <si>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</si>
  <si>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</si>
  <si>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</si>
  <si>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</si>
  <si>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</si>
  <si>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</si>
  <si>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</si>
  <si>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</si>
  <si>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</si>
  <si>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</si>
  <si>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</si>
  <si>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</si>
  <si>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</si>
  <si>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</si>
  <si>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</si>
  <si>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</si>
  <si>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</si>
  <si>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</si>
  <si>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</si>
  <si>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</si>
  <si>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</si>
  <si>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</si>
  <si>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</si>
  <si>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</si>
  <si>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</si>
  <si>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</si>
  <si>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</si>
  <si>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</si>
  <si>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</si>
  <si>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</si>
  <si>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</si>
  <si>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</si>
  <si>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</si>
  <si>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</si>
  <si>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</si>
  <si>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</si>
  <si>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</si>
  <si>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</si>
  <si>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</si>
  <si>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</si>
  <si>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</si>
  <si>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</si>
  <si>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</si>
  <si>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</si>
  <si>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</si>
  <si>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</si>
  <si>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</si>
  <si>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</si>
  <si>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</si>
  <si>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</si>
  <si>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</si>
  <si>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</si>
  <si>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</si>
  <si>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</si>
  <si>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</si>
  <si>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</si>
  <si>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</si>
  <si>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</si>
  <si>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</si>
  <si>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</si>
  <si>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</si>
  <si>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</si>
  <si>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</si>
  <si>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</si>
  <si>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</si>
  <si>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</si>
  <si>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</si>
  <si>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</si>
  <si>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</si>
  <si>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</si>
  <si>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</si>
  <si>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</si>
  <si>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</si>
  <si>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</si>
  <si>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</si>
  <si>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</si>
  <si>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</si>
  <si>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</si>
  <si>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</si>
  <si>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</si>
  <si>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</si>
  <si>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</si>
  <si>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</si>
  <si>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</si>
  <si>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</si>
  <si>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</si>
  <si>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</si>
  <si>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</si>
  <si>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</si>
  <si>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</si>
  <si>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</si>
  <si>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</si>
  <si>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</si>
  <si>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</si>
  <si>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</si>
  <si>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</si>
  <si>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</si>
  <si>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</si>
  <si>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</si>
  <si>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</si>
  <si>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</si>
  <si>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</si>
  <si>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</si>
  <si>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</si>
  <si>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</si>
  <si>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</si>
  <si>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</si>
  <si>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</si>
  <si>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</si>
  <si>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</si>
  <si>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</si>
  <si>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</si>
  <si>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</si>
  <si>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</si>
  <si>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</si>
  <si>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</si>
  <si>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</si>
  <si>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</si>
  <si>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</si>
  <si>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</si>
  <si>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</si>
  <si>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</si>
  <si>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</si>
  <si>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</si>
  <si>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</si>
  <si>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</si>
  <si>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</si>
  <si>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</si>
  <si>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</si>
  <si>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</si>
  <si>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</si>
  <si>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</si>
  <si>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</si>
  <si>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</si>
  <si>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</si>
  <si>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</si>
  <si>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</si>
  <si>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</si>
  <si>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</si>
  <si>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</si>
  <si>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</si>
  <si>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</si>
  <si>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</si>
  <si>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</si>
  <si>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</si>
  <si>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</si>
  <si>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</si>
  <si>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</si>
  <si>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</si>
  <si>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</si>
  <si>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</si>
  <si>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</si>
  <si>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</si>
  <si>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</si>
  <si>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</si>
  <si>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</si>
  <si>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</si>
  <si>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</si>
  <si>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</si>
  <si>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</si>
  <si>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</si>
  <si>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</si>
  <si>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</si>
  <si>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</si>
  <si>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</si>
  <si>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</si>
  <si>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</si>
  <si>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</si>
  <si>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</si>
  <si>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</si>
  <si>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</si>
  <si>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</si>
  <si>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</si>
  <si>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</si>
  <si>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</si>
  <si>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</si>
  <si>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</si>
  <si>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</si>
  <si>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</si>
  <si>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</si>
  <si>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</si>
  <si>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</si>
  <si>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</si>
  <si>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</si>
  <si>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</si>
  <si>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</si>
  <si>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</si>
  <si>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</si>
  <si>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</si>
  <si>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</si>
  <si>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</si>
  <si>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</si>
  <si>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</si>
  <si>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</si>
  <si>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</si>
  <si>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</si>
  <si>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</si>
  <si>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</si>
  <si>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</si>
  <si>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</si>
  <si>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</si>
  <si>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</si>
  <si>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</si>
  <si>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</si>
  <si>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</si>
  <si>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</si>
  <si>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</si>
  <si>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</si>
  <si>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</si>
  <si>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</si>
  <si>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</si>
  <si>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</si>
  <si>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</si>
  <si>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</si>
  <si>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</si>
  <si>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</si>
  <si>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</si>
  <si>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</si>
  <si>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</si>
  <si>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</si>
  <si>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</si>
  <si>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</si>
  <si>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</si>
  <si>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</si>
  <si>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</si>
  <si>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</si>
  <si>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</si>
  <si>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</si>
  <si>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</si>
  <si>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</si>
  <si>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</si>
  <si>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</si>
  <si>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</si>
  <si>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</si>
  <si>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</si>
  <si>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</si>
  <si>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</si>
  <si>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</si>
  <si>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</si>
  <si>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</si>
  <si>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</si>
  <si>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</si>
  <si>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</si>
  <si>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</si>
  <si>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</si>
  <si>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</si>
  <si>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</si>
  <si>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</si>
  <si>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</si>
  <si>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</si>
  <si>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</si>
  <si>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</si>
  <si>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</si>
  <si>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</si>
  <si>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</si>
  <si>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</si>
  <si>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</si>
  <si>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</si>
  <si>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</si>
  <si>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</si>
  <si>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</si>
  <si>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</si>
  <si>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</si>
  <si>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</si>
  <si>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</si>
  <si>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</si>
  <si>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</si>
  <si>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</si>
  <si>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</si>
  <si>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</si>
  <si>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</si>
  <si>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</si>
  <si>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</si>
  <si>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</si>
  <si>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</si>
  <si>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</si>
  <si>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</si>
  <si>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</si>
  <si>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</si>
  <si>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</si>
  <si>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</si>
  <si>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</si>
  <si>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</si>
  <si>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</si>
  <si>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</si>
  <si>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</si>
  <si>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</si>
  <si>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</si>
  <si>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</si>
  <si>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</si>
  <si>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</si>
  <si>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</si>
  <si>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</si>
  <si>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</si>
  <si>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</si>
  <si>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</si>
  <si>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</si>
  <si>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</si>
  <si>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</si>
  <si>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</si>
  <si>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</si>
  <si>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</si>
  <si>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</si>
  <si>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</si>
  <si>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</si>
  <si>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</si>
  <si>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</si>
  <si>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</si>
  <si>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</si>
  <si>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</si>
  <si>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</si>
  <si>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</si>
  <si>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</si>
  <si>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</si>
  <si>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</si>
  <si>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</si>
  <si>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</si>
  <si>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</si>
  <si>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</si>
  <si>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</si>
  <si>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</si>
  <si>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</si>
  <si>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</si>
  <si>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</si>
  <si>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</si>
  <si>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</si>
  <si>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</si>
  <si>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</si>
  <si>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</si>
  <si>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</si>
  <si>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</si>
  <si>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</si>
  <si>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</si>
  <si>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</si>
  <si>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</si>
  <si>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</si>
  <si>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</si>
  <si>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</si>
  <si>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</si>
  <si>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</si>
  <si>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</si>
  <si>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</si>
  <si>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</si>
  <si>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</si>
  <si>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</si>
  <si>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</si>
  <si>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</si>
  <si>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</si>
  <si>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</si>
  <si>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</si>
  <si>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</si>
  <si>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</si>
  <si>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</si>
  <si>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</si>
  <si>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</si>
  <si>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</si>
  <si>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</si>
  <si>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</si>
  <si>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</si>
  <si>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</si>
  <si>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</si>
  <si>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</si>
  <si>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</si>
  <si>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</si>
  <si>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</si>
  <si>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</si>
  <si>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</si>
  <si>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</si>
  <si>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</si>
  <si>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</si>
  <si>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</si>
  <si>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</si>
  <si>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</si>
  <si>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</si>
  <si>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</si>
  <si>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</si>
  <si>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</si>
  <si>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</si>
  <si>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</si>
  <si>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</si>
  <si>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</si>
  <si>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</si>
  <si>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</si>
  <si>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</si>
  <si>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</si>
  <si>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</si>
  <si>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</si>
  <si>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</si>
  <si>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</si>
  <si>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</si>
  <si>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</si>
  <si>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</si>
  <si>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</si>
  <si>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</si>
  <si>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</si>
  <si>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</si>
  <si>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</si>
  <si>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</si>
  <si>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</si>
  <si>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</si>
  <si>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</si>
  <si>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</si>
  <si>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</si>
  <si>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</si>
  <si>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</si>
  <si>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</si>
  <si>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</si>
  <si>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</si>
  <si>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</si>
  <si>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</si>
  <si>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</si>
  <si>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</si>
  <si>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</si>
  <si>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</si>
  <si>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</si>
  <si>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</si>
  <si>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</si>
  <si>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</si>
  <si>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</si>
  <si>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</si>
  <si>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</si>
  <si>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</si>
  <si>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</si>
  <si>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</si>
  <si>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</si>
  <si>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</si>
  <si>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</si>
  <si>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</si>
  <si>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</si>
  <si>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</si>
  <si>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</si>
  <si>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</si>
  <si>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</si>
  <si>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</si>
  <si>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</si>
  <si>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</si>
  <si>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</si>
  <si>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</si>
  <si>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</si>
  <si>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</si>
  <si>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</si>
  <si>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</si>
  <si>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</si>
  <si>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</si>
  <si>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</si>
  <si>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</si>
  <si>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</si>
  <si>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</si>
  <si>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</si>
  <si>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</si>
  <si>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</si>
  <si>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</si>
  <si>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</si>
  <si>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</si>
  <si>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</si>
  <si>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</si>
  <si>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</si>
  <si>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</si>
  <si>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</si>
  <si>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</si>
  <si>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</si>
  <si>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</si>
  <si>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</si>
  <si>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</si>
  <si>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</si>
  <si>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</si>
  <si>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</si>
  <si>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</si>
  <si>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</si>
  <si>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</si>
  <si>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</si>
  <si>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</si>
  <si>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</si>
  <si>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</si>
  <si>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</si>
  <si>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</si>
  <si>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</si>
  <si>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</si>
  <si>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</si>
  <si>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</si>
  <si>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</si>
  <si>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</si>
  <si>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</si>
  <si>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</si>
  <si>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</si>
  <si>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</si>
  <si>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</si>
  <si>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</si>
  <si>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</si>
  <si>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</si>
  <si>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</si>
  <si>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</si>
  <si>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</si>
  <si>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</si>
  <si>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</si>
  <si>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</si>
  <si>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</si>
  <si>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</si>
  <si>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</si>
  <si>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</si>
  <si>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</si>
  <si>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</si>
  <si>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</si>
  <si>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</si>
  <si>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</si>
  <si>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</si>
  <si>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</si>
  <si>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</si>
  <si>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</si>
  <si>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</si>
  <si>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</si>
  <si>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</si>
  <si>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</si>
  <si>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</si>
  <si>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</si>
  <si>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</si>
  <si>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</si>
  <si>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</si>
  <si>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</si>
  <si>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</si>
  <si>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</si>
  <si>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</si>
  <si>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</si>
  <si>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</si>
  <si>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</si>
  <si>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</si>
  <si>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</si>
  <si>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</si>
  <si>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</si>
  <si>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</si>
  <si>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</si>
  <si>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</si>
  <si>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</si>
  <si>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</si>
  <si>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</si>
  <si>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</si>
  <si>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</si>
  <si>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</si>
  <si>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</si>
  <si>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</si>
  <si>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</si>
  <si>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</si>
  <si>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</si>
  <si>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</si>
  <si>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</si>
  <si>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</si>
  <si>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</si>
  <si>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</si>
  <si>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</si>
  <si>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</si>
  <si>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</si>
  <si>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</si>
  <si>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</si>
  <si>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</si>
  <si>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</si>
  <si>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</si>
  <si>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</si>
  <si>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</si>
  <si>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</si>
  <si>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</si>
  <si>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</si>
  <si>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</si>
  <si>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</si>
  <si>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</si>
  <si>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</si>
  <si>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</si>
  <si>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</si>
  <si>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</si>
  <si>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</si>
  <si>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</si>
  <si>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</si>
  <si>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</si>
  <si>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</si>
  <si>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</si>
  <si>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</si>
  <si>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</si>
  <si>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</si>
  <si>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</si>
  <si>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</si>
  <si>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</si>
  <si>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</si>
  <si>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</si>
  <si>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</si>
  <si>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</si>
  <si>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</si>
  <si>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</si>
  <si>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</si>
  <si>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</si>
  <si>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</si>
  <si>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</si>
  <si>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</si>
  <si>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</si>
  <si>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</si>
  <si>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</si>
  <si>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</si>
  <si>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</si>
  <si>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</si>
  <si>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</si>
  <si>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</si>
  <si>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</si>
  <si>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</si>
  <si>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</si>
  <si>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</si>
  <si>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</si>
  <si>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</si>
  <si>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</si>
  <si>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</si>
  <si>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</si>
  <si>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</si>
  <si>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</si>
  <si>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</si>
  <si>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</si>
  <si>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</si>
  <si>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</si>
  <si>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</si>
  <si>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</si>
  <si>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</si>
  <si>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</si>
  <si>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</si>
  <si>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</si>
  <si>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</si>
  <si>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</si>
  <si>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</si>
  <si>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</si>
  <si>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</si>
  <si>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</si>
  <si>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</si>
  <si>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</si>
  <si>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</si>
  <si>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</si>
  <si>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</si>
  <si>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</si>
  <si>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</si>
  <si>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</si>
  <si>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</si>
  <si>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</si>
  <si>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</si>
  <si>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</si>
  <si>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</si>
  <si>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</si>
  <si>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</si>
  <si>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</si>
  <si>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</si>
  <si>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</si>
  <si>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</si>
  <si>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</si>
  <si>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</si>
  <si>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</si>
  <si>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</si>
  <si>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</si>
  <si>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</si>
  <si>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</si>
  <si>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</si>
  <si>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</si>
  <si>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</si>
  <si>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</si>
  <si>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</si>
  <si>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</si>
  <si>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</si>
  <si>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</si>
  <si>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</si>
  <si>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</si>
  <si>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</si>
  <si>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</si>
  <si>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</si>
  <si>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</si>
  <si>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</si>
  <si>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</si>
  <si>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</si>
  <si>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</si>
  <si>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</si>
  <si>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</si>
  <si>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</si>
  <si>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</si>
  <si>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</si>
  <si>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</si>
  <si>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</si>
  <si>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</si>
  <si>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</si>
  <si>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</si>
  <si>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</si>
  <si>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</si>
  <si>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</si>
  <si>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</si>
  <si>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</si>
  <si>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</si>
  <si>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</si>
  <si>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</si>
  <si>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</si>
  <si>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</si>
  <si>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</si>
  <si>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</si>
  <si>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</si>
  <si>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</si>
  <si>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</si>
  <si>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</si>
  <si>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</si>
  <si>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</si>
  <si>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</si>
  <si>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</si>
  <si>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</si>
  <si>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</si>
  <si>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</si>
  <si>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</si>
  <si>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</si>
  <si>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</si>
  <si>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</si>
  <si>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</si>
  <si>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</si>
  <si>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</si>
  <si>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</si>
  <si>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</si>
  <si>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</si>
  <si>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</si>
  <si>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</si>
  <si>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</si>
  <si>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</si>
  <si>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</si>
  <si>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</si>
  <si>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</si>
  <si>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</si>
  <si>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</si>
  <si>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</si>
  <si>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</si>
  <si>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</si>
  <si>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</si>
  <si>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KNOX AND HENRY</t>
  </si>
  <si>
    <t>333 NORTH JOY STREET</t>
  </si>
  <si>
    <t>ONEIDA</t>
  </si>
  <si>
    <t>jsornberger@rowva.k.12.il.us</t>
  </si>
  <si>
    <t>JOE SORNBERGER</t>
  </si>
  <si>
    <t>jsornberger@rowva.k12.il.us</t>
  </si>
  <si>
    <t>309-483-3711</t>
  </si>
  <si>
    <t>309-483-6123</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</si>
  <si>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</si>
  <si>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</si>
  <si>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</si>
  <si>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</si>
  <si>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</si>
  <si>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</si>
  <si>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</si>
  <si>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</si>
  <si>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</si>
  <si>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</si>
  <si>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</si>
  <si>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</si>
  <si>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</si>
  <si>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Question 23 - The District uses Cash Basis of Accounting.</t>
  </si>
  <si>
    <t>Blucker, Kneer &amp; Associates, Ltd.</t>
  </si>
  <si>
    <t>2012 LIFE SAFETY BONDS</t>
  </si>
  <si>
    <t>2018 INSTALLMENT CONTRACT - SCHOOL BUSES</t>
  </si>
  <si>
    <t>INSTALLMENT CONTRACTUAL CONTRACT</t>
  </si>
  <si>
    <t>WESTERN AREA PURCHASING</t>
  </si>
  <si>
    <t>WORKERS' COMPENSATION SELF-INSURANCE TRUST</t>
  </si>
  <si>
    <t>KNOX-WARREN SPECIAL EDUCATION DISTRICT</t>
  </si>
  <si>
    <t>DELABAR/CARL SANDBURG COLLEGE</t>
  </si>
  <si>
    <t>MID-COUNTY ALTHLETIC COOP - GALVA/WILLIAMSFIELD</t>
  </si>
  <si>
    <t>R-W ATHLETIC COOP WITH WILLIAMSFIELD</t>
  </si>
  <si>
    <t>EDUCATION FUND</t>
  </si>
  <si>
    <t>OPERATION AND MAINTENANCE FUND</t>
  </si>
  <si>
    <t>TRANSPORTATION FUND</t>
  </si>
  <si>
    <t>#5400 $ 500 Bond agent fees</t>
  </si>
  <si>
    <t>Page 25, SCHEDULE OF RESTRICTED LOCAL TAX LEVIES AND SELECTED REVENUE SOURCES</t>
  </si>
  <si>
    <t>Debt Service Other - $500 is debt agent fees.</t>
  </si>
  <si>
    <t>#1690- $1900 - Other food services- is food purchases reimbursements and rebates.</t>
  </si>
  <si>
    <t>#1999 - $ (1081) Other reciepts and reimbursements</t>
  </si>
  <si>
    <t>#1999 - $ 10,932 Other reciepts and reimbursements</t>
  </si>
  <si>
    <t>#1999 - $ 3164 Other reciepts and reimbursements</t>
  </si>
  <si>
    <t>#3999 - $ 750 is Library Per Capital Grant,</t>
  </si>
  <si>
    <t>"             $6,284 is Medicaid fee for service.</t>
  </si>
  <si>
    <t>#4999 - $7,993 is REAP grant</t>
  </si>
  <si>
    <t>Duties of the school district personnel are to be segregated to reduce the risk of error or fraud so that no one individual controls all key aspects of a transaction.  By doing this, the district ensures reliable financial reporting, effetive, and efficient operations, and compliance with applicable laws and regulations.</t>
  </si>
  <si>
    <t>A member of the District's staff has substantial control over key aspects of the transactions and events within the internal control system.  Duties have been segregated as much as possible due to the size of the available staff.  The Superintentent and the Board of Education reviews accounting processes.</t>
  </si>
  <si>
    <t>The above condition is an ongoing issue for the school district.</t>
  </si>
  <si>
    <t>Transactions could be altered by District personnel in error or in an effort to commit fraud.</t>
  </si>
  <si>
    <t xml:space="preserve">The number of personnel performing accounting functions limit the ability of the district to have adequate segregation of duties over accounting transactions.									</t>
  </si>
  <si>
    <t>This type of weakness is common among school districts of this size and number of employees.  The findings could be eliminated by hiring additional staff and separating accounting duties.  However, this is not practical under current budget constraints.</t>
  </si>
  <si>
    <t>This is a ongoing issue that will be continually monitored through review of financial information by the Superintendent and the Board of Education including development of additional segregation of duties among existing staff.</t>
  </si>
  <si>
    <t>Financial Statements are the responsibility of the client and should be prepared by them including footnotes.</t>
  </si>
  <si>
    <t>The District does not have an internal control system available or the personnel with the needed expertise and knowledge to prepare the finanacial statements.  The auditors draft the financial statements and notes.  The District's management review the draft financial statments.</t>
  </si>
  <si>
    <t>Management or employees in the normal course of performing their assigned functions may not prevent or detect financial statements mistatements in a timely manner.</t>
  </si>
  <si>
    <t>The District has no one with the necessary expertise to prepare the financial statements and footnotes.</t>
  </si>
  <si>
    <t>Due to the size of the district,  it is the decision of management to accept this deficiency in light of the costs and other consderations.</t>
  </si>
  <si>
    <t>Per Illinois Compiled statutes, total fund expenditures may not legally exceed the District's budgeted amounts.</t>
  </si>
  <si>
    <t>The approved budget establishes the authorized expendtures limitations in each fund.</t>
  </si>
  <si>
    <t>The District will monitor actual expenditures compared to the budget and modify the budget as needed.</t>
  </si>
  <si>
    <t xml:space="preserve">For the year ending June 30, 2019, actual expenditures for the Capital Projects and Fire Prevention and Safety Funds exceeded the budget. </t>
  </si>
  <si>
    <t>Actual expenditures exceeded the budget in two funds.</t>
  </si>
  <si>
    <t>The District did amend the budget, however actual expenditures still slightly exceeded the budgeted amounts.</t>
  </si>
  <si>
    <t>The board had a plan regarding the use of funds however the budgeted  amounts did not cover the actual expenditures slightly.</t>
  </si>
  <si>
    <t>2018-001</t>
  </si>
  <si>
    <t xml:space="preserve">Preparation of Financial Statements </t>
  </si>
  <si>
    <t>and Footnotes</t>
  </si>
  <si>
    <t xml:space="preserve">Repeat Finding - Corrective action is not practical </t>
  </si>
  <si>
    <t>in the current circumstances.</t>
  </si>
  <si>
    <t>Lack of Segregation of Duties</t>
  </si>
  <si>
    <t>Repeat Finding - Corrective action is not practical</t>
  </si>
  <si>
    <t>in the current economic times.</t>
  </si>
  <si>
    <t>2018-003</t>
  </si>
  <si>
    <t>Expenditures in excess of budget amounts</t>
  </si>
  <si>
    <t>Repeat Finding - Corrective action plans has been</t>
  </si>
  <si>
    <t>implemented the differences between budget and</t>
  </si>
  <si>
    <t>2018-002</t>
  </si>
  <si>
    <t>expenditures has substantially decreased.</t>
  </si>
  <si>
    <t>The District should retain an employee capable of preparing the Financial Statements and required footnotes.</t>
  </si>
  <si>
    <t>No contracts paid within Funciton numbers</t>
  </si>
  <si>
    <t>N/A</t>
  </si>
  <si>
    <t>Page 24, SCHEDULE OF LONG-TERM DEBT</t>
  </si>
  <si>
    <t>$ 203,125 owed at 6/30/19 on contract.</t>
  </si>
  <si>
    <t xml:space="preserve">2018 Installment Contract for purchase of four school buses for $250,000 less principal payment in fy 2019 of $46,875 resultng in net of </t>
  </si>
  <si>
    <t>R O W V A CUSD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</si>
</sst>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54" fillId="0" borderId="0" xfId="3" applyFont="1" applyAlignment="1" applyProtection="1">
      <alignment horizontal="center" vertical="center"/>
    </xf>
    <xf numFmtId="0" fontId="2" fillId="0" borderId="157" xfId="17" applyFont="1" applyBorder="1" applyAlignment="1" applyProtection="1">
      <alignment vertical="top"/>
      <protection locked="0"/>
    </xf>
    <xf numFmtId="0" fontId="57" fillId="0" borderId="78" xfId="0" applyFont="1" applyBorder="1"/>
    <xf numFmtId="6" fontId="57" fillId="0" borderId="0" xfId="0" applyNumberFormat="1"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39" fillId="0" borderId="0" xfId="0"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8" fontId="139" fillId="0" borderId="0" xfId="0"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142875</xdr:rowOff>
        </xdr:from>
        <xdr:to>
          <xdr:col>1</xdr:col>
          <xdr:colOff>942975</xdr:colOff>
          <xdr:row>12</xdr:row>
          <xdr:rowOff>104775</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321E32D0-A076-4AFD-9A95-A5E97A06D886}"/>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F447163-275C-40D2-8918-B08E0D4791A8}"/>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4EB52B1-78B6-4C5B-8C87-FBC9936960A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0A33B4D-DFAC-4A5B-AD3E-C3E2D85CDC0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0" t="s">
        <v>405</v>
      </c>
      <c r="J1" s="1991"/>
      <c r="K1" s="1991"/>
      <c r="L1" s="1991"/>
      <c r="M1" s="1991"/>
      <c r="N1" s="1991"/>
      <c r="O1" s="1991"/>
      <c r="P1" s="1991"/>
      <c r="Q1" s="1991"/>
      <c r="R1" s="1991"/>
      <c r="S1" s="1991"/>
    </row>
    <row r="2" spans="1:28" ht="12" customHeight="1" x14ac:dyDescent="0.2">
      <c r="A2" s="47" t="s">
        <v>1991</v>
      </c>
      <c r="D2" s="48"/>
      <c r="I2" s="1992" t="s">
        <v>979</v>
      </c>
      <c r="J2" s="1991"/>
      <c r="K2" s="1991"/>
      <c r="L2" s="1991"/>
      <c r="M2" s="1991"/>
      <c r="N2" s="1991"/>
      <c r="O2" s="1991"/>
      <c r="P2" s="1991"/>
      <c r="Q2" s="1991"/>
      <c r="R2" s="1991"/>
      <c r="S2" s="1991"/>
    </row>
    <row r="3" spans="1:28" ht="12" customHeight="1" x14ac:dyDescent="0.2">
      <c r="A3" s="155" t="s">
        <v>1943</v>
      </c>
      <c r="B3" s="156"/>
      <c r="C3" s="156"/>
      <c r="D3" s="157"/>
      <c r="I3" s="1992" t="s">
        <v>52</v>
      </c>
      <c r="J3" s="1991"/>
      <c r="K3" s="1991"/>
      <c r="L3" s="1991"/>
      <c r="M3" s="1991"/>
      <c r="N3" s="1991"/>
      <c r="O3" s="1991"/>
      <c r="P3" s="1991"/>
      <c r="Q3" s="1991"/>
      <c r="R3" s="1991"/>
      <c r="S3" s="1991"/>
    </row>
    <row r="4" spans="1:28" ht="12" customHeight="1" x14ac:dyDescent="0.2">
      <c r="A4" s="37"/>
      <c r="I4" s="1992" t="s">
        <v>524</v>
      </c>
      <c r="J4" s="1991"/>
      <c r="K4" s="1991"/>
      <c r="L4" s="1991"/>
      <c r="M4" s="1991"/>
      <c r="N4" s="1991"/>
      <c r="O4" s="1991"/>
      <c r="P4" s="1991"/>
      <c r="Q4" s="1991"/>
      <c r="R4" s="1991"/>
      <c r="S4" s="1991"/>
    </row>
    <row r="5" spans="1:28" ht="14.1" customHeight="1" x14ac:dyDescent="0.2">
      <c r="B5" s="104" t="s">
        <v>2065</v>
      </c>
      <c r="C5" s="26" t="s">
        <v>910</v>
      </c>
      <c r="D5" s="84"/>
      <c r="E5" s="84"/>
      <c r="H5" s="38"/>
      <c r="I5" s="2000" t="s">
        <v>680</v>
      </c>
      <c r="J5" s="1999"/>
      <c r="K5" s="1999"/>
      <c r="L5" s="1999"/>
      <c r="M5" s="1999"/>
      <c r="N5" s="1999"/>
      <c r="O5" s="1999"/>
      <c r="P5" s="1999"/>
      <c r="Q5" s="1999"/>
      <c r="R5" s="1999"/>
      <c r="S5" s="1999"/>
    </row>
    <row r="6" spans="1:28" ht="14.1" customHeight="1" x14ac:dyDescent="0.2">
      <c r="B6" s="104"/>
      <c r="C6" s="26" t="s">
        <v>911</v>
      </c>
      <c r="D6" s="84"/>
      <c r="E6" s="84"/>
      <c r="I6" s="1998" t="s">
        <v>883</v>
      </c>
      <c r="J6" s="1999"/>
      <c r="K6" s="1999"/>
      <c r="L6" s="1999"/>
      <c r="M6" s="1999"/>
      <c r="N6" s="1999"/>
      <c r="O6" s="1999"/>
      <c r="P6" s="1999"/>
      <c r="Q6" s="1999"/>
      <c r="R6" s="1999"/>
      <c r="S6" s="1999"/>
    </row>
    <row r="7" spans="1:28" ht="12.2" customHeight="1" x14ac:dyDescent="0.2">
      <c r="I7" s="1993">
        <v>43646</v>
      </c>
      <c r="J7" s="1994"/>
      <c r="K7" s="1994"/>
      <c r="L7" s="1994"/>
      <c r="M7" s="1994"/>
      <c r="N7" s="1994"/>
      <c r="O7" s="1994"/>
      <c r="P7" s="1994"/>
      <c r="Q7" s="1994"/>
      <c r="R7" s="1994"/>
      <c r="S7" s="199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674</v>
      </c>
      <c r="J9" s="1996"/>
      <c r="K9" s="1996"/>
      <c r="L9" s="1996"/>
      <c r="M9" s="1996"/>
      <c r="N9" s="1996"/>
      <c r="O9" s="1996"/>
      <c r="P9" s="1996"/>
      <c r="Q9" s="1996"/>
      <c r="R9" s="1996"/>
      <c r="S9" s="1997"/>
      <c r="T9" s="2011" t="s">
        <v>533</v>
      </c>
      <c r="U9" s="2012"/>
      <c r="V9" s="2012"/>
      <c r="W9" s="2012"/>
      <c r="X9" s="2012"/>
      <c r="Y9" s="2012"/>
      <c r="Z9" s="2012"/>
      <c r="AA9" s="2013"/>
    </row>
    <row r="10" spans="1:28" ht="13.5" customHeight="1" x14ac:dyDescent="0.2">
      <c r="A10" s="2018" t="s">
        <v>675</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955</v>
      </c>
      <c r="B11" s="2022"/>
      <c r="C11" s="2022"/>
      <c r="D11" s="2022"/>
      <c r="E11" s="2022"/>
      <c r="F11" s="2022"/>
      <c r="G11" s="2022"/>
      <c r="H11" s="2023"/>
      <c r="I11" s="27"/>
      <c r="J11" s="74"/>
      <c r="K11" s="27"/>
      <c r="O11" s="148" t="s">
        <v>2065</v>
      </c>
      <c r="P11" s="100" t="s">
        <v>201</v>
      </c>
      <c r="Q11" s="30"/>
      <c r="R11" s="28"/>
      <c r="S11" s="27"/>
      <c r="T11" s="2015"/>
      <c r="U11" s="2016"/>
      <c r="V11" s="2016"/>
      <c r="W11" s="2016"/>
      <c r="X11" s="2016"/>
      <c r="Y11" s="2016"/>
      <c r="Z11" s="2016"/>
      <c r="AA11" s="201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5">
        <v>33048208026</v>
      </c>
      <c r="B13" s="2026"/>
      <c r="C13" s="2026"/>
      <c r="D13" s="2026"/>
      <c r="E13" s="2026"/>
      <c r="F13" s="2026"/>
      <c r="G13" s="2026"/>
      <c r="H13" s="2027"/>
      <c r="I13" s="31"/>
      <c r="J13" s="30"/>
      <c r="K13" s="28"/>
      <c r="L13" s="30"/>
      <c r="M13" s="30"/>
      <c r="N13" s="30"/>
      <c r="O13" s="30"/>
      <c r="P13" s="30"/>
      <c r="Q13" s="30"/>
      <c r="R13" s="30"/>
      <c r="S13" s="30"/>
      <c r="T13" s="2030" t="s">
        <v>2074</v>
      </c>
      <c r="U13" s="2031"/>
      <c r="V13" s="2031"/>
      <c r="W13" s="2031"/>
      <c r="X13" s="2031"/>
      <c r="Y13" s="2032"/>
      <c r="Z13" s="2032"/>
      <c r="AA13" s="203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4" t="s">
        <v>2066</v>
      </c>
      <c r="B15" s="2028"/>
      <c r="C15" s="2028"/>
      <c r="D15" s="2028"/>
      <c r="E15" s="2028"/>
      <c r="F15" s="2028"/>
      <c r="G15" s="2028"/>
      <c r="H15" s="2029"/>
      <c r="T15" s="2034" t="s">
        <v>2075</v>
      </c>
      <c r="U15" s="1978"/>
      <c r="V15" s="1978"/>
      <c r="W15" s="1978"/>
      <c r="X15" s="1978"/>
      <c r="Y15" s="2035"/>
      <c r="Z15" s="2035"/>
      <c r="AA15" s="203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4" t="s">
        <v>2150</v>
      </c>
      <c r="B17" s="1985"/>
      <c r="C17" s="1985"/>
      <c r="D17" s="1985"/>
      <c r="E17" s="1985"/>
      <c r="F17" s="1985"/>
      <c r="G17" s="1985"/>
      <c r="H17" s="2010"/>
      <c r="T17" s="2041" t="s">
        <v>2076</v>
      </c>
      <c r="U17" s="2042"/>
      <c r="V17" s="2042"/>
      <c r="W17" s="2042"/>
      <c r="X17" s="2042"/>
      <c r="Y17" s="2042"/>
      <c r="Z17" s="2042"/>
      <c r="AA17" s="2043"/>
    </row>
    <row r="18" spans="1:27" ht="13.5" customHeight="1" x14ac:dyDescent="0.2">
      <c r="A18" s="85" t="s">
        <v>530</v>
      </c>
      <c r="B18" s="76"/>
      <c r="C18" s="72"/>
      <c r="D18" s="76"/>
      <c r="E18" s="76"/>
      <c r="F18" s="76"/>
      <c r="G18" s="76"/>
      <c r="H18" s="56"/>
      <c r="I18" s="2009" t="s">
        <v>676</v>
      </c>
      <c r="J18" s="1960"/>
      <c r="K18" s="1960"/>
      <c r="L18" s="1960"/>
      <c r="M18" s="1960"/>
      <c r="N18" s="1960"/>
      <c r="O18" s="1960"/>
      <c r="P18" s="1960"/>
      <c r="Q18" s="1960"/>
      <c r="R18" s="1960"/>
      <c r="S18" s="1961"/>
      <c r="T18" s="85" t="s">
        <v>711</v>
      </c>
      <c r="U18" s="51"/>
      <c r="V18" s="72"/>
      <c r="W18" s="50"/>
      <c r="X18" s="85" t="s">
        <v>266</v>
      </c>
      <c r="Y18" s="81"/>
      <c r="Z18" s="159" t="s">
        <v>677</v>
      </c>
      <c r="AA18" s="46"/>
    </row>
    <row r="19" spans="1:27" ht="13.5" customHeight="1" x14ac:dyDescent="0.2">
      <c r="A19" s="2024" t="s">
        <v>2067</v>
      </c>
      <c r="B19" s="1970"/>
      <c r="C19" s="1970"/>
      <c r="D19" s="1970"/>
      <c r="E19" s="1970"/>
      <c r="F19" s="1970"/>
      <c r="G19" s="1970"/>
      <c r="H19" s="1950"/>
      <c r="I19" s="30"/>
      <c r="J19" s="99"/>
      <c r="K19" s="40"/>
      <c r="L19" s="38"/>
      <c r="M19" s="112" t="s">
        <v>315</v>
      </c>
      <c r="P19" s="27"/>
      <c r="Q19" s="27"/>
      <c r="R19" s="27"/>
      <c r="S19" s="31"/>
      <c r="T19" s="2024" t="s">
        <v>2077</v>
      </c>
      <c r="U19" s="1949"/>
      <c r="V19" s="1949"/>
      <c r="W19" s="1950"/>
      <c r="X19" s="2039" t="s">
        <v>2078</v>
      </c>
      <c r="Y19" s="2040"/>
      <c r="Z19" s="2037">
        <v>61401</v>
      </c>
      <c r="AA19" s="203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8" t="s">
        <v>2068</v>
      </c>
      <c r="B21" s="1949"/>
      <c r="C21" s="1949"/>
      <c r="D21" s="1949"/>
      <c r="E21" s="1949"/>
      <c r="F21" s="1949"/>
      <c r="G21" s="1949"/>
      <c r="H21" s="1950"/>
      <c r="I21" s="2004" t="s">
        <v>678</v>
      </c>
      <c r="J21" s="1999"/>
      <c r="K21" s="1999"/>
      <c r="L21" s="1999"/>
      <c r="M21" s="1999"/>
      <c r="N21" s="1999"/>
      <c r="O21" s="1999"/>
      <c r="P21" s="1999"/>
      <c r="Q21" s="1999"/>
      <c r="R21" s="1999"/>
      <c r="S21" s="2005"/>
      <c r="T21" s="2048" t="s">
        <v>2079</v>
      </c>
      <c r="U21" s="2049"/>
      <c r="V21" s="2049"/>
      <c r="W21" s="2049"/>
      <c r="X21" s="2054" t="s">
        <v>2080</v>
      </c>
      <c r="Y21" s="2055"/>
      <c r="Z21" s="2055"/>
      <c r="AA21" s="2056"/>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1" t="s">
        <v>2069</v>
      </c>
      <c r="B23" s="2002"/>
      <c r="C23" s="2002"/>
      <c r="D23" s="2002"/>
      <c r="E23" s="2002"/>
      <c r="F23" s="2002"/>
      <c r="G23" s="2002"/>
      <c r="H23" s="2003"/>
      <c r="T23" s="1984" t="s">
        <v>2081</v>
      </c>
      <c r="U23" s="2047"/>
      <c r="V23" s="2047"/>
      <c r="W23" s="2047"/>
      <c r="X23" s="2051">
        <v>44469</v>
      </c>
      <c r="Y23" s="2052"/>
      <c r="Z23" s="2052"/>
      <c r="AA23" s="2053"/>
    </row>
    <row r="24" spans="1:27" ht="14.1" customHeight="1" x14ac:dyDescent="0.2">
      <c r="A24" s="88" t="s">
        <v>677</v>
      </c>
      <c r="B24" s="49"/>
      <c r="C24" s="49"/>
      <c r="D24" s="49"/>
      <c r="E24" s="49"/>
      <c r="F24" s="49"/>
      <c r="G24" s="49"/>
      <c r="H24" s="61"/>
      <c r="J24" s="1971">
        <f>IF(B5="x",IF(AUDITCHECK!D29="AFR form Incomplete.","",IF(AUDITCHECK!D29="Deficit reduction plan is required.","School District must complete a deficit reduction plan in the 2019-2020 Budget",)),"")</f>
        <v>0</v>
      </c>
      <c r="K24" s="1971"/>
      <c r="L24" s="1971"/>
      <c r="M24" s="1971"/>
      <c r="N24" s="1971"/>
      <c r="O24" s="1971"/>
      <c r="P24" s="1971"/>
      <c r="Q24" s="1971"/>
      <c r="R24" s="1971"/>
      <c r="S24" s="1972"/>
      <c r="T24" s="105" t="s">
        <v>531</v>
      </c>
      <c r="U24" s="106"/>
      <c r="V24" s="106"/>
      <c r="W24" s="106"/>
      <c r="X24" s="107"/>
      <c r="Y24" s="107"/>
      <c r="Z24" s="107"/>
      <c r="AA24" s="108"/>
    </row>
    <row r="25" spans="1:27" ht="14.1" customHeight="1" x14ac:dyDescent="0.2">
      <c r="A25" s="1948">
        <v>61467</v>
      </c>
      <c r="B25" s="1949"/>
      <c r="C25" s="1949"/>
      <c r="D25" s="1949"/>
      <c r="E25" s="1949"/>
      <c r="F25" s="1949"/>
      <c r="G25" s="1949"/>
      <c r="H25" s="1950"/>
      <c r="I25" s="113"/>
      <c r="J25" s="1973"/>
      <c r="K25" s="1973"/>
      <c r="L25" s="1973"/>
      <c r="M25" s="1973"/>
      <c r="N25" s="1973"/>
      <c r="O25" s="1973"/>
      <c r="P25" s="1973"/>
      <c r="Q25" s="1973"/>
      <c r="R25" s="1973"/>
      <c r="S25" s="1974"/>
      <c r="T25" s="2044" t="s">
        <v>2082</v>
      </c>
      <c r="U25" s="2045"/>
      <c r="V25" s="2045"/>
      <c r="W25" s="2045"/>
      <c r="X25" s="2045"/>
      <c r="Y25" s="2045"/>
      <c r="Z25" s="2045"/>
      <c r="AA25" s="20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9" t="s">
        <v>1511</v>
      </c>
      <c r="J27" s="1960"/>
      <c r="K27" s="1960"/>
      <c r="L27" s="1960"/>
      <c r="M27" s="1960"/>
      <c r="N27" s="1960"/>
      <c r="O27" s="1960"/>
      <c r="P27" s="1960"/>
      <c r="Q27" s="1960"/>
      <c r="R27" s="1960"/>
      <c r="S27" s="196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0"/>
      <c r="Q35" s="1949"/>
      <c r="R35" s="194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4" t="s">
        <v>2070</v>
      </c>
      <c r="B38" s="1985"/>
      <c r="C38" s="1985"/>
      <c r="D38" s="1985"/>
      <c r="E38" s="1985"/>
      <c r="F38" s="1949"/>
      <c r="G38" s="1949"/>
      <c r="H38" s="1950"/>
      <c r="I38" s="1977"/>
      <c r="J38" s="1978"/>
      <c r="K38" s="1978"/>
      <c r="L38" s="1978"/>
      <c r="M38" s="1978"/>
      <c r="N38" s="1978"/>
      <c r="O38" s="1978"/>
      <c r="P38" s="1979"/>
      <c r="Q38" s="1979"/>
      <c r="R38" s="1979"/>
      <c r="S38" s="1980"/>
      <c r="T38" s="2034" t="s">
        <v>2083</v>
      </c>
      <c r="U38" s="1978"/>
      <c r="V38" s="1978"/>
      <c r="W38" s="1978"/>
      <c r="X38" s="1979"/>
      <c r="Y38" s="1979"/>
      <c r="Z38" s="1979"/>
      <c r="AA38" s="1980"/>
    </row>
    <row r="39" spans="1:27" ht="12" customHeight="1" x14ac:dyDescent="0.2">
      <c r="A39" s="1954" t="s">
        <v>531</v>
      </c>
      <c r="B39" s="1955"/>
      <c r="C39" s="72"/>
      <c r="D39" s="69"/>
      <c r="E39" s="69"/>
      <c r="F39" s="79"/>
      <c r="G39" s="69"/>
      <c r="H39" s="56"/>
      <c r="I39" s="1954" t="s">
        <v>531</v>
      </c>
      <c r="J39" s="1955"/>
      <c r="K39" s="1955"/>
      <c r="L39" s="1955"/>
      <c r="M39" s="1955"/>
      <c r="N39" s="67"/>
      <c r="O39" s="72"/>
      <c r="P39" s="72"/>
      <c r="Q39" s="78"/>
      <c r="R39" s="72"/>
      <c r="S39" s="56"/>
      <c r="T39" s="72" t="s">
        <v>531</v>
      </c>
      <c r="U39" s="51"/>
      <c r="V39" s="72"/>
      <c r="W39" s="50"/>
      <c r="X39" s="78"/>
      <c r="Y39" s="45"/>
      <c r="Z39" s="45"/>
      <c r="AA39" s="46"/>
    </row>
    <row r="40" spans="1:27" ht="13.5" customHeight="1" x14ac:dyDescent="0.2">
      <c r="A40" s="1962" t="s">
        <v>2071</v>
      </c>
      <c r="B40" s="1963"/>
      <c r="C40" s="1964"/>
      <c r="D40" s="1964"/>
      <c r="E40" s="1964"/>
      <c r="F40" s="1965"/>
      <c r="G40" s="1965"/>
      <c r="H40" s="1966"/>
      <c r="I40" s="1987"/>
      <c r="J40" s="1988"/>
      <c r="K40" s="1988"/>
      <c r="L40" s="1988"/>
      <c r="M40" s="1988"/>
      <c r="N40" s="1988"/>
      <c r="O40" s="1988"/>
      <c r="P40" s="1988"/>
      <c r="Q40" s="1988"/>
      <c r="R40" s="1988"/>
      <c r="S40" s="1989"/>
      <c r="T40" s="1987" t="s">
        <v>2084</v>
      </c>
      <c r="U40" s="2050"/>
      <c r="V40" s="1988"/>
      <c r="W40" s="1988"/>
      <c r="X40" s="1988"/>
      <c r="Y40" s="1988"/>
      <c r="Z40" s="1988"/>
      <c r="AA40" s="198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6" t="s">
        <v>2072</v>
      </c>
      <c r="B42" s="1968"/>
      <c r="C42" s="1969"/>
      <c r="D42" s="1967" t="s">
        <v>2073</v>
      </c>
      <c r="E42" s="1968"/>
      <c r="F42" s="1968"/>
      <c r="G42" s="1968"/>
      <c r="H42" s="1969"/>
      <c r="I42" s="1951"/>
      <c r="J42" s="1952"/>
      <c r="K42" s="1952"/>
      <c r="L42" s="1952"/>
      <c r="M42" s="1952"/>
      <c r="N42" s="1952"/>
      <c r="O42" s="1953"/>
      <c r="P42" s="1986"/>
      <c r="Q42" s="1952"/>
      <c r="R42" s="1952"/>
      <c r="S42" s="1953"/>
      <c r="T42" s="1951" t="s">
        <v>2085</v>
      </c>
      <c r="U42" s="1952"/>
      <c r="V42" s="1952"/>
      <c r="W42" s="1953"/>
      <c r="X42" s="1986" t="s">
        <v>2086</v>
      </c>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1802</v>
      </c>
      <c r="B2" s="1528" t="s">
        <v>1949</v>
      </c>
      <c r="C2" s="714" t="s">
        <v>1950</v>
      </c>
      <c r="D2" s="714" t="s">
        <v>1951</v>
      </c>
      <c r="E2" s="714" t="s">
        <v>1952</v>
      </c>
      <c r="F2" s="714" t="s">
        <v>1953</v>
      </c>
    </row>
    <row r="3" spans="1:6" ht="12" customHeight="1" x14ac:dyDescent="0.2">
      <c r="A3" s="2191"/>
      <c r="B3" s="1525"/>
      <c r="C3" s="1526"/>
      <c r="D3" s="1527" t="s">
        <v>256</v>
      </c>
      <c r="E3" s="1526"/>
      <c r="F3" s="1527" t="s">
        <v>257</v>
      </c>
    </row>
    <row r="4" spans="1:6" ht="13.7" customHeight="1" x14ac:dyDescent="0.2">
      <c r="A4" s="715" t="s">
        <v>1155</v>
      </c>
      <c r="B4" s="1749">
        <f>'Revenues 9-14'!C5</f>
        <v>2539403</v>
      </c>
      <c r="C4" s="1524">
        <v>0</v>
      </c>
      <c r="D4" s="1752">
        <f>B4-C4</f>
        <v>2539403</v>
      </c>
      <c r="E4" s="1524">
        <v>2951222</v>
      </c>
      <c r="F4" s="1752">
        <f>E4-C4</f>
        <v>2951222</v>
      </c>
    </row>
    <row r="5" spans="1:6" ht="13.7" customHeight="1" x14ac:dyDescent="0.2">
      <c r="A5" s="715" t="s">
        <v>870</v>
      </c>
      <c r="B5" s="1750">
        <f>'Revenues 9-14'!D5</f>
        <v>396785</v>
      </c>
      <c r="C5" s="585">
        <v>0</v>
      </c>
      <c r="D5" s="1753">
        <f t="shared" ref="D5:D18" si="0">B5-C5</f>
        <v>396785</v>
      </c>
      <c r="E5" s="585">
        <v>461128</v>
      </c>
      <c r="F5" s="1753">
        <f>E5-C5</f>
        <v>461128</v>
      </c>
    </row>
    <row r="6" spans="1:6" ht="13.7" customHeight="1" x14ac:dyDescent="0.2">
      <c r="A6" s="715" t="s">
        <v>411</v>
      </c>
      <c r="B6" s="1750">
        <f>'Revenues 9-14'!E5</f>
        <v>322663</v>
      </c>
      <c r="C6" s="585">
        <v>0</v>
      </c>
      <c r="D6" s="1753">
        <f t="shared" si="0"/>
        <v>322663</v>
      </c>
      <c r="E6" s="585">
        <v>371006</v>
      </c>
      <c r="F6" s="1753">
        <f t="shared" ref="F6:F18" si="1">E6-C6</f>
        <v>371006</v>
      </c>
    </row>
    <row r="7" spans="1:6" ht="13.7" customHeight="1" x14ac:dyDescent="0.2">
      <c r="A7" s="715" t="s">
        <v>155</v>
      </c>
      <c r="B7" s="1750">
        <f>'Revenues 9-14'!F5</f>
        <v>158714</v>
      </c>
      <c r="C7" s="585">
        <v>0</v>
      </c>
      <c r="D7" s="1753">
        <f t="shared" si="0"/>
        <v>158714</v>
      </c>
      <c r="E7" s="585">
        <v>184451</v>
      </c>
      <c r="F7" s="1753">
        <f t="shared" si="1"/>
        <v>184451</v>
      </c>
    </row>
    <row r="8" spans="1:6" ht="13.7" customHeight="1" x14ac:dyDescent="0.2">
      <c r="A8" s="715" t="s">
        <v>1179</v>
      </c>
      <c r="B8" s="1750">
        <f>'Revenues 9-14'!G5</f>
        <v>86580</v>
      </c>
      <c r="C8" s="585">
        <v>0</v>
      </c>
      <c r="D8" s="1753">
        <f t="shared" si="0"/>
        <v>86580</v>
      </c>
      <c r="E8" s="585">
        <v>100000</v>
      </c>
      <c r="F8" s="1753">
        <f t="shared" si="1"/>
        <v>100000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39678</v>
      </c>
      <c r="C10" s="585">
        <v>0</v>
      </c>
      <c r="D10" s="1753">
        <f t="shared" si="0"/>
        <v>39678</v>
      </c>
      <c r="E10" s="585">
        <v>46113</v>
      </c>
      <c r="F10" s="1753">
        <f t="shared" si="1"/>
        <v>46113</v>
      </c>
    </row>
    <row r="11" spans="1:6" x14ac:dyDescent="0.2">
      <c r="A11" s="715" t="s">
        <v>409</v>
      </c>
      <c r="B11" s="1750">
        <f>'Revenues 9-14'!J5</f>
        <v>209748</v>
      </c>
      <c r="C11" s="585">
        <v>0</v>
      </c>
      <c r="D11" s="1753">
        <f t="shared" si="0"/>
        <v>209748</v>
      </c>
      <c r="E11" s="585">
        <v>240008</v>
      </c>
      <c r="F11" s="1753">
        <f t="shared" si="1"/>
        <v>240008</v>
      </c>
    </row>
    <row r="12" spans="1:6" ht="13.7" customHeight="1" x14ac:dyDescent="0.2">
      <c r="A12" s="715" t="s">
        <v>157</v>
      </c>
      <c r="B12" s="1750">
        <f>'Revenues 9-14'!K5</f>
        <v>39678</v>
      </c>
      <c r="C12" s="585">
        <v>0</v>
      </c>
      <c r="D12" s="1753">
        <f t="shared" si="0"/>
        <v>39678</v>
      </c>
      <c r="E12" s="585">
        <v>46113</v>
      </c>
      <c r="F12" s="1753">
        <f t="shared" si="1"/>
        <v>46113</v>
      </c>
    </row>
    <row r="13" spans="1:6" ht="13.7" customHeight="1" x14ac:dyDescent="0.2">
      <c r="A13" s="715" t="s">
        <v>936</v>
      </c>
      <c r="B13" s="1750">
        <f>SUM('Revenues 9-14'!C6:D6)</f>
        <v>39678</v>
      </c>
      <c r="C13" s="585">
        <v>0</v>
      </c>
      <c r="D13" s="1753">
        <f t="shared" si="0"/>
        <v>39678</v>
      </c>
      <c r="E13" s="585">
        <v>46113</v>
      </c>
      <c r="F13" s="1753">
        <f t="shared" si="1"/>
        <v>46113</v>
      </c>
    </row>
    <row r="14" spans="1:6" ht="13.7" customHeight="1" x14ac:dyDescent="0.2">
      <c r="A14" s="715" t="s">
        <v>410</v>
      </c>
      <c r="B14" s="1750">
        <f>SUM('Revenues 9-14'!C7:D7,'Revenues 9-14'!F7:H7)</f>
        <v>31744</v>
      </c>
      <c r="C14" s="585">
        <v>0</v>
      </c>
      <c r="D14" s="1753">
        <f t="shared" si="0"/>
        <v>31744</v>
      </c>
      <c r="E14" s="585">
        <v>36890</v>
      </c>
      <c r="F14" s="1753">
        <f t="shared" si="1"/>
        <v>36890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86580</v>
      </c>
      <c r="C16" s="585">
        <v>0</v>
      </c>
      <c r="D16" s="1753">
        <f t="shared" si="0"/>
        <v>86580</v>
      </c>
      <c r="E16" s="585">
        <v>100000</v>
      </c>
      <c r="F16" s="1753">
        <f t="shared" si="1"/>
        <v>100000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3951251</v>
      </c>
      <c r="C19" s="1751">
        <f>SUM(C4:C18)</f>
        <v>0</v>
      </c>
      <c r="D19" s="1751">
        <f>SUM(D4:D18)</f>
        <v>3951251</v>
      </c>
      <c r="E19" s="1751">
        <f>SUM(E4:E18)</f>
        <v>4583044</v>
      </c>
      <c r="F19" s="1751">
        <f>SUM(F4:F18)</f>
        <v>4583044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E7" sqref="E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21"/>
    </row>
    <row r="2" spans="1:7" ht="33.75" x14ac:dyDescent="0.2">
      <c r="A2" s="2217" t="s">
        <v>1802</v>
      </c>
      <c r="B2" s="2218"/>
      <c r="C2" s="1884" t="s">
        <v>1954</v>
      </c>
      <c r="D2" s="723" t="s">
        <v>1955</v>
      </c>
      <c r="E2" s="723" t="s">
        <v>1956</v>
      </c>
      <c r="F2" s="1884" t="s">
        <v>1957</v>
      </c>
    </row>
    <row r="3" spans="1:7" ht="15.75" customHeight="1" x14ac:dyDescent="0.2">
      <c r="A3" s="2219" t="s">
        <v>1114</v>
      </c>
      <c r="B3" s="2220"/>
      <c r="C3" s="2213"/>
      <c r="D3" s="2214"/>
      <c r="E3" s="2214"/>
      <c r="F3" s="2215"/>
    </row>
    <row r="4" spans="1:7" ht="12.75" customHeight="1" thickBot="1" x14ac:dyDescent="0.25">
      <c r="A4" s="2207" t="s">
        <v>630</v>
      </c>
      <c r="B4" s="2208"/>
      <c r="C4" s="581"/>
      <c r="D4" s="581"/>
      <c r="E4" s="581"/>
      <c r="F4" s="1755">
        <f>SUM(C4+D4)-E4</f>
        <v>0</v>
      </c>
    </row>
    <row r="5" spans="1:7" ht="15.75" customHeight="1" thickTop="1" x14ac:dyDescent="0.2">
      <c r="A5" s="2211" t="s">
        <v>1110</v>
      </c>
      <c r="B5" s="2206"/>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3" t="s">
        <v>631</v>
      </c>
      <c r="B15" s="2204"/>
      <c r="C15" s="1755">
        <f>SUM(C6:C14)</f>
        <v>0</v>
      </c>
      <c r="D15" s="1755">
        <f>SUM(D6:D14)</f>
        <v>0</v>
      </c>
      <c r="E15" s="1755">
        <f>SUM(E6:E14)</f>
        <v>0</v>
      </c>
      <c r="F15" s="1755">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6"/>
      <c r="D17" s="585"/>
      <c r="E17" s="726"/>
      <c r="F17" s="1755">
        <f>SUM(C17+D17)-E17</f>
        <v>0</v>
      </c>
    </row>
    <row r="18" spans="1:11" ht="12.75" customHeight="1" thickTop="1" thickBot="1" x14ac:dyDescent="0.25">
      <c r="A18" s="2198" t="s">
        <v>6</v>
      </c>
      <c r="B18" s="2199"/>
      <c r="C18" s="726"/>
      <c r="D18" s="585"/>
      <c r="E18" s="726"/>
      <c r="F18" s="1755">
        <f>SUM(C18+D18)-E18</f>
        <v>0</v>
      </c>
    </row>
    <row r="19" spans="1:11" ht="12.75" customHeight="1" thickTop="1" thickBot="1" x14ac:dyDescent="0.25">
      <c r="A19" s="2198" t="s">
        <v>388</v>
      </c>
      <c r="B19" s="2199"/>
      <c r="C19" s="726"/>
      <c r="D19" s="585"/>
      <c r="E19" s="726"/>
      <c r="F19" s="1755">
        <f>SUM(C19+D19)-E19</f>
        <v>0</v>
      </c>
    </row>
    <row r="20" spans="1:11" ht="12.75" customHeight="1" thickTop="1" thickBot="1" x14ac:dyDescent="0.25">
      <c r="A20" s="2198" t="s">
        <v>448</v>
      </c>
      <c r="B20" s="2199"/>
      <c r="C20" s="726"/>
      <c r="D20" s="585"/>
      <c r="E20" s="726"/>
      <c r="F20" s="1755">
        <f>SUM(C20+D20)-E20</f>
        <v>0</v>
      </c>
    </row>
    <row r="21" spans="1:11" ht="14.25" thickTop="1" thickBot="1" x14ac:dyDescent="0.25">
      <c r="A21" s="2203" t="s">
        <v>632</v>
      </c>
      <c r="B21" s="2204"/>
      <c r="C21" s="1755">
        <f>SUM(C17:C20)</f>
        <v>0</v>
      </c>
      <c r="D21" s="1755">
        <f>SUM(D17:D20)</f>
        <v>0</v>
      </c>
      <c r="E21" s="1755">
        <f>SUM(E17:E20)</f>
        <v>0</v>
      </c>
      <c r="F21" s="1755">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1"/>
      <c r="D23" s="581"/>
      <c r="E23" s="581"/>
      <c r="F23" s="1755">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1"/>
      <c r="D25" s="581"/>
      <c r="E25" s="581"/>
      <c r="F25" s="1755">
        <f>SUM(C25+D25)-E25</f>
        <v>0</v>
      </c>
      <c r="G25" s="552"/>
    </row>
    <row r="26" spans="1:11" ht="15.75" customHeight="1" thickTop="1" x14ac:dyDescent="0.2">
      <c r="A26" s="2211" t="s">
        <v>657</v>
      </c>
      <c r="B26" s="2206"/>
      <c r="C26" s="727"/>
      <c r="D26" s="727"/>
      <c r="E26" s="727"/>
      <c r="F26" s="728"/>
    </row>
    <row r="27" spans="1:11" ht="13.5" thickBot="1" x14ac:dyDescent="0.25">
      <c r="A27" s="2203" t="s">
        <v>1070</v>
      </c>
      <c r="B27" s="2204"/>
      <c r="C27" s="585"/>
      <c r="D27" s="585"/>
      <c r="E27" s="585"/>
      <c r="F27" s="1755">
        <f>SUM(C27+D27)-E27</f>
        <v>0</v>
      </c>
      <c r="G27" s="552"/>
    </row>
    <row r="28" spans="1:11" ht="7.5" customHeight="1" thickTop="1" x14ac:dyDescent="0.2">
      <c r="A28" s="593"/>
    </row>
    <row r="29" spans="1:11" ht="23.25" customHeight="1" x14ac:dyDescent="0.2">
      <c r="A29" s="2209" t="s">
        <v>582</v>
      </c>
      <c r="B29" s="221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2089</v>
      </c>
      <c r="B31" s="733">
        <v>41244</v>
      </c>
      <c r="C31" s="734">
        <v>8375000</v>
      </c>
      <c r="D31" s="735">
        <v>4</v>
      </c>
      <c r="E31" s="734">
        <v>7445000</v>
      </c>
      <c r="F31" s="734"/>
      <c r="G31" s="734"/>
      <c r="H31" s="734">
        <v>280000</v>
      </c>
      <c r="I31" s="1756">
        <f>((E31+F31)-H31)+G31</f>
        <v>7165000</v>
      </c>
      <c r="J31" s="734">
        <v>6647409</v>
      </c>
      <c r="K31" s="736"/>
    </row>
    <row r="32" spans="1:11" ht="12" customHeight="1" x14ac:dyDescent="0.2">
      <c r="A32" s="732" t="s">
        <v>2090</v>
      </c>
      <c r="B32" s="733">
        <v>43683</v>
      </c>
      <c r="C32" s="734">
        <v>250000</v>
      </c>
      <c r="D32" s="735">
        <v>7</v>
      </c>
      <c r="E32" s="734"/>
      <c r="F32" s="734"/>
      <c r="G32" s="734">
        <v>203125</v>
      </c>
      <c r="H32" s="734"/>
      <c r="I32" s="1756">
        <f>((E32+F32)-H32)+G32</f>
        <v>203125</v>
      </c>
      <c r="J32" s="734">
        <v>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8625000</v>
      </c>
      <c r="D49" s="745"/>
      <c r="E49" s="1756">
        <f t="shared" ref="E49:J49" si="2">SUM(E31:E48)</f>
        <v>7445000</v>
      </c>
      <c r="F49" s="1756">
        <f t="shared" si="2"/>
        <v>0</v>
      </c>
      <c r="G49" s="1756">
        <f t="shared" si="2"/>
        <v>203125</v>
      </c>
      <c r="H49" s="1756">
        <f t="shared" si="2"/>
        <v>280000</v>
      </c>
      <c r="I49" s="1756">
        <f t="shared" si="2"/>
        <v>7368125</v>
      </c>
      <c r="J49" s="1756">
        <f t="shared" si="2"/>
        <v>6647409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2" t="s">
        <v>584</v>
      </c>
      <c r="C52" s="2193"/>
      <c r="D52" s="2193"/>
      <c r="E52" s="749" t="s">
        <v>845</v>
      </c>
      <c r="F52" s="2194" t="s">
        <v>2091</v>
      </c>
      <c r="G52" s="2195"/>
      <c r="H52" s="736"/>
      <c r="I52" s="736"/>
      <c r="J52" s="746"/>
    </row>
    <row r="53" spans="1:11" ht="11.25" customHeight="1" x14ac:dyDescent="0.2">
      <c r="A53" s="750" t="s">
        <v>913</v>
      </c>
      <c r="B53" s="751" t="s">
        <v>951</v>
      </c>
      <c r="C53" s="746"/>
      <c r="D53" s="737"/>
      <c r="E53" s="749" t="s">
        <v>497</v>
      </c>
      <c r="F53" s="2196"/>
      <c r="G53" s="2197"/>
      <c r="H53" s="736"/>
      <c r="I53" s="736"/>
      <c r="J53" s="746"/>
    </row>
    <row r="54" spans="1:11" ht="11.25" customHeight="1" x14ac:dyDescent="0.2">
      <c r="A54" s="752" t="s">
        <v>914</v>
      </c>
      <c r="B54" s="747" t="s">
        <v>952</v>
      </c>
      <c r="C54" s="746"/>
      <c r="D54" s="737"/>
      <c r="E54" s="749" t="s">
        <v>498</v>
      </c>
      <c r="F54" s="2196"/>
      <c r="G54" s="21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E7" sqref="E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30"/>
      <c r="I1" s="760"/>
      <c r="J1" s="433"/>
    </row>
    <row r="2" spans="1:11" ht="26.25" x14ac:dyDescent="0.2">
      <c r="A2" s="2240" t="s">
        <v>1677</v>
      </c>
      <c r="B2" s="2241"/>
      <c r="C2" s="2241"/>
      <c r="D2" s="2241"/>
      <c r="E2" s="2242"/>
      <c r="F2" s="761" t="s">
        <v>904</v>
      </c>
      <c r="G2" s="762" t="s">
        <v>1674</v>
      </c>
      <c r="H2" s="762" t="s">
        <v>410</v>
      </c>
      <c r="I2" s="762" t="s">
        <v>1158</v>
      </c>
      <c r="J2" s="762" t="s">
        <v>1812</v>
      </c>
      <c r="K2" s="762" t="s">
        <v>138</v>
      </c>
    </row>
    <row r="3" spans="1:11" x14ac:dyDescent="0.2">
      <c r="A3" s="2243" t="s">
        <v>1962</v>
      </c>
      <c r="B3" s="2244"/>
      <c r="C3" s="2244"/>
      <c r="D3" s="2244"/>
      <c r="E3" s="2245"/>
      <c r="F3" s="763"/>
      <c r="G3" s="764"/>
      <c r="H3" s="764"/>
      <c r="I3" s="764"/>
      <c r="J3" s="765"/>
      <c r="K3" s="765"/>
    </row>
    <row r="4" spans="1:11" x14ac:dyDescent="0.2">
      <c r="A4" s="2246" t="s">
        <v>369</v>
      </c>
      <c r="B4" s="2247"/>
      <c r="C4" s="2247"/>
      <c r="D4" s="2247"/>
      <c r="E4" s="2193"/>
      <c r="F4" s="766"/>
      <c r="G4" s="767"/>
      <c r="H4" s="768"/>
      <c r="I4" s="767"/>
      <c r="J4" s="769"/>
      <c r="K4" s="769"/>
    </row>
    <row r="5" spans="1:11" x14ac:dyDescent="0.2">
      <c r="A5" s="2224" t="s">
        <v>1069</v>
      </c>
      <c r="B5" s="2225"/>
      <c r="C5" s="2225"/>
      <c r="D5" s="2225"/>
      <c r="E5" s="2226"/>
      <c r="F5" s="770" t="s">
        <v>848</v>
      </c>
      <c r="G5" s="771"/>
      <c r="H5" s="764">
        <v>31744</v>
      </c>
      <c r="I5" s="772"/>
      <c r="J5" s="773"/>
      <c r="K5" s="773"/>
    </row>
    <row r="6" spans="1:11" x14ac:dyDescent="0.2">
      <c r="A6" s="774" t="s">
        <v>720</v>
      </c>
      <c r="B6" s="775"/>
      <c r="C6" s="775"/>
      <c r="D6" s="775"/>
      <c r="E6" s="776"/>
      <c r="F6" s="777" t="s">
        <v>849</v>
      </c>
      <c r="G6" s="764"/>
      <c r="H6" s="764"/>
      <c r="I6" s="764"/>
      <c r="J6" s="765">
        <v>5516</v>
      </c>
      <c r="K6" s="765"/>
    </row>
    <row r="7" spans="1:11" x14ac:dyDescent="0.2">
      <c r="A7" s="778" t="s">
        <v>246</v>
      </c>
      <c r="B7" s="779"/>
      <c r="C7" s="779"/>
      <c r="D7" s="779"/>
      <c r="E7" s="780"/>
      <c r="F7" s="770" t="s">
        <v>850</v>
      </c>
      <c r="G7" s="767"/>
      <c r="H7" s="767"/>
      <c r="I7" s="767"/>
      <c r="J7" s="781"/>
      <c r="K7" s="765">
        <v>3670</v>
      </c>
    </row>
    <row r="8" spans="1:11" x14ac:dyDescent="0.2">
      <c r="A8" s="778" t="s">
        <v>345</v>
      </c>
      <c r="B8" s="779"/>
      <c r="C8" s="779"/>
      <c r="D8" s="779"/>
      <c r="E8" s="780"/>
      <c r="F8" s="770" t="s">
        <v>851</v>
      </c>
      <c r="G8" s="782"/>
      <c r="H8" s="782"/>
      <c r="I8" s="782"/>
      <c r="J8" s="765">
        <v>360069</v>
      </c>
      <c r="K8" s="769"/>
    </row>
    <row r="9" spans="1:11" x14ac:dyDescent="0.2">
      <c r="A9" s="778" t="s">
        <v>138</v>
      </c>
      <c r="B9" s="779"/>
      <c r="C9" s="779"/>
      <c r="D9" s="779"/>
      <c r="E9" s="780"/>
      <c r="F9" s="777" t="s">
        <v>853</v>
      </c>
      <c r="G9" s="782"/>
      <c r="H9" s="771"/>
      <c r="I9" s="771"/>
      <c r="J9" s="781"/>
      <c r="K9" s="765">
        <v>9158</v>
      </c>
    </row>
    <row r="10" spans="1:11" x14ac:dyDescent="0.2">
      <c r="A10" s="2224" t="s">
        <v>1813</v>
      </c>
      <c r="B10" s="2225"/>
      <c r="C10" s="2225"/>
      <c r="D10" s="2225"/>
      <c r="E10" s="2227"/>
      <c r="F10" s="783" t="s">
        <v>862</v>
      </c>
      <c r="G10" s="782"/>
      <c r="H10" s="784"/>
      <c r="I10" s="764"/>
      <c r="J10" s="765"/>
      <c r="K10" s="765"/>
    </row>
    <row r="11" spans="1:11" x14ac:dyDescent="0.2">
      <c r="A11" s="2224" t="s">
        <v>160</v>
      </c>
      <c r="B11" s="2225"/>
      <c r="C11" s="2225"/>
      <c r="D11" s="2225"/>
      <c r="E11" s="2226"/>
      <c r="F11" s="770" t="s">
        <v>852</v>
      </c>
      <c r="G11" s="771"/>
      <c r="H11" s="764"/>
      <c r="I11" s="764"/>
      <c r="J11" s="765"/>
      <c r="K11" s="773"/>
    </row>
    <row r="12" spans="1:11" ht="13.5" thickBot="1" x14ac:dyDescent="0.25">
      <c r="A12" s="2251" t="s">
        <v>905</v>
      </c>
      <c r="B12" s="2252"/>
      <c r="C12" s="2252"/>
      <c r="D12" s="2252"/>
      <c r="E12" s="2253"/>
      <c r="F12" s="1757"/>
      <c r="G12" s="1758">
        <f>SUM(G5:G11)</f>
        <v>0</v>
      </c>
      <c r="H12" s="1758">
        <f>SUM(H5:H11)</f>
        <v>31744</v>
      </c>
      <c r="I12" s="1758">
        <f>SUM(I5:I11)</f>
        <v>0</v>
      </c>
      <c r="J12" s="1758">
        <f>SUM(J5:J11)</f>
        <v>365585</v>
      </c>
      <c r="K12" s="1758">
        <f>SUM(K5:K11)</f>
        <v>12828</v>
      </c>
    </row>
    <row r="13" spans="1:11" ht="13.5" thickTop="1" x14ac:dyDescent="0.2">
      <c r="A13" s="2248" t="s">
        <v>370</v>
      </c>
      <c r="B13" s="2249"/>
      <c r="C13" s="2249"/>
      <c r="D13" s="2249"/>
      <c r="E13" s="2250"/>
      <c r="F13" s="785"/>
      <c r="G13" s="786"/>
      <c r="H13" s="787"/>
      <c r="I13" s="788"/>
      <c r="J13" s="788"/>
      <c r="K13" s="788"/>
    </row>
    <row r="14" spans="1:11" x14ac:dyDescent="0.2">
      <c r="A14" s="2231" t="s">
        <v>456</v>
      </c>
      <c r="B14" s="2231"/>
      <c r="C14" s="2231"/>
      <c r="D14" s="2231"/>
      <c r="E14" s="2232"/>
      <c r="F14" s="789" t="s">
        <v>854</v>
      </c>
      <c r="G14" s="782"/>
      <c r="H14" s="764">
        <v>31744</v>
      </c>
      <c r="I14" s="771"/>
      <c r="J14" s="773"/>
      <c r="K14" s="765">
        <v>56933</v>
      </c>
    </row>
    <row r="15" spans="1:11" x14ac:dyDescent="0.2">
      <c r="A15" s="2225" t="s">
        <v>4</v>
      </c>
      <c r="B15" s="2225"/>
      <c r="C15" s="2225"/>
      <c r="D15" s="2225"/>
      <c r="E15" s="2226"/>
      <c r="F15" s="789" t="s">
        <v>855</v>
      </c>
      <c r="G15" s="771"/>
      <c r="H15" s="764"/>
      <c r="I15" s="764"/>
      <c r="J15" s="765"/>
      <c r="K15" s="765"/>
    </row>
    <row r="16" spans="1:11" x14ac:dyDescent="0.2">
      <c r="A16" s="2225" t="s">
        <v>298</v>
      </c>
      <c r="B16" s="2225"/>
      <c r="C16" s="2225"/>
      <c r="D16" s="2225"/>
      <c r="E16" s="2226"/>
      <c r="F16" s="789" t="s">
        <v>923</v>
      </c>
      <c r="G16" s="772"/>
      <c r="H16" s="767"/>
      <c r="I16" s="767"/>
      <c r="J16" s="769"/>
      <c r="K16" s="769"/>
    </row>
    <row r="17" spans="1:11" x14ac:dyDescent="0.2">
      <c r="A17" s="2256" t="s">
        <v>935</v>
      </c>
      <c r="B17" s="2256"/>
      <c r="C17" s="2256"/>
      <c r="D17" s="2256"/>
      <c r="E17" s="2257"/>
      <c r="F17" s="790"/>
      <c r="G17" s="791"/>
      <c r="H17" s="792"/>
      <c r="I17" s="792"/>
      <c r="J17" s="793"/>
      <c r="K17" s="794"/>
    </row>
    <row r="18" spans="1:11" x14ac:dyDescent="0.2">
      <c r="A18" s="2235" t="s">
        <v>368</v>
      </c>
      <c r="B18" s="2236"/>
      <c r="C18" s="2236"/>
      <c r="D18" s="2236"/>
      <c r="E18" s="2237"/>
      <c r="F18" s="789" t="s">
        <v>932</v>
      </c>
      <c r="G18" s="782"/>
      <c r="H18" s="782"/>
      <c r="I18" s="782"/>
      <c r="J18" s="765">
        <v>255055</v>
      </c>
      <c r="K18" s="795"/>
    </row>
    <row r="19" spans="1:11" ht="21.75" customHeight="1" x14ac:dyDescent="0.2">
      <c r="A19" s="2233" t="s">
        <v>1809</v>
      </c>
      <c r="B19" s="2233"/>
      <c r="C19" s="2233"/>
      <c r="D19" s="2233"/>
      <c r="E19" s="2234"/>
      <c r="F19" s="789" t="s">
        <v>933</v>
      </c>
      <c r="G19" s="782"/>
      <c r="H19" s="782"/>
      <c r="I19" s="782"/>
      <c r="J19" s="765">
        <v>280000</v>
      </c>
      <c r="K19" s="795"/>
    </row>
    <row r="20" spans="1:11" x14ac:dyDescent="0.2">
      <c r="A20" s="2235" t="s">
        <v>1814</v>
      </c>
      <c r="B20" s="2236"/>
      <c r="C20" s="2236"/>
      <c r="D20" s="2236"/>
      <c r="E20" s="2237"/>
      <c r="F20" s="789" t="s">
        <v>934</v>
      </c>
      <c r="G20" s="782"/>
      <c r="H20" s="782"/>
      <c r="I20" s="782"/>
      <c r="J20" s="765">
        <v>500</v>
      </c>
      <c r="K20" s="795"/>
    </row>
    <row r="21" spans="1:11" ht="13.5" thickBot="1" x14ac:dyDescent="0.25">
      <c r="A21" s="2254" t="s">
        <v>638</v>
      </c>
      <c r="B21" s="2254"/>
      <c r="C21" s="2254"/>
      <c r="D21" s="2254"/>
      <c r="E21" s="2254"/>
      <c r="F21" s="1759"/>
      <c r="G21" s="792"/>
      <c r="H21" s="796"/>
      <c r="I21" s="796"/>
      <c r="J21" s="1760">
        <f>SUM(J18:J20)</f>
        <v>535555</v>
      </c>
      <c r="K21" s="793"/>
    </row>
    <row r="22" spans="1:11" ht="13.5" thickTop="1" x14ac:dyDescent="0.2">
      <c r="A22" s="2225" t="s">
        <v>1815</v>
      </c>
      <c r="B22" s="2225"/>
      <c r="C22" s="2225"/>
      <c r="D22" s="2225"/>
      <c r="E22" s="2226"/>
      <c r="F22" s="789" t="s">
        <v>862</v>
      </c>
      <c r="G22" s="782"/>
      <c r="H22" s="764"/>
      <c r="I22" s="764"/>
      <c r="J22" s="797"/>
      <c r="K22" s="765"/>
    </row>
    <row r="23" spans="1:11" ht="13.5" thickBot="1" x14ac:dyDescent="0.25">
      <c r="A23" s="2255" t="s">
        <v>906</v>
      </c>
      <c r="B23" s="2254"/>
      <c r="C23" s="2254"/>
      <c r="D23" s="2254"/>
      <c r="E23" s="2254"/>
      <c r="F23" s="1761"/>
      <c r="G23" s="1758">
        <f>SUM(G14:G16,G21,G22)</f>
        <v>0</v>
      </c>
      <c r="H23" s="1758">
        <f>SUM(H14:H16,H21,H22)</f>
        <v>31744</v>
      </c>
      <c r="I23" s="1758">
        <f>SUM(I14:I16,I21,I22)</f>
        <v>0</v>
      </c>
      <c r="J23" s="1758">
        <f>SUM(J14:J16,J21,J22)</f>
        <v>535555</v>
      </c>
      <c r="K23" s="1758">
        <f>SUM(K14:K16,K21,K22)</f>
        <v>56933</v>
      </c>
    </row>
    <row r="24" spans="1:11" ht="14.25" thickTop="1" thickBot="1" x14ac:dyDescent="0.25">
      <c r="A24" s="2255" t="s">
        <v>1963</v>
      </c>
      <c r="B24" s="2254"/>
      <c r="C24" s="2254"/>
      <c r="D24" s="2254"/>
      <c r="E24" s="2254"/>
      <c r="F24" s="1762"/>
      <c r="G24" s="1763">
        <f>SUM(G3,G12)-G23</f>
        <v>0</v>
      </c>
      <c r="H24" s="1763">
        <f>SUM(H3,H12)-H23</f>
        <v>0</v>
      </c>
      <c r="I24" s="1763">
        <f>SUM(I3,I12)-I23</f>
        <v>0</v>
      </c>
      <c r="J24" s="1763">
        <f>SUM(J3,J12)-J23</f>
        <v>-169970</v>
      </c>
      <c r="K24" s="1763">
        <f>SUM(K3,K12)-K23</f>
        <v>-44105</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-169970</v>
      </c>
      <c r="K26" s="1758">
        <f>K24-K25</f>
        <v>-44105</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8"/>
      <c r="I31" s="2229"/>
      <c r="J31" s="2229"/>
      <c r="K31" s="2229"/>
    </row>
    <row r="32" spans="1:11" x14ac:dyDescent="0.2">
      <c r="A32" s="809"/>
      <c r="B32" s="237"/>
      <c r="C32" s="237"/>
      <c r="D32" s="237"/>
      <c r="E32" s="805"/>
      <c r="F32" s="811" t="s">
        <v>540</v>
      </c>
      <c r="G32" s="764"/>
      <c r="H32" s="2230"/>
      <c r="I32" s="2229"/>
      <c r="J32" s="2229"/>
      <c r="K32" s="2229"/>
    </row>
    <row r="33" spans="1:11" ht="1.5" customHeight="1" x14ac:dyDescent="0.2">
      <c r="A33" s="812" t="s">
        <v>1169</v>
      </c>
      <c r="B33" s="364"/>
      <c r="C33" s="364"/>
      <c r="D33" s="364"/>
      <c r="E33" s="364"/>
      <c r="F33" s="364"/>
      <c r="G33" s="813"/>
      <c r="H33" s="2230"/>
      <c r="I33" s="2229"/>
      <c r="J33" s="2229"/>
      <c r="K33" s="222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5" t="s">
        <v>541</v>
      </c>
      <c r="B41" s="2238"/>
      <c r="C41" s="2238"/>
      <c r="D41" s="2238"/>
      <c r="E41" s="2238"/>
      <c r="F41" s="223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7" sqref="E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6"/>
      <c r="E1" s="827"/>
      <c r="F1" s="827"/>
      <c r="G1" s="828"/>
      <c r="H1" s="829"/>
      <c r="I1" s="830"/>
      <c r="J1" s="2258"/>
      <c r="K1" s="2259"/>
      <c r="L1" s="225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11333281</v>
      </c>
      <c r="D8" s="844">
        <v>158436</v>
      </c>
      <c r="E8" s="844"/>
      <c r="F8" s="1760">
        <f>(C8+D8)-E8</f>
        <v>11491717</v>
      </c>
      <c r="G8" s="843">
        <v>50</v>
      </c>
      <c r="H8" s="765">
        <v>2005366</v>
      </c>
      <c r="I8" s="765">
        <v>215671</v>
      </c>
      <c r="J8" s="765"/>
      <c r="K8" s="1769">
        <f>(H8+I8)-J8</f>
        <v>2221037</v>
      </c>
      <c r="L8" s="1769">
        <f>F8-K8</f>
        <v>9270680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77611</v>
      </c>
      <c r="D10" s="846">
        <v>28350</v>
      </c>
      <c r="E10" s="846"/>
      <c r="F10" s="1764">
        <f>(C10+D10)-E10</f>
        <v>105961</v>
      </c>
      <c r="G10" s="843">
        <v>20</v>
      </c>
      <c r="H10" s="847">
        <v>3493</v>
      </c>
      <c r="I10" s="847">
        <v>5098</v>
      </c>
      <c r="J10" s="847"/>
      <c r="K10" s="1769">
        <f>(H10+I10)-J10</f>
        <v>8591</v>
      </c>
      <c r="L10" s="1769">
        <f>F10-K10</f>
        <v>97370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450832</v>
      </c>
      <c r="D12" s="844">
        <v>6684</v>
      </c>
      <c r="E12" s="844"/>
      <c r="F12" s="1760">
        <f>(C12+D12)-E12</f>
        <v>457516</v>
      </c>
      <c r="G12" s="843">
        <v>10</v>
      </c>
      <c r="H12" s="765">
        <v>396164</v>
      </c>
      <c r="I12" s="765">
        <v>10079</v>
      </c>
      <c r="J12" s="765"/>
      <c r="K12" s="1769">
        <f>(H12+I12)-J12</f>
        <v>406243</v>
      </c>
      <c r="L12" s="1769">
        <f>F12-K12</f>
        <v>51273</v>
      </c>
    </row>
    <row r="13" spans="1:14" ht="14.25" thickTop="1" thickBot="1" x14ac:dyDescent="0.25">
      <c r="A13" s="848" t="s">
        <v>1122</v>
      </c>
      <c r="B13" s="840">
        <v>252</v>
      </c>
      <c r="C13" s="844">
        <v>1046481</v>
      </c>
      <c r="D13" s="844">
        <v>285003</v>
      </c>
      <c r="E13" s="844">
        <v>114806</v>
      </c>
      <c r="F13" s="1760">
        <f>(C13+D13)-E13</f>
        <v>1216678</v>
      </c>
      <c r="G13" s="843">
        <v>5</v>
      </c>
      <c r="H13" s="765">
        <v>946480</v>
      </c>
      <c r="I13" s="765">
        <v>96084</v>
      </c>
      <c r="J13" s="765">
        <v>114806</v>
      </c>
      <c r="K13" s="1769">
        <f>(H13+I13)-J13</f>
        <v>927758</v>
      </c>
      <c r="L13" s="1769">
        <f>F13-K13</f>
        <v>288920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116057</v>
      </c>
      <c r="D15" s="844">
        <v>356482</v>
      </c>
      <c r="E15" s="844">
        <v>158436</v>
      </c>
      <c r="F15" s="1760">
        <f>(C15+D15)-E15</f>
        <v>314103</v>
      </c>
      <c r="G15" s="849" t="s">
        <v>862</v>
      </c>
      <c r="H15" s="781"/>
      <c r="I15" s="781"/>
      <c r="J15" s="781"/>
      <c r="K15" s="781"/>
      <c r="L15" s="1769">
        <f>F15-K15</f>
        <v>314103</v>
      </c>
    </row>
    <row r="16" spans="1:14" ht="15" customHeight="1" thickTop="1" thickBot="1" x14ac:dyDescent="0.25">
      <c r="A16" s="1765" t="s">
        <v>643</v>
      </c>
      <c r="B16" s="1766">
        <v>200</v>
      </c>
      <c r="C16" s="1760">
        <f>SUM(C3,C5:C6,C8:C10,C12:C15)</f>
        <v>13024262</v>
      </c>
      <c r="D16" s="1760">
        <f>SUM(D3,D5:D6,D8:D10,D12:D15)</f>
        <v>834955</v>
      </c>
      <c r="E16" s="1760">
        <f>SUM(E3,E5:E6,E8:E10,E12:E15)</f>
        <v>273242</v>
      </c>
      <c r="F16" s="1760">
        <f>SUM(F3,F5:F6,F8:F10,F12:F15)</f>
        <v>13585975</v>
      </c>
      <c r="G16" s="843"/>
      <c r="H16" s="1760">
        <f>SUM(H3,H6,H8:H10,H12:H14,)</f>
        <v>3351503</v>
      </c>
      <c r="I16" s="1760">
        <f>SUM(I3,I6,I8:I10,I12:I14,)</f>
        <v>326932</v>
      </c>
      <c r="J16" s="1760">
        <f>SUM(J3,J6,J8:J10,J12:J14,)</f>
        <v>114806</v>
      </c>
      <c r="K16" s="1760">
        <f>(H16+I16)-J16</f>
        <v>3563629</v>
      </c>
      <c r="L16" s="1760">
        <f>F16-K16</f>
        <v>10022346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326932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3" activePane="bottomLeft" state="frozen"/>
      <selection activeCell="E7" sqref="E7"/>
      <selection pane="bottomLeft" activeCell="E7" sqref="E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1973</v>
      </c>
      <c r="B1" s="2267"/>
      <c r="C1" s="2267"/>
      <c r="D1" s="2267"/>
      <c r="E1" s="2267"/>
      <c r="F1" s="2268"/>
      <c r="G1" s="855"/>
    </row>
    <row r="2" spans="1:7" ht="15" customHeight="1" thickBot="1" x14ac:dyDescent="0.25">
      <c r="A2" s="2269" t="s">
        <v>477</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4900280</v>
      </c>
      <c r="G8" s="865"/>
    </row>
    <row r="9" spans="1:7" x14ac:dyDescent="0.2">
      <c r="A9" s="869" t="s">
        <v>460</v>
      </c>
      <c r="B9" s="870" t="s">
        <v>1876</v>
      </c>
      <c r="C9" s="871"/>
      <c r="D9" s="869" t="s">
        <v>501</v>
      </c>
      <c r="E9" s="868"/>
      <c r="F9" s="1909">
        <f>'Expenditures 15-22'!K151</f>
        <v>478772</v>
      </c>
      <c r="G9" s="872"/>
    </row>
    <row r="10" spans="1:7" x14ac:dyDescent="0.2">
      <c r="A10" s="869" t="s">
        <v>499</v>
      </c>
      <c r="B10" s="870" t="s">
        <v>1877</v>
      </c>
      <c r="C10" s="871"/>
      <c r="D10" s="869" t="s">
        <v>501</v>
      </c>
      <c r="E10" s="868"/>
      <c r="F10" s="1909">
        <f>'Expenditures 15-22'!K174</f>
        <v>535555</v>
      </c>
      <c r="G10" s="872"/>
    </row>
    <row r="11" spans="1:7" x14ac:dyDescent="0.2">
      <c r="A11" s="869" t="s">
        <v>461</v>
      </c>
      <c r="B11" s="870" t="s">
        <v>1878</v>
      </c>
      <c r="C11" s="871"/>
      <c r="D11" s="869" t="s">
        <v>501</v>
      </c>
      <c r="E11" s="868"/>
      <c r="F11" s="1909">
        <f>'Expenditures 15-22'!K210</f>
        <v>487767</v>
      </c>
      <c r="G11" s="872"/>
    </row>
    <row r="12" spans="1:7" x14ac:dyDescent="0.2">
      <c r="A12" s="869" t="s">
        <v>462</v>
      </c>
      <c r="B12" s="870" t="s">
        <v>1879</v>
      </c>
      <c r="C12" s="871"/>
      <c r="D12" s="869" t="s">
        <v>501</v>
      </c>
      <c r="E12" s="868"/>
      <c r="F12" s="1909">
        <f>'Expenditures 15-22'!K295</f>
        <v>177022</v>
      </c>
      <c r="G12" s="872"/>
    </row>
    <row r="13" spans="1:7" x14ac:dyDescent="0.2">
      <c r="A13" s="869" t="s">
        <v>106</v>
      </c>
      <c r="B13" s="870" t="s">
        <v>1880</v>
      </c>
      <c r="C13" s="871"/>
      <c r="D13" s="869" t="s">
        <v>501</v>
      </c>
      <c r="E13" s="868"/>
      <c r="F13" s="1909">
        <f>'Expenditures 15-22'!K342</f>
        <v>161127</v>
      </c>
      <c r="G13" s="873"/>
    </row>
    <row r="14" spans="1:7" ht="12" customHeight="1" thickBot="1" x14ac:dyDescent="0.25">
      <c r="A14" s="1770"/>
      <c r="B14" s="1771"/>
      <c r="C14" s="1772"/>
      <c r="D14" s="1773" t="s">
        <v>501</v>
      </c>
      <c r="E14" s="1774" t="s">
        <v>958</v>
      </c>
      <c r="F14" s="1775">
        <f>SUM(F8:F13)</f>
        <v>6740523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138515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521958</v>
      </c>
      <c r="G53" s="865"/>
    </row>
    <row r="54" spans="1:7" x14ac:dyDescent="0.2">
      <c r="A54" s="869" t="s">
        <v>459</v>
      </c>
      <c r="B54" s="869" t="s">
        <v>1476</v>
      </c>
      <c r="C54" s="889" t="s">
        <v>982</v>
      </c>
      <c r="D54" s="885" t="s">
        <v>1095</v>
      </c>
      <c r="E54" s="868"/>
      <c r="F54" s="1913">
        <f>'Expenditures 15-22'!G114</f>
        <v>88643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280000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35003</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6383</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1070502</v>
      </c>
      <c r="G76" s="865"/>
    </row>
    <row r="77" spans="1:8" s="893" customFormat="1" ht="12" customHeight="1" thickTop="1" thickBot="1" x14ac:dyDescent="0.25">
      <c r="A77" s="1779"/>
      <c r="B77" s="1776"/>
      <c r="C77" s="1772"/>
      <c r="D77" s="1777" t="s">
        <v>1899</v>
      </c>
      <c r="E77" s="1774"/>
      <c r="F77" s="1780">
        <f>(F14-F76)</f>
        <v>5670021</v>
      </c>
      <c r="G77" s="869"/>
    </row>
    <row r="78" spans="1:8" s="893" customFormat="1" ht="12" customHeight="1" thickTop="1" x14ac:dyDescent="0.2">
      <c r="A78" s="1781"/>
      <c r="B78" s="1776"/>
      <c r="C78" s="1772"/>
      <c r="D78" s="1777" t="s">
        <v>2060</v>
      </c>
      <c r="E78" s="1774"/>
      <c r="F78" s="898">
        <v>547</v>
      </c>
      <c r="G78" s="899"/>
      <c r="H78" s="869"/>
    </row>
    <row r="79" spans="1:8" s="893" customFormat="1" ht="12" customHeight="1" thickBot="1" x14ac:dyDescent="0.25">
      <c r="A79" s="1782"/>
      <c r="B79" s="1776"/>
      <c r="C79" s="1772"/>
      <c r="D79" s="1777" t="s">
        <v>1900</v>
      </c>
      <c r="E79" s="1774" t="s">
        <v>958</v>
      </c>
      <c r="F79" s="1783">
        <f>IF(F78&gt;0,F77/F78," Complete Line 78")</f>
        <v>10365.669104204753</v>
      </c>
      <c r="G79" s="869"/>
    </row>
    <row r="80" spans="1:8" s="893" customFormat="1" ht="8.25" customHeight="1" thickTop="1" x14ac:dyDescent="0.2">
      <c r="A80" s="900"/>
      <c r="B80" s="869"/>
      <c r="C80" s="871"/>
      <c r="D80" s="901"/>
      <c r="E80" s="868"/>
      <c r="F80" s="902"/>
      <c r="G80" s="869"/>
    </row>
    <row r="81" spans="1:7" s="893" customFormat="1" ht="12" thickBot="1" x14ac:dyDescent="0.25">
      <c r="A81" s="2263" t="s">
        <v>1105</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93327</v>
      </c>
      <c r="G94" s="912"/>
    </row>
    <row r="95" spans="1:7" x14ac:dyDescent="0.2">
      <c r="A95" s="908" t="s">
        <v>140</v>
      </c>
      <c r="B95" s="908" t="s">
        <v>175</v>
      </c>
      <c r="C95" s="910">
        <v>1700</v>
      </c>
      <c r="D95" s="918" t="str">
        <f>'Revenues 9-14'!A82</f>
        <v>Total District/School Activity Income</v>
      </c>
      <c r="E95" s="906"/>
      <c r="F95" s="1789">
        <f>SUM('Revenues 9-14'!C82,'Revenues 9-14'!D82)</f>
        <v>26887</v>
      </c>
      <c r="G95" s="912"/>
    </row>
    <row r="96" spans="1:7" x14ac:dyDescent="0.2">
      <c r="A96" s="908" t="s">
        <v>459</v>
      </c>
      <c r="B96" s="908" t="s">
        <v>176</v>
      </c>
      <c r="C96" s="910">
        <f>'Revenues 9-14'!B84</f>
        <v>1811</v>
      </c>
      <c r="D96" s="911" t="str">
        <f>'Revenues 9-14'!A84</f>
        <v>Rentals - Regular Textbooks</v>
      </c>
      <c r="E96" s="906"/>
      <c r="F96" s="1789">
        <f>'Revenues 9-14'!C84</f>
        <v>46264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26777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8132</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1804</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9158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273597</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7034</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118538</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66058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14439</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73230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13907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7993</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787145</v>
      </c>
    </row>
    <row r="175" spans="1:7" ht="12" customHeight="1" x14ac:dyDescent="0.2">
      <c r="A175" s="1770"/>
      <c r="B175" s="1784"/>
      <c r="C175" s="1785"/>
      <c r="D175" s="1786" t="s">
        <v>2055</v>
      </c>
      <c r="E175" s="1787"/>
      <c r="F175" s="1789">
        <f>'PCTC-OEPP 27-28'!F77-F174</f>
        <v>4882876</v>
      </c>
    </row>
    <row r="176" spans="1:7" ht="12" customHeight="1" x14ac:dyDescent="0.2">
      <c r="A176" s="1770"/>
      <c r="B176" s="1784"/>
      <c r="C176" s="1785"/>
      <c r="D176" s="1786" t="s">
        <v>1817</v>
      </c>
      <c r="E176" s="1787"/>
      <c r="F176" s="1789">
        <f>'Cap Outlay Deprec 26'!I18</f>
        <v>326932</v>
      </c>
    </row>
    <row r="177" spans="1:7" ht="12" customHeight="1" x14ac:dyDescent="0.2">
      <c r="A177" s="1770"/>
      <c r="B177" s="1784"/>
      <c r="C177" s="1785"/>
      <c r="D177" s="1786" t="s">
        <v>2056</v>
      </c>
      <c r="E177" s="1787"/>
      <c r="F177" s="1789">
        <f>F175+F176</f>
        <v>5209808</v>
      </c>
    </row>
    <row r="178" spans="1:7" ht="12" customHeight="1" x14ac:dyDescent="0.2">
      <c r="A178" s="1770"/>
      <c r="B178" s="1790"/>
      <c r="C178" s="1785"/>
      <c r="D178" s="1786" t="str">
        <f>D78</f>
        <v>9 Month ADA from District Average Daily Attendance/Prior General State Aid Inquiry 2018-2019</v>
      </c>
      <c r="E178" s="1787"/>
      <c r="F178" s="1791">
        <f>'PCTC-OEPP 27-28'!F78</f>
        <v>547</v>
      </c>
      <c r="G178" s="930"/>
    </row>
    <row r="179" spans="1:7" ht="12" customHeight="1" thickBot="1" x14ac:dyDescent="0.25">
      <c r="A179" s="1770"/>
      <c r="B179" s="1790"/>
      <c r="C179" s="1785"/>
      <c r="D179" s="1786" t="s">
        <v>2057</v>
      </c>
      <c r="E179" s="1787" t="s">
        <v>1545</v>
      </c>
      <c r="F179" s="1792">
        <f>F177/F178</f>
        <v>9524.3290676416818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election activeCell="E7" sqref="E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7" t="s">
        <v>1820</v>
      </c>
      <c r="B11" s="1538"/>
      <c r="C11" s="1538"/>
      <c r="D11" s="1538"/>
      <c r="E11" s="1538"/>
      <c r="F11" s="1538"/>
      <c r="G11" s="1539"/>
    </row>
    <row r="12" spans="1:7" ht="17.25" customHeight="1" x14ac:dyDescent="0.25">
      <c r="A12" s="2283" t="s">
        <v>1933</v>
      </c>
      <c r="B12" s="2284"/>
      <c r="C12" s="2284"/>
      <c r="D12" s="2284"/>
      <c r="E12" s="2284"/>
      <c r="F12" s="2284"/>
      <c r="G12" s="2285"/>
    </row>
    <row r="13" spans="1:7" ht="15" customHeight="1" x14ac:dyDescent="0.25">
      <c r="A13" s="1537" t="s">
        <v>1825</v>
      </c>
      <c r="B13" s="1538"/>
      <c r="C13" s="1538"/>
      <c r="D13" s="1538"/>
      <c r="E13" s="1538"/>
      <c r="F13" s="1538"/>
      <c r="G13" s="1539"/>
    </row>
    <row r="14" spans="1:7" ht="32.25" customHeight="1" x14ac:dyDescent="0.25">
      <c r="A14" s="2274" t="s">
        <v>1974</v>
      </c>
      <c r="B14" s="2275"/>
      <c r="C14" s="2275"/>
      <c r="D14" s="2275"/>
      <c r="E14" s="2275"/>
      <c r="F14" s="2275"/>
      <c r="G14" s="2276"/>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4" t="s">
        <v>2145</v>
      </c>
      <c r="B18" s="1945" t="s">
        <v>2146</v>
      </c>
      <c r="C18" s="1941"/>
      <c r="D18" s="1947"/>
      <c r="E18" s="1540">
        <f t="shared" ref="E18:E142" si="0">IF(D18&lt;=25000,D18,IF(D18&gt;25000,25000,0))</f>
        <v>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944"/>
      <c r="B19" s="1945"/>
      <c r="C19" s="194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&amp;RThe notes to the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4" colorId="8" zoomScale="110" zoomScaleNormal="110" workbookViewId="0">
      <selection activeCell="E7" sqref="E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9" t="s">
        <v>1679</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81157</v>
      </c>
      <c r="F10" s="974"/>
      <c r="G10" s="975"/>
      <c r="H10" s="162"/>
      <c r="I10" s="162"/>
    </row>
    <row r="11" spans="1:9" s="668" customFormat="1" ht="22.5" customHeight="1" x14ac:dyDescent="0.2">
      <c r="A11" s="2294" t="s">
        <v>1975</v>
      </c>
      <c r="B11" s="2295"/>
      <c r="C11" s="2295"/>
      <c r="D11" s="2296"/>
      <c r="E11" s="977">
        <v>21685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3458722</v>
      </c>
      <c r="F19" s="1799"/>
      <c r="G19" s="1801">
        <f>'Expenditures 15-22'!K33-SUM('Expenditures 15-22'!G33,'Expenditures 15-22'!I33)+'Expenditures 15-22'!D229</f>
        <v>3458722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118227</v>
      </c>
      <c r="F21" s="1802"/>
      <c r="G21" s="1805">
        <f>'Expenditures 15-22'!K42-SUM('Expenditures 15-22'!G42,'Expenditures 15-22'!I42)+'Expenditures 15-22'!K120-SUM('Expenditures 15-22'!G120,'Expenditures 15-22'!I120)+'Expenditures 15-22'!K180-SUM('Expenditures 15-22'!G180,'Expenditures 15-22'!I180)+'Expenditures 15-22'!D238</f>
        <v>118227</v>
      </c>
      <c r="H21" s="987"/>
      <c r="I21" s="162"/>
    </row>
    <row r="22" spans="1:9" s="668" customFormat="1" ht="12" customHeight="1" x14ac:dyDescent="0.2">
      <c r="A22" s="994" t="s">
        <v>564</v>
      </c>
      <c r="B22" s="995"/>
      <c r="C22" s="993">
        <v>2200</v>
      </c>
      <c r="D22" s="1802"/>
      <c r="E22" s="1804">
        <f>'Expenditures 15-22'!K47-SUM('Expenditures 15-22'!G47,'Expenditures 15-22'!I47)+'Expenditures 15-22'!D243</f>
        <v>58317</v>
      </c>
      <c r="F22" s="1802"/>
      <c r="G22" s="1805">
        <f>'Expenditures 15-22'!K47-SUM('Expenditures 15-22'!G47,'Expenditures 15-22'!I47)+'Expenditures 15-22'!D243</f>
        <v>58317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387429</v>
      </c>
      <c r="F23" s="1802"/>
      <c r="G23" s="1804">
        <f>'Expenditures 15-22'!K53-SUM('Expenditures 15-22'!G53,'Expenditures 15-22'!I53)+'Expenditures 15-22'!D257+'Expenditures 15-22'!K330-SUM('Expenditures 15-22'!G330,'Expenditures 15-22'!I330)</f>
        <v>387429</v>
      </c>
      <c r="H23" s="987"/>
      <c r="I23" s="162"/>
    </row>
    <row r="24" spans="1:9" s="668" customFormat="1" ht="12" customHeight="1" x14ac:dyDescent="0.2">
      <c r="A24" s="994" t="s">
        <v>566</v>
      </c>
      <c r="B24" s="995"/>
      <c r="C24" s="993">
        <v>2400</v>
      </c>
      <c r="D24" s="1802"/>
      <c r="E24" s="1804">
        <f>'Expenditures 15-22'!K57-SUM('Expenditures 15-22'!G57,'Expenditures 15-22'!I57)+'Expenditures 15-22'!D261</f>
        <v>245148</v>
      </c>
      <c r="F24" s="1802"/>
      <c r="G24" s="1805">
        <f>'Expenditures 15-22'!K57-SUM('Expenditures 15-22'!G57,'Expenditures 15-22'!I57)+'Expenditures 15-22'!D261</f>
        <v>245148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96443</v>
      </c>
      <c r="E27" s="1804">
        <f>E8</f>
        <v>0</v>
      </c>
      <c r="F27" s="1804">
        <f>'Expenditures 15-22'!K60-SUM('Expenditures 15-22'!G60,'Expenditures 15-22'!I60)+'Expenditures 15-22'!D264-E8</f>
        <v>96443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512080</v>
      </c>
      <c r="F28" s="1806">
        <f>'Expenditures 15-22'!K61-SUM('Expenditures 15-22'!G61,'Expenditures 15-22'!I61)+'Expenditures 15-22'!K124-SUM('Expenditures 15-22'!G124,'Expenditures 15-22'!I124)+'Expenditures 15-22'!D266-E9</f>
        <v>512080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488318</v>
      </c>
      <c r="F29" s="1802"/>
      <c r="G29" s="1805">
        <f>'Expenditures 15-22'!K62-SUM('Expenditures 15-22'!G62,'Expenditures 15-22'!I62)+'Expenditures 15-22'!K125-SUM('Expenditures 15-22'!G125,'Expenditures 15-22'!I125)+'Expenditures 15-22'!K182-SUM('Expenditures 15-22'!G182,'Expenditures 15-22'!I182)+'Expenditures 15-22'!D267</f>
        <v>488318</v>
      </c>
      <c r="H29" s="985"/>
    </row>
    <row r="30" spans="1:9" ht="12" customHeight="1" x14ac:dyDescent="0.2">
      <c r="A30" s="994" t="s">
        <v>100</v>
      </c>
      <c r="B30" s="997"/>
      <c r="C30" s="993">
        <v>2560</v>
      </c>
      <c r="D30" s="1802"/>
      <c r="E30" s="1804">
        <f>'Expenditures 15-22'!K63-SUM('Expenditures 15-22'!G63,'Expenditures 15-22'!I63)+'Expenditures 15-22'!D268-E10</f>
        <v>113523</v>
      </c>
      <c r="F30" s="1802"/>
      <c r="G30" s="1804">
        <f>'Expenditures 15-22'!K63-SUM('Expenditures 15-22'!G63,'Expenditures 15-22'!I63)+'Expenditures 15-22'!D268-E10</f>
        <v>113523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96443</v>
      </c>
      <c r="E41" s="1806">
        <f>SUM(E19:E40)</f>
        <v>5381764</v>
      </c>
      <c r="F41" s="1806">
        <f>SUM(F19:F39)</f>
        <v>608523</v>
      </c>
      <c r="G41" s="1806">
        <f>SUM(G19:G40)</f>
        <v>4869684</v>
      </c>
    </row>
    <row r="42" spans="1:7" x14ac:dyDescent="0.2">
      <c r="A42" s="987"/>
      <c r="B42" s="162"/>
      <c r="C42" s="1001"/>
      <c r="D42" s="2292" t="s">
        <v>522</v>
      </c>
      <c r="E42" s="2293"/>
      <c r="F42" s="1002" t="s">
        <v>523</v>
      </c>
      <c r="G42" s="1003"/>
    </row>
    <row r="43" spans="1:7" ht="12" customHeight="1" x14ac:dyDescent="0.2">
      <c r="A43" s="987"/>
      <c r="B43" s="162"/>
      <c r="C43" s="1001"/>
      <c r="D43" s="1807" t="s">
        <v>473</v>
      </c>
      <c r="E43" s="1808">
        <f>D41</f>
        <v>96443</v>
      </c>
      <c r="F43" s="1807" t="s">
        <v>473</v>
      </c>
      <c r="G43" s="1808">
        <f>F41</f>
        <v>608523</v>
      </c>
    </row>
    <row r="44" spans="1:7" ht="12" customHeight="1" x14ac:dyDescent="0.2">
      <c r="A44" s="987"/>
      <c r="B44" s="162"/>
      <c r="C44" s="1001"/>
      <c r="D44" s="1807" t="s">
        <v>474</v>
      </c>
      <c r="E44" s="1808">
        <f>E41</f>
        <v>5381764</v>
      </c>
      <c r="F44" s="1807" t="s">
        <v>474</v>
      </c>
      <c r="G44" s="1808">
        <f>G41</f>
        <v>4869684</v>
      </c>
    </row>
    <row r="45" spans="1:7" ht="12" customHeight="1" x14ac:dyDescent="0.2">
      <c r="A45" s="987"/>
      <c r="B45" s="162"/>
      <c r="C45" s="162"/>
      <c r="D45" s="1809" t="s">
        <v>1006</v>
      </c>
      <c r="E45" s="1810">
        <f>(E43/E44)</f>
        <v>1.7920332441184711E-2</v>
      </c>
      <c r="F45" s="1809" t="s">
        <v>1006</v>
      </c>
      <c r="G45" s="1810">
        <f>(G43/G44)</f>
        <v>0.12496149647492527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6" activePane="bottomLeft" state="frozen"/>
      <selection activeCell="E7" sqref="E7"/>
      <selection pane="bottomLeft" activeCell="C7" sqref="C7:E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1" t="s">
        <v>1379</v>
      </c>
      <c r="B1" s="2311"/>
      <c r="C1" s="2311"/>
      <c r="D1" s="2311"/>
      <c r="E1" s="2311"/>
      <c r="F1" s="2311"/>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12" t="s">
        <v>1546</v>
      </c>
      <c r="B5" s="2313"/>
      <c r="C5" s="2314"/>
      <c r="D5" s="2314"/>
      <c r="E5" s="2314"/>
      <c r="F5" s="2314"/>
    </row>
    <row r="6" spans="1:10" ht="12" customHeight="1" x14ac:dyDescent="0.25">
      <c r="A6" s="1850"/>
      <c r="B6" s="1851"/>
      <c r="C6" s="2315" t="str">
        <f>COVER!A17</f>
        <v>R O W V A CUSD 208</v>
      </c>
      <c r="D6" s="2315"/>
      <c r="E6" s="2315"/>
      <c r="F6" s="1852"/>
    </row>
    <row r="7" spans="1:10" ht="11.25" customHeight="1" thickBot="1" x14ac:dyDescent="0.3">
      <c r="A7" s="1850"/>
      <c r="B7" s="1851"/>
      <c r="C7" s="2316">
        <f>COVER!A13</f>
        <v>33048208026</v>
      </c>
      <c r="D7" s="2316"/>
      <c r="E7" s="2316"/>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2065</v>
      </c>
      <c r="D16" s="1865" t="s">
        <v>2065</v>
      </c>
      <c r="E16" s="1868" t="s">
        <v>2065</v>
      </c>
      <c r="F16" s="1867" t="s">
        <v>2092</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2065</v>
      </c>
      <c r="D19" s="1865" t="s">
        <v>2065</v>
      </c>
      <c r="E19" s="1868" t="s">
        <v>2065</v>
      </c>
      <c r="F19" s="1867" t="s">
        <v>2093</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2094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t="s">
        <v>2065</v>
      </c>
      <c r="F31" s="1867" t="s">
        <v>2095</v>
      </c>
      <c r="H31" s="1878">
        <f t="shared" si="0"/>
        <v>5</v>
      </c>
      <c r="I31" s="1878">
        <f t="shared" si="1"/>
        <v>5</v>
      </c>
      <c r="J31" s="1878">
        <f t="shared" si="2"/>
        <v>5</v>
      </c>
      <c r="L31" s="1869"/>
    </row>
    <row r="32" spans="1:12" ht="12" customHeight="1" x14ac:dyDescent="0.2">
      <c r="A32" s="1863" t="s">
        <v>1540</v>
      </c>
      <c r="B32" s="1864"/>
      <c r="C32" s="1865" t="s">
        <v>2065</v>
      </c>
      <c r="D32" s="1865" t="s">
        <v>2065</v>
      </c>
      <c r="E32" s="1868" t="s">
        <v>2065</v>
      </c>
      <c r="F32" s="1867" t="s">
        <v>2096</v>
      </c>
      <c r="H32" s="1878">
        <f t="shared" si="0"/>
        <v>5</v>
      </c>
      <c r="I32" s="1878">
        <f t="shared" si="1"/>
        <v>5</v>
      </c>
      <c r="J32" s="1878">
        <f t="shared" si="2"/>
        <v>5</v>
      </c>
    </row>
    <row r="33" spans="1:11" ht="12" customHeight="1" x14ac:dyDescent="0.2">
      <c r="A33" s="1863" t="s">
        <v>1541</v>
      </c>
      <c r="B33" s="1864"/>
      <c r="C33" s="1865" t="s">
        <v>2065</v>
      </c>
      <c r="D33" s="1865" t="s">
        <v>2065</v>
      </c>
      <c r="E33" s="1868" t="s">
        <v>2065</v>
      </c>
      <c r="F33" s="1867" t="s">
        <v>2097</v>
      </c>
      <c r="H33" s="1878">
        <f t="shared" si="0"/>
        <v>5</v>
      </c>
      <c r="I33" s="1878">
        <f t="shared" si="1"/>
        <v>5</v>
      </c>
      <c r="J33" s="1878">
        <f t="shared" si="2"/>
        <v>5</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297"/>
      <c r="B43" s="2298"/>
      <c r="C43" s="2298"/>
      <c r="D43" s="2298"/>
      <c r="E43" s="2298"/>
      <c r="F43" s="2299"/>
      <c r="H43" s="1879"/>
      <c r="I43" s="1879"/>
      <c r="J43" s="1879"/>
      <c r="K43" s="1879"/>
    </row>
    <row r="44" spans="1:11" s="1870" customFormat="1" ht="12" hidden="1" customHeight="1" x14ac:dyDescent="0.25">
      <c r="A44" s="2297"/>
      <c r="B44" s="2298"/>
      <c r="C44" s="2298"/>
      <c r="D44" s="2298"/>
      <c r="E44" s="2298"/>
      <c r="F44" s="229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A7" sqref="A7:E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R O W V A CUSD 208</v>
      </c>
      <c r="J6" s="2325"/>
      <c r="Q6" s="1664"/>
    </row>
    <row r="7" spans="1:17" x14ac:dyDescent="0.2">
      <c r="A7" s="2326" t="s">
        <v>869</v>
      </c>
      <c r="B7" s="2327"/>
      <c r="C7" s="2327"/>
      <c r="D7" s="2327"/>
      <c r="E7" s="2328"/>
      <c r="F7" s="1017"/>
      <c r="G7" s="1009"/>
      <c r="H7" s="1016" t="s">
        <v>372</v>
      </c>
      <c r="I7" s="2329">
        <f>COVER!A13</f>
        <v>33048208026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211562</v>
      </c>
      <c r="F12" s="1039"/>
      <c r="G12" s="1811">
        <f t="shared" ref="G12:G18" si="0">SUM(E12:F12)</f>
        <v>211562</v>
      </c>
      <c r="H12" s="1040">
        <v>222652</v>
      </c>
      <c r="I12" s="1039"/>
      <c r="J12" s="1811">
        <f t="shared" ref="J12:J18" si="1">SUM(H12:I12)</f>
        <v>222652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211562</v>
      </c>
      <c r="F19" s="1813">
        <f t="shared" si="2"/>
        <v>0</v>
      </c>
      <c r="G19" s="1813">
        <f t="shared" si="2"/>
        <v>211562</v>
      </c>
      <c r="H19" s="1813">
        <f t="shared" si="2"/>
        <v>222652</v>
      </c>
      <c r="I19" s="1813">
        <f t="shared" si="2"/>
        <v>0</v>
      </c>
      <c r="J19" s="1813">
        <f t="shared" si="2"/>
        <v>222652</v>
      </c>
    </row>
    <row r="20" spans="1:10" ht="13.5" thickTop="1" x14ac:dyDescent="0.2">
      <c r="A20" s="1035">
        <v>9</v>
      </c>
      <c r="B20" s="2336" t="s">
        <v>1979</v>
      </c>
      <c r="C20" s="2336"/>
      <c r="D20" s="2337"/>
      <c r="E20" s="1046"/>
      <c r="F20" s="1046"/>
      <c r="G20" s="1046"/>
      <c r="H20" s="1046"/>
      <c r="I20" s="1046"/>
      <c r="J20" s="1814">
        <f>IF(AND(G19&gt;0,J19&gt;0),(((J19-G19)/G19)),"Enter Budget Data")</f>
        <v>5.241962167118859E-2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1981</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3"/>
  <sheetViews>
    <sheetView showGridLines="0" zoomScale="110" zoomScaleNormal="110" workbookViewId="0">
      <selection activeCell="B24" sqref="B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42" t="s">
        <v>2098</v>
      </c>
    </row>
    <row r="5" spans="1:2" x14ac:dyDescent="0.2">
      <c r="A5" s="1068">
        <v>1</v>
      </c>
      <c r="B5" s="329" t="s">
        <v>2104</v>
      </c>
    </row>
    <row r="6" spans="1:2" x14ac:dyDescent="0.2">
      <c r="A6" s="1068">
        <v>2</v>
      </c>
      <c r="B6" s="329" t="s">
        <v>2105</v>
      </c>
    </row>
    <row r="7" spans="1:2" x14ac:dyDescent="0.2">
      <c r="A7" s="1068">
        <v>3</v>
      </c>
      <c r="B7" s="329" t="s">
        <v>2108</v>
      </c>
    </row>
    <row r="8" spans="1:2" x14ac:dyDescent="0.2">
      <c r="A8" s="1068"/>
      <c r="B8" s="1943" t="s">
        <v>2109</v>
      </c>
    </row>
    <row r="9" spans="1:2" x14ac:dyDescent="0.2">
      <c r="A9" s="1068">
        <v>4</v>
      </c>
      <c r="B9" s="1943" t="s">
        <v>2110</v>
      </c>
    </row>
    <row r="10" spans="1:2" x14ac:dyDescent="0.2">
      <c r="A10" s="1069"/>
    </row>
    <row r="11" spans="1:2" x14ac:dyDescent="0.2">
      <c r="A11" s="1069"/>
      <c r="B11" s="1942" t="s">
        <v>2099</v>
      </c>
    </row>
    <row r="12" spans="1:2" x14ac:dyDescent="0.2">
      <c r="A12" s="1069">
        <v>5</v>
      </c>
      <c r="B12" s="329" t="s">
        <v>2106</v>
      </c>
    </row>
    <row r="13" spans="1:2" x14ac:dyDescent="0.2">
      <c r="A13" s="1069"/>
    </row>
    <row r="14" spans="1:2" x14ac:dyDescent="0.2">
      <c r="A14" s="1069"/>
      <c r="B14" s="1942" t="s">
        <v>2100</v>
      </c>
    </row>
    <row r="15" spans="1:2" x14ac:dyDescent="0.2">
      <c r="A15" s="1069">
        <v>6</v>
      </c>
      <c r="B15" s="329" t="s">
        <v>2107</v>
      </c>
    </row>
    <row r="16" spans="1:2" x14ac:dyDescent="0.2">
      <c r="A16" s="1069"/>
    </row>
    <row r="17" spans="1:2" x14ac:dyDescent="0.2">
      <c r="A17" s="1069"/>
      <c r="B17" s="1942" t="s">
        <v>935</v>
      </c>
    </row>
    <row r="18" spans="1:2" x14ac:dyDescent="0.2">
      <c r="A18" s="1069">
        <v>7</v>
      </c>
      <c r="B18" s="329" t="s">
        <v>2101</v>
      </c>
    </row>
    <row r="19" spans="1:2" x14ac:dyDescent="0.2">
      <c r="A19" s="1069"/>
    </row>
    <row r="20" spans="1:2" x14ac:dyDescent="0.2">
      <c r="A20" s="1069"/>
      <c r="B20" s="1942" t="s">
        <v>2147</v>
      </c>
    </row>
    <row r="21" spans="1:2" x14ac:dyDescent="0.2">
      <c r="A21" s="1069">
        <v>8</v>
      </c>
      <c r="B21" s="180" t="s">
        <v>2149</v>
      </c>
    </row>
    <row r="22" spans="1:2" x14ac:dyDescent="0.2">
      <c r="A22" s="1069"/>
      <c r="B22" s="329" t="s">
        <v>2148</v>
      </c>
    </row>
    <row r="23" spans="1:2" x14ac:dyDescent="0.2">
      <c r="A23" s="1069"/>
    </row>
    <row r="24" spans="1:2" x14ac:dyDescent="0.2">
      <c r="A24" s="1069"/>
      <c r="B24" s="1942" t="s">
        <v>2102</v>
      </c>
    </row>
    <row r="25" spans="1:2" x14ac:dyDescent="0.2">
      <c r="A25" s="1069">
        <v>9</v>
      </c>
      <c r="B25" s="329" t="s">
        <v>2103</v>
      </c>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R O W V A CUSD 208</v>
      </c>
    </row>
    <row r="63" spans="1:2" x14ac:dyDescent="0.2">
      <c r="B63" s="1070">
        <f>COVER!A13</f>
        <v>33048208026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T44" sqref="T44:AA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E7" sqref="E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intergral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7891"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37891" r:id="rId4"/>
      </mc:Fallback>
    </mc:AlternateContent>
    <mc:AlternateContent xmlns:mc="http://schemas.openxmlformats.org/markup-compatibility/2006">
      <mc:Choice Requires="x14">
        <oleObject progId="Acrobat Document" dvAspect="DVASPECT_ICON" shapeId="37892" r:id="rId6">
          <objectPr defaultSize="0" r:id="rId7">
            <anchor moveWithCells="1">
              <from>
                <xdr:col>1</xdr:col>
                <xdr:colOff>28575</xdr:colOff>
                <xdr:row>7</xdr:row>
                <xdr:rowOff>142875</xdr:rowOff>
              </from>
              <to>
                <xdr:col>1</xdr:col>
                <xdr:colOff>942975</xdr:colOff>
                <xdr:row>12</xdr:row>
                <xdr:rowOff>104775</xdr:rowOff>
              </to>
            </anchor>
          </objectPr>
        </oleObject>
      </mc:Choice>
      <mc:Fallback>
        <oleObject progId="Acrobat Document" dvAspect="DVASPECT_ICON" shapeId="3789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2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1986</v>
      </c>
      <c r="B4" s="2364"/>
      <c r="C4" s="2364"/>
      <c r="D4" s="2364"/>
      <c r="E4" s="2364"/>
      <c r="F4" s="2365"/>
      <c r="G4" s="1074"/>
      <c r="H4" s="1074"/>
    </row>
    <row r="5" spans="1:8" ht="14.25" customHeight="1" x14ac:dyDescent="0.2">
      <c r="A5" s="2366" t="s">
        <v>1982</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5254824</v>
      </c>
      <c r="C8" s="1815">
        <f>'Acct Summary 7-8'!D8</f>
        <v>412465</v>
      </c>
      <c r="D8" s="1815">
        <f>'Acct Summary 7-8'!F8</f>
        <v>447191</v>
      </c>
      <c r="E8" s="1815">
        <f>'Acct Summary 7-8'!I8</f>
        <v>39830</v>
      </c>
      <c r="F8" s="1815">
        <f>SUM(B8:E8)</f>
        <v>6154310</v>
      </c>
    </row>
    <row r="9" spans="1:8" s="1079" customFormat="1" ht="14.25" customHeight="1" thickBot="1" x14ac:dyDescent="0.25">
      <c r="A9" s="1078" t="s">
        <v>1369</v>
      </c>
      <c r="B9" s="1816">
        <f>'Acct Summary 7-8'!C17</f>
        <v>4900280</v>
      </c>
      <c r="C9" s="1816">
        <f>'Acct Summary 7-8'!D17</f>
        <v>478772</v>
      </c>
      <c r="D9" s="1816">
        <f>'Acct Summary 7-8'!F17</f>
        <v>487767</v>
      </c>
      <c r="E9" s="1815"/>
      <c r="F9" s="1815">
        <f>SUM(B9:E9)</f>
        <v>5866819</v>
      </c>
    </row>
    <row r="10" spans="1:8" s="1079" customFormat="1" ht="14.25" thickTop="1" thickBot="1" x14ac:dyDescent="0.25">
      <c r="A10" s="1080" t="s">
        <v>1370</v>
      </c>
      <c r="B10" s="1817">
        <f>(B8-B9)</f>
        <v>354544</v>
      </c>
      <c r="C10" s="1817">
        <f>(C8-C9)</f>
        <v>-66307</v>
      </c>
      <c r="D10" s="1817">
        <f>(D8-D9)</f>
        <v>-40576</v>
      </c>
      <c r="E10" s="1816">
        <f>(E8-E9)</f>
        <v>39830</v>
      </c>
      <c r="F10" s="1818">
        <f>SUM(F8-F9)</f>
        <v>287491</v>
      </c>
    </row>
    <row r="11" spans="1:8" s="1079" customFormat="1" ht="14.25" thickTop="1" thickBot="1" x14ac:dyDescent="0.25">
      <c r="A11" s="1081" t="s">
        <v>1983</v>
      </c>
      <c r="B11" s="1819">
        <f>'Acct Summary 7-8'!C81</f>
        <v>1579035</v>
      </c>
      <c r="C11" s="1819">
        <f>'Acct Summary 7-8'!D81</f>
        <v>483234</v>
      </c>
      <c r="D11" s="1819">
        <f>'Acct Summary 7-8'!F81</f>
        <v>514961</v>
      </c>
      <c r="E11" s="1819">
        <f>'Acct Summary 7-8'!I81</f>
        <v>23127</v>
      </c>
      <c r="F11" s="1820">
        <f>SUM(B11:E11)</f>
        <v>2600357</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33048208026</v>
      </c>
    </row>
    <row r="3" spans="1:2" x14ac:dyDescent="0.2">
      <c r="A3" t="s">
        <v>956</v>
      </c>
      <c r="B3" s="138" t="str">
        <f>COVER!A15</f>
        <v>KNOX AND HENRY</v>
      </c>
    </row>
    <row r="4" spans="1:2" x14ac:dyDescent="0.2">
      <c r="A4" t="s">
        <v>1007</v>
      </c>
      <c r="B4" s="138" t="str">
        <f>COVER!A17</f>
        <v>R O W V A CUSD 208</v>
      </c>
    </row>
    <row r="5" spans="1:2" x14ac:dyDescent="0.2">
      <c r="A5" t="s">
        <v>704</v>
      </c>
      <c r="B5" s="138" t="str">
        <f>COVER!A38</f>
        <v>JOE SORNBERGER</v>
      </c>
    </row>
    <row r="6" spans="1:2" x14ac:dyDescent="0.2">
      <c r="A6" t="s">
        <v>709</v>
      </c>
      <c r="B6" s="138">
        <f>COVER!P35</f>
        <v>0</v>
      </c>
    </row>
    <row r="7" spans="1:2" x14ac:dyDescent="0.2">
      <c r="A7" t="s">
        <v>705</v>
      </c>
      <c r="B7" s="138">
        <f>COVER!I38</f>
        <v>0</v>
      </c>
    </row>
    <row r="8" spans="1:2" x14ac:dyDescent="0.2">
      <c r="A8" t="s">
        <v>706</v>
      </c>
      <c r="B8" s="138" t="str">
        <f>COVER!T38</f>
        <v>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065-024137</v>
      </c>
    </row>
    <row r="16" spans="1:2" x14ac:dyDescent="0.2">
      <c r="A16" t="s">
        <v>422</v>
      </c>
      <c r="B16" s="138" t="str">
        <f>COVER!T13</f>
        <v>BLUCKER, KNEER &amp; ASSOCIATES, LTD.</v>
      </c>
    </row>
    <row r="17" spans="1:2" x14ac:dyDescent="0.2">
      <c r="A17" t="s">
        <v>884</v>
      </c>
      <c r="B17" s="138" t="str">
        <f>COVER!T15</f>
        <v>TERESA A. WELCH</v>
      </c>
    </row>
    <row r="18" spans="1:2" x14ac:dyDescent="0.2">
      <c r="A18" t="s">
        <v>1150</v>
      </c>
      <c r="B18" s="138" t="str">
        <f>COVER!T17</f>
        <v>P.O. BOX 1464</v>
      </c>
    </row>
    <row r="19" spans="1:2" x14ac:dyDescent="0.2">
      <c r="A19" t="s">
        <v>886</v>
      </c>
      <c r="B19" s="138" t="str">
        <f>COVER!T25</f>
        <v>teresabka@gmail.com</v>
      </c>
    </row>
    <row r="20" spans="1:2" x14ac:dyDescent="0.2">
      <c r="A20" t="s">
        <v>887</v>
      </c>
      <c r="B20" s="138" t="str">
        <f>COVER!T19</f>
        <v>GALESBURG</v>
      </c>
    </row>
    <row r="21" spans="1:2" x14ac:dyDescent="0.2">
      <c r="A21" t="s">
        <v>479</v>
      </c>
      <c r="B21" s="138" t="str">
        <f>COVER!X19</f>
        <v>IL</v>
      </c>
    </row>
    <row r="22" spans="1:2" x14ac:dyDescent="0.2">
      <c r="A22" t="s">
        <v>888</v>
      </c>
      <c r="B22" s="138">
        <f>COVER!Z19</f>
        <v>61401</v>
      </c>
    </row>
    <row r="23" spans="1:2" x14ac:dyDescent="0.2">
      <c r="A23" t="s">
        <v>1152</v>
      </c>
      <c r="B23" s="138" t="str">
        <f>COVER!T21</f>
        <v>309-343-4156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1529278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1579035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1579035</v>
      </c>
      <c r="D92" s="2" t="str">
        <f t="shared" si="0"/>
        <v>Error?</v>
      </c>
    </row>
    <row r="93" spans="1:4" x14ac:dyDescent="0.2">
      <c r="A93" s="5">
        <v>32</v>
      </c>
      <c r="B93" s="138">
        <f>'Assets-Liab 5-6'!C41</f>
        <v>1579035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473943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483234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483234</v>
      </c>
      <c r="D123" s="2" t="str">
        <f t="shared" si="0"/>
        <v>Error?</v>
      </c>
    </row>
    <row r="124" spans="1:4" x14ac:dyDescent="0.2">
      <c r="A124" s="5">
        <v>63</v>
      </c>
      <c r="B124" s="138">
        <f>'Assets-Liab 5-6'!D41</f>
        <v>483234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708496</v>
      </c>
      <c r="D129" s="2" t="str">
        <f t="shared" si="1"/>
        <v>Error?</v>
      </c>
    </row>
    <row r="130" spans="1:4" x14ac:dyDescent="0.2">
      <c r="A130" s="5">
        <v>69</v>
      </c>
      <c r="B130" s="138">
        <f>'Assets-Liab 5-6'!E12</f>
        <v>0</v>
      </c>
      <c r="D130" s="2" t="str">
        <f t="shared" si="1"/>
        <v>Error?</v>
      </c>
    </row>
    <row r="131" spans="1:4" x14ac:dyDescent="0.2">
      <c r="A131" s="5">
        <v>70</v>
      </c>
      <c r="B131" s="138">
        <f>'Assets-Liab 5-6'!E13</f>
        <v>720716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720716</v>
      </c>
      <c r="D140" s="2" t="str">
        <f t="shared" si="1"/>
        <v>Error?</v>
      </c>
    </row>
    <row r="141" spans="1:4" x14ac:dyDescent="0.2">
      <c r="A141" s="5">
        <v>80</v>
      </c>
      <c r="B141" s="138">
        <f>'Assets-Liab 5-6'!E41</f>
        <v>720716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503546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514961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514961</v>
      </c>
      <c r="D170" s="2" t="str">
        <f t="shared" si="1"/>
        <v>Error?</v>
      </c>
    </row>
    <row r="171" spans="1:4" x14ac:dyDescent="0.2">
      <c r="A171" s="5">
        <v>110</v>
      </c>
      <c r="B171" s="138">
        <f>'Assets-Liab 5-6'!F41</f>
        <v>514961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210959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222988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222988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12578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16245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16245</v>
      </c>
      <c r="D212" s="2" t="str">
        <f t="shared" si="2"/>
        <v>Error?</v>
      </c>
    </row>
    <row r="213" spans="1:4" x14ac:dyDescent="0.2">
      <c r="A213" s="12">
        <v>152</v>
      </c>
      <c r="B213" s="138">
        <f>'Assets-Liab 5-6'!H41</f>
        <v>16245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11491717</v>
      </c>
      <c r="D274" s="2" t="str">
        <f t="shared" si="3"/>
        <v>Error?</v>
      </c>
    </row>
    <row r="275" spans="1:4" x14ac:dyDescent="0.2">
      <c r="A275" s="5">
        <v>214</v>
      </c>
      <c r="B275" s="138">
        <f>'Assets-Liab 5-6'!M18</f>
        <v>105961</v>
      </c>
      <c r="D275" s="2" t="str">
        <f t="shared" si="3"/>
        <v>Error?</v>
      </c>
    </row>
    <row r="276" spans="1:4" x14ac:dyDescent="0.2">
      <c r="A276" s="5">
        <v>215</v>
      </c>
      <c r="B276" s="138">
        <f>'Assets-Liab 5-6'!M19</f>
        <v>1674194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13585975</v>
      </c>
      <c r="C279" s="2" t="s">
        <v>573</v>
      </c>
      <c r="D279" s="2" t="str">
        <f t="shared" si="3"/>
        <v>Error?</v>
      </c>
    </row>
    <row r="280" spans="1:4" x14ac:dyDescent="0.2">
      <c r="A280" s="5">
        <v>219</v>
      </c>
      <c r="B280" s="138">
        <f>'Assets-Liab 5-6'!M40</f>
        <v>13585975</v>
      </c>
      <c r="D280" s="2" t="str">
        <f t="shared" si="3"/>
        <v>Error?</v>
      </c>
    </row>
    <row r="281" spans="1:4" x14ac:dyDescent="0.2">
      <c r="A281" s="5">
        <v>220</v>
      </c>
      <c r="B281" s="138">
        <f>'Assets-Liab 5-6'!M41</f>
        <v>13585975</v>
      </c>
      <c r="C281" s="2" t="s">
        <v>573</v>
      </c>
      <c r="D281" s="2" t="str">
        <f t="shared" si="3"/>
        <v>Error?</v>
      </c>
    </row>
    <row r="282" spans="1:4" x14ac:dyDescent="0.2">
      <c r="A282" s="5">
        <v>221</v>
      </c>
      <c r="B282" s="138">
        <f>'Assets-Liab 5-6'!N21</f>
        <v>720716</v>
      </c>
      <c r="D282" s="2" t="str">
        <f t="shared" si="3"/>
        <v>Error?</v>
      </c>
    </row>
    <row r="283" spans="1:4" x14ac:dyDescent="0.2">
      <c r="A283" s="5">
        <v>222</v>
      </c>
      <c r="B283" s="138">
        <f>'Assets-Liab 5-6'!N22</f>
        <v>6647409</v>
      </c>
      <c r="D283" s="2" t="str">
        <f t="shared" si="3"/>
        <v>Error?</v>
      </c>
    </row>
    <row r="284" spans="1:4" x14ac:dyDescent="0.2">
      <c r="A284" s="5">
        <v>223</v>
      </c>
      <c r="B284" s="138">
        <f>'Assets-Liab 5-6'!N23</f>
        <v>7368125</v>
      </c>
      <c r="C284" s="2" t="s">
        <v>573</v>
      </c>
      <c r="D284" s="2" t="str">
        <f t="shared" si="3"/>
        <v>Error?</v>
      </c>
    </row>
    <row r="285" spans="1:4" x14ac:dyDescent="0.2">
      <c r="A285" s="5">
        <v>224</v>
      </c>
      <c r="B285" s="138">
        <f>'Assets-Liab 5-6'!N36</f>
        <v>7368125</v>
      </c>
      <c r="D285" s="2" t="str">
        <f t="shared" si="3"/>
        <v>Error?</v>
      </c>
    </row>
    <row r="286" spans="1:4" x14ac:dyDescent="0.2">
      <c r="A286" s="10">
        <v>225</v>
      </c>
      <c r="D286" s="2" t="str">
        <f t="shared" si="3"/>
        <v>OK</v>
      </c>
    </row>
    <row r="287" spans="1:4" x14ac:dyDescent="0.2">
      <c r="A287" s="5">
        <v>226</v>
      </c>
      <c r="B287" s="138">
        <f>'Assets-Liab 5-6'!N37</f>
        <v>7368125</v>
      </c>
      <c r="C287" s="2" t="s">
        <v>573</v>
      </c>
      <c r="D287" s="2" t="str">
        <f t="shared" si="3"/>
        <v>Error?</v>
      </c>
    </row>
    <row r="288" spans="1:4" x14ac:dyDescent="0.2">
      <c r="A288" s="5">
        <v>227</v>
      </c>
      <c r="B288" s="138">
        <f>'Assets-Liab 5-6'!N41</f>
        <v>7368125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2264972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127519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2792795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55432</v>
      </c>
      <c r="D722" s="2" t="str">
        <f t="shared" si="10"/>
        <v>Error?</v>
      </c>
    </row>
    <row r="723" spans="1:4" x14ac:dyDescent="0.2">
      <c r="A723" s="5">
        <v>662</v>
      </c>
      <c r="B723" s="138">
        <f>'Expenditures 15-22'!C38</f>
        <v>18638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74070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48026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48026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175662</v>
      </c>
      <c r="D733" s="2" t="str">
        <f t="shared" si="10"/>
        <v>Error?</v>
      </c>
    </row>
    <row r="734" spans="1:4" x14ac:dyDescent="0.2">
      <c r="A734" s="5">
        <v>673</v>
      </c>
      <c r="B734" s="138">
        <f>'Expenditures 15-22'!C53</f>
        <v>175662</v>
      </c>
      <c r="C734" s="2" t="s">
        <v>573</v>
      </c>
      <c r="D734" s="2" t="str">
        <f t="shared" si="10"/>
        <v>Error?</v>
      </c>
    </row>
    <row r="735" spans="1:4" x14ac:dyDescent="0.2">
      <c r="A735" s="5">
        <v>674</v>
      </c>
      <c r="B735" s="138">
        <f>'Expenditures 15-22'!C55</f>
        <v>203349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203349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74641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76518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151159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652266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3445061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297174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1349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361490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6274</v>
      </c>
      <c r="D780" s="2" t="str">
        <f t="shared" si="11"/>
        <v>Error?</v>
      </c>
    </row>
    <row r="781" spans="1:4" x14ac:dyDescent="0.2">
      <c r="A781" s="5">
        <v>720</v>
      </c>
      <c r="B781" s="138">
        <f>'Expenditures 15-22'!D38</f>
        <v>5584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11858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6159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6159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12266</v>
      </c>
      <c r="D791" s="2" t="str">
        <f t="shared" si="11"/>
        <v>Error?</v>
      </c>
    </row>
    <row r="792" spans="1:4" x14ac:dyDescent="0.2">
      <c r="A792" s="5">
        <v>731</v>
      </c>
      <c r="B792" s="138">
        <f>'Expenditures 15-22'!D53</f>
        <v>12266</v>
      </c>
      <c r="C792" s="2" t="s">
        <v>573</v>
      </c>
      <c r="D792" s="2" t="str">
        <f t="shared" si="11"/>
        <v>Error?</v>
      </c>
    </row>
    <row r="793" spans="1:4" x14ac:dyDescent="0.2">
      <c r="A793" s="5">
        <v>732</v>
      </c>
      <c r="B793" s="138">
        <f>'Expenditures 15-22'!D55</f>
        <v>25419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25419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12822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21034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76736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438226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57963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660</v>
      </c>
      <c r="D833" s="2" t="str">
        <f t="shared" si="12"/>
        <v>Error?</v>
      </c>
    </row>
    <row r="834" spans="1:4" x14ac:dyDescent="0.2">
      <c r="A834" s="5">
        <v>773</v>
      </c>
      <c r="B834" s="138">
        <f>'Expenditures 15-22'!E14</f>
        <v>28624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93320</v>
      </c>
      <c r="C836" s="2" t="s">
        <v>573</v>
      </c>
      <c r="D836" s="2" t="str">
        <f t="shared" si="12"/>
        <v>Error?</v>
      </c>
    </row>
    <row r="837" spans="1:4" x14ac:dyDescent="0.2">
      <c r="A837" s="5">
        <v>776</v>
      </c>
      <c r="B837" s="138">
        <f>'Expenditures 15-22'!E36</f>
        <v>26915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27785</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9067</v>
      </c>
      <c r="D848" s="2" t="str">
        <f t="shared" si="12"/>
        <v>Error?</v>
      </c>
    </row>
    <row r="849" spans="1:4" x14ac:dyDescent="0.2">
      <c r="A849" s="5">
        <v>788</v>
      </c>
      <c r="B849" s="138">
        <f>'Expenditures 15-22'!E50</f>
        <v>8477</v>
      </c>
      <c r="D849" s="2" t="str">
        <f t="shared" si="12"/>
        <v>Error?</v>
      </c>
    </row>
    <row r="850" spans="1:4" x14ac:dyDescent="0.2">
      <c r="A850" s="5">
        <v>789</v>
      </c>
      <c r="B850" s="138">
        <f>'Expenditures 15-22'!E53</f>
        <v>17544</v>
      </c>
      <c r="C850" s="2" t="s">
        <v>573</v>
      </c>
      <c r="D850" s="2" t="str">
        <f t="shared" si="12"/>
        <v>Error?</v>
      </c>
    </row>
    <row r="851" spans="1:4" x14ac:dyDescent="0.2">
      <c r="A851" s="5">
        <v>790</v>
      </c>
      <c r="B851" s="138">
        <f>'Expenditures 15-22'!E55</f>
        <v>4421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4421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11258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15929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65679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158999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69985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32839</v>
      </c>
      <c r="D891" s="2" t="str">
        <f t="shared" si="12"/>
        <v>Error?</v>
      </c>
    </row>
    <row r="892" spans="1:4" x14ac:dyDescent="0.2">
      <c r="A892" s="5">
        <v>831</v>
      </c>
      <c r="B892" s="138">
        <f>'Expenditures 15-22'!F14</f>
        <v>10115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141887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175</v>
      </c>
      <c r="D896" s="2" t="str">
        <f t="shared" si="13"/>
        <v>Error?</v>
      </c>
    </row>
    <row r="897" spans="1:4" x14ac:dyDescent="0.2">
      <c r="A897" s="5">
        <v>836</v>
      </c>
      <c r="B897" s="138">
        <f>'Expenditures 15-22'!F38</f>
        <v>101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3435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3435</v>
      </c>
      <c r="C905" s="2" t="s">
        <v>573</v>
      </c>
      <c r="D905" s="2" t="str">
        <f t="shared" si="13"/>
        <v>Error?</v>
      </c>
    </row>
    <row r="906" spans="1:4" x14ac:dyDescent="0.2">
      <c r="A906" s="5">
        <v>845</v>
      </c>
      <c r="B906" s="138">
        <f>'Expenditures 15-22'!F49</f>
        <v>1895</v>
      </c>
      <c r="D906" s="2" t="str">
        <f t="shared" si="13"/>
        <v>Error?</v>
      </c>
    </row>
    <row r="907" spans="1:4" x14ac:dyDescent="0.2">
      <c r="A907" s="5">
        <v>846</v>
      </c>
      <c r="B907" s="138">
        <f>'Expenditures 15-22'!F50</f>
        <v>5043</v>
      </c>
      <c r="D907" s="2" t="str">
        <f t="shared" si="13"/>
        <v>Error?</v>
      </c>
    </row>
    <row r="908" spans="1:4" x14ac:dyDescent="0.2">
      <c r="A908" s="5">
        <v>847</v>
      </c>
      <c r="B908" s="138">
        <f>'Expenditures 15-22'!F53</f>
        <v>6938</v>
      </c>
      <c r="C908" s="2" t="s">
        <v>573</v>
      </c>
      <c r="D908" s="2" t="str">
        <f t="shared" si="13"/>
        <v>Error?</v>
      </c>
    </row>
    <row r="909" spans="1:4" x14ac:dyDescent="0.2">
      <c r="A909" s="5">
        <v>848</v>
      </c>
      <c r="B909" s="138">
        <f>'Expenditures 15-22'!F55</f>
        <v>2533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2533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87108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87108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100290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242177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46868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5608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76959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5000</v>
      </c>
      <c r="D965" s="2" t="str">
        <f t="shared" si="14"/>
        <v>Error?</v>
      </c>
    </row>
    <row r="966" spans="1:4" x14ac:dyDescent="0.2">
      <c r="A966" s="5">
        <v>905</v>
      </c>
      <c r="B966" s="138">
        <f>'Expenditures 15-22'!G53</f>
        <v>5000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6684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6684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11684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88643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5114</v>
      </c>
      <c r="D1023" s="2" t="str">
        <f t="shared" ref="D1023:D1086" si="15">IF(ISBLANK(B1023),"OK",IF(A1023-B1023=0,"OK","Error?"))</f>
        <v>Error?</v>
      </c>
    </row>
    <row r="1024" spans="1:4" x14ac:dyDescent="0.2">
      <c r="A1024" s="5">
        <v>963</v>
      </c>
      <c r="B1024" s="138">
        <f>'Expenditures 15-22'!H53</f>
        <v>5114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5114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521958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527174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2737064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33499</v>
      </c>
      <c r="C1105" s="2" t="s">
        <v>573</v>
      </c>
      <c r="D1105" s="2" t="str">
        <f t="shared" si="16"/>
        <v>Error?</v>
      </c>
    </row>
    <row r="1106" spans="1:4" x14ac:dyDescent="0.2">
      <c r="A1106" s="5">
        <v>1045</v>
      </c>
      <c r="B1106" s="138">
        <f>'Expenditures 15-22'!K14</f>
        <v>173215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3466553</v>
      </c>
      <c r="C1108" s="2" t="s">
        <v>573</v>
      </c>
      <c r="D1108" s="2" t="str">
        <f t="shared" si="16"/>
        <v>Error?</v>
      </c>
    </row>
    <row r="1109" spans="1:4" x14ac:dyDescent="0.2">
      <c r="A1109" s="5">
        <v>1048</v>
      </c>
      <c r="B1109" s="138">
        <f>'Expenditures 15-22'!K36</f>
        <v>26915</v>
      </c>
      <c r="C1109" s="2" t="s">
        <v>573</v>
      </c>
      <c r="D1109" s="2" t="str">
        <f t="shared" si="16"/>
        <v>Error?</v>
      </c>
    </row>
    <row r="1110" spans="1:4" x14ac:dyDescent="0.2">
      <c r="A1110" s="5">
        <v>1049</v>
      </c>
      <c r="B1110" s="138">
        <f>'Expenditures 15-22'!K37</f>
        <v>61881</v>
      </c>
      <c r="C1110" s="2" t="s">
        <v>573</v>
      </c>
      <c r="D1110" s="2" t="str">
        <f t="shared" si="16"/>
        <v>Error?</v>
      </c>
    </row>
    <row r="1111" spans="1:4" x14ac:dyDescent="0.2">
      <c r="A1111" s="5">
        <v>1050</v>
      </c>
      <c r="B1111" s="138">
        <f>'Expenditures 15-22'!K38</f>
        <v>25193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113989</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57620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57620</v>
      </c>
      <c r="C1119" s="2" t="s">
        <v>573</v>
      </c>
      <c r="D1119" s="2" t="str">
        <f t="shared" si="16"/>
        <v>Error?</v>
      </c>
    </row>
    <row r="1120" spans="1:4" x14ac:dyDescent="0.2">
      <c r="A1120" s="5">
        <v>1059</v>
      </c>
      <c r="B1120" s="138">
        <f>'Expenditures 15-22'!K49</f>
        <v>10962</v>
      </c>
      <c r="C1120" s="2" t="s">
        <v>573</v>
      </c>
      <c r="D1120" s="2" t="str">
        <f t="shared" si="16"/>
        <v>Error?</v>
      </c>
    </row>
    <row r="1121" spans="1:4" x14ac:dyDescent="0.2">
      <c r="A1121" s="5">
        <v>1060</v>
      </c>
      <c r="B1121" s="138">
        <f>'Expenditures 15-22'!K50</f>
        <v>211562</v>
      </c>
      <c r="C1121" s="2" t="s">
        <v>573</v>
      </c>
      <c r="D1121" s="2" t="str">
        <f t="shared" si="16"/>
        <v>Error?</v>
      </c>
    </row>
    <row r="1122" spans="1:4" x14ac:dyDescent="0.2">
      <c r="A1122" s="5">
        <v>1061</v>
      </c>
      <c r="B1122" s="138">
        <f>'Expenditures 15-22'!K53</f>
        <v>222524</v>
      </c>
      <c r="C1122" s="2" t="s">
        <v>573</v>
      </c>
      <c r="D1122" s="2" t="str">
        <f t="shared" si="16"/>
        <v>Error?</v>
      </c>
    </row>
    <row r="1123" spans="1:4" x14ac:dyDescent="0.2">
      <c r="A1123" s="5">
        <v>1062</v>
      </c>
      <c r="B1123" s="138">
        <f>'Expenditures 15-22'!K55</f>
        <v>235722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235722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82853</v>
      </c>
      <c r="C1127" s="2" t="s">
        <v>573</v>
      </c>
      <c r="D1127" s="2" t="str">
        <f t="shared" si="16"/>
        <v>Error?</v>
      </c>
    </row>
    <row r="1128" spans="1:4" x14ac:dyDescent="0.2">
      <c r="A1128" s="5">
        <v>1067</v>
      </c>
      <c r="B1128" s="138">
        <f>'Expenditures 15-22'!K61</f>
        <v>11258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187803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281914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911769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521958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4900280</v>
      </c>
      <c r="C1152" s="2" t="s">
        <v>573</v>
      </c>
      <c r="D1152" s="2" t="str">
        <f t="shared" si="17"/>
        <v>Error?</v>
      </c>
    </row>
    <row r="1153" spans="1:4" x14ac:dyDescent="0.2">
      <c r="A1153" s="5">
        <v>1092</v>
      </c>
      <c r="B1153" s="138">
        <f>'Expenditures 15-22'!K115</f>
        <v>354544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119838</v>
      </c>
      <c r="D1221" s="2" t="str">
        <f t="shared" si="18"/>
        <v>Error?</v>
      </c>
    </row>
    <row r="1222" spans="1:4" x14ac:dyDescent="0.2">
      <c r="A1222" s="10">
        <v>1161</v>
      </c>
      <c r="D1222" s="2" t="str">
        <f t="shared" si="18"/>
        <v>OK</v>
      </c>
    </row>
    <row r="1223" spans="1:4" x14ac:dyDescent="0.2">
      <c r="A1223" s="5">
        <v>1162</v>
      </c>
      <c r="B1223" s="138">
        <f>'Expenditures 15-22'!C127</f>
        <v>119838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119838</v>
      </c>
      <c r="C1225" s="2" t="s">
        <v>573</v>
      </c>
      <c r="D1225" s="2" t="str">
        <f t="shared" si="18"/>
        <v>Error?</v>
      </c>
    </row>
    <row r="1226" spans="1:4" x14ac:dyDescent="0.2">
      <c r="A1226" s="5">
        <v>1165</v>
      </c>
      <c r="B1226" s="138">
        <f>'Expenditures 15-22'!C151</f>
        <v>119838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22335</v>
      </c>
      <c r="D1229" s="2" t="str">
        <f t="shared" si="18"/>
        <v>Error?</v>
      </c>
    </row>
    <row r="1230" spans="1:4" x14ac:dyDescent="0.2">
      <c r="A1230" s="10">
        <v>1169</v>
      </c>
      <c r="D1230" s="2" t="str">
        <f t="shared" si="18"/>
        <v>OK</v>
      </c>
    </row>
    <row r="1231" spans="1:4" x14ac:dyDescent="0.2">
      <c r="A1231" s="5">
        <v>1170</v>
      </c>
      <c r="B1231" s="138">
        <f>'Expenditures 15-22'!D127</f>
        <v>22335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22335</v>
      </c>
      <c r="C1233" s="2" t="s">
        <v>573</v>
      </c>
      <c r="D1233" s="2" t="str">
        <f t="shared" si="18"/>
        <v>Error?</v>
      </c>
    </row>
    <row r="1234" spans="1:4" x14ac:dyDescent="0.2">
      <c r="A1234" s="5">
        <v>1173</v>
      </c>
      <c r="B1234" s="138">
        <f>'Expenditures 15-22'!D151</f>
        <v>22335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303006</v>
      </c>
      <c r="D1237" s="2" t="str">
        <f t="shared" si="18"/>
        <v>Error?</v>
      </c>
    </row>
    <row r="1238" spans="1:4" x14ac:dyDescent="0.2">
      <c r="A1238" s="10">
        <v>1177</v>
      </c>
      <c r="D1238" s="2" t="str">
        <f t="shared" si="18"/>
        <v>OK</v>
      </c>
    </row>
    <row r="1239" spans="1:4" x14ac:dyDescent="0.2">
      <c r="A1239" s="5">
        <v>1178</v>
      </c>
      <c r="B1239" s="138">
        <f>'Expenditures 15-22'!E127</f>
        <v>303006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303006</v>
      </c>
      <c r="C1241" s="2" t="s">
        <v>573</v>
      </c>
      <c r="D1241" s="2" t="str">
        <f t="shared" si="18"/>
        <v>Error?</v>
      </c>
    </row>
    <row r="1242" spans="1:4" x14ac:dyDescent="0.2">
      <c r="A1242" s="5">
        <v>1181</v>
      </c>
      <c r="B1242" s="138">
        <f>'Expenditures 15-22'!E151</f>
        <v>303006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33593</v>
      </c>
      <c r="D1245" s="2" t="str">
        <f t="shared" si="18"/>
        <v>Error?</v>
      </c>
    </row>
    <row r="1246" spans="1:4" x14ac:dyDescent="0.2">
      <c r="A1246" s="10">
        <v>1185</v>
      </c>
      <c r="D1246" s="2" t="str">
        <f t="shared" si="18"/>
        <v>OK</v>
      </c>
    </row>
    <row r="1247" spans="1:4" x14ac:dyDescent="0.2">
      <c r="A1247" s="5">
        <v>1186</v>
      </c>
      <c r="B1247" s="138">
        <f>'Expenditures 15-22'!F127</f>
        <v>33593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33593</v>
      </c>
      <c r="C1249" s="2" t="s">
        <v>573</v>
      </c>
      <c r="D1249" s="2" t="str">
        <f t="shared" si="18"/>
        <v>Error?</v>
      </c>
    </row>
    <row r="1250" spans="1:4" x14ac:dyDescent="0.2">
      <c r="A1250" s="5">
        <v>1189</v>
      </c>
      <c r="B1250" s="138">
        <f>'Expenditures 15-22'!F151</f>
        <v>33593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478772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478772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478772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478772</v>
      </c>
      <c r="C1288" s="2" t="s">
        <v>573</v>
      </c>
      <c r="D1288" s="2" t="str">
        <f t="shared" si="19"/>
        <v>Error?</v>
      </c>
    </row>
    <row r="1289" spans="1:4" x14ac:dyDescent="0.2">
      <c r="A1289" s="5">
        <v>1228</v>
      </c>
      <c r="B1289" s="138">
        <f>'Expenditures 15-22'!K152</f>
        <v>-66307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255055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535555</v>
      </c>
      <c r="C1317" s="2" t="s">
        <v>573</v>
      </c>
      <c r="D1317" s="2" t="str">
        <f t="shared" si="19"/>
        <v>Error?</v>
      </c>
    </row>
    <row r="1318" spans="1:4" x14ac:dyDescent="0.2">
      <c r="A1318" s="5">
        <v>1257</v>
      </c>
      <c r="B1318" s="138">
        <f>'Expenditures 15-22'!H174</f>
        <v>535555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255055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280000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535555</v>
      </c>
      <c r="C1331" s="2" t="s">
        <v>573</v>
      </c>
      <c r="D1331" s="2" t="str">
        <f t="shared" si="19"/>
        <v>Error?</v>
      </c>
    </row>
    <row r="1332" spans="1:4" x14ac:dyDescent="0.2">
      <c r="A1332" s="5">
        <v>1271</v>
      </c>
      <c r="B1332" s="138">
        <f>'Expenditures 15-22'!K174</f>
        <v>535555</v>
      </c>
      <c r="C1332" s="2" t="s">
        <v>573</v>
      </c>
      <c r="D1332" s="2" t="str">
        <f t="shared" si="19"/>
        <v>Error?</v>
      </c>
    </row>
    <row r="1333" spans="1:4" x14ac:dyDescent="0.2">
      <c r="A1333" s="5">
        <v>1272</v>
      </c>
      <c r="B1333" s="138">
        <f>'Expenditures 15-22'!K175</f>
        <v>152693</v>
      </c>
      <c r="C1333" s="2" t="s">
        <v>573</v>
      </c>
      <c r="D1333" s="2" t="str">
        <f t="shared" si="19"/>
        <v>Error?</v>
      </c>
    </row>
    <row r="1334" spans="1:4" x14ac:dyDescent="0.2">
      <c r="A1334" s="10">
        <v>1273</v>
      </c>
      <c r="D1334" s="2" t="str">
        <f t="shared" si="19"/>
        <v>OK</v>
      </c>
    </row>
    <row r="1335" spans="1:4" x14ac:dyDescent="0.2">
      <c r="A1335" s="5">
        <v>1274</v>
      </c>
      <c r="B1335" s="138">
        <f>'Expenditures 15-22'!C182</f>
        <v>186012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186012</v>
      </c>
      <c r="C1339" s="2" t="s">
        <v>573</v>
      </c>
      <c r="D1339" s="2" t="str">
        <f t="shared" si="19"/>
        <v>Error?</v>
      </c>
    </row>
    <row r="1340" spans="1:4" x14ac:dyDescent="0.2">
      <c r="A1340" s="5">
        <v>1279</v>
      </c>
      <c r="B1340" s="138">
        <f>'Expenditures 15-22'!C210</f>
        <v>186012</v>
      </c>
      <c r="C1340" s="2" t="s">
        <v>573</v>
      </c>
      <c r="D1340" s="2" t="str">
        <f t="shared" si="19"/>
        <v>Error?</v>
      </c>
    </row>
    <row r="1341" spans="1:4" x14ac:dyDescent="0.2">
      <c r="A1341" s="5">
        <v>1280</v>
      </c>
      <c r="B1341" s="138">
        <f>'Expenditures 15-22'!D182</f>
        <v>49570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49570</v>
      </c>
      <c r="C1345" s="2" t="s">
        <v>573</v>
      </c>
      <c r="D1345" s="2" t="str">
        <f t="shared" si="20"/>
        <v>Error?</v>
      </c>
    </row>
    <row r="1346" spans="1:4" x14ac:dyDescent="0.2">
      <c r="A1346" s="5">
        <v>1285</v>
      </c>
      <c r="B1346" s="138">
        <f>'Expenditures 15-22'!D210</f>
        <v>49570</v>
      </c>
      <c r="C1346" s="2" t="s">
        <v>573</v>
      </c>
      <c r="D1346" s="2" t="str">
        <f t="shared" si="20"/>
        <v>Error?</v>
      </c>
    </row>
    <row r="1347" spans="1:4" x14ac:dyDescent="0.2">
      <c r="A1347" s="5">
        <v>1286</v>
      </c>
      <c r="B1347" s="138">
        <f>'Expenditures 15-22'!E182</f>
        <v>72210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72210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72210</v>
      </c>
      <c r="C1353" s="2" t="s">
        <v>573</v>
      </c>
      <c r="D1353" s="2" t="str">
        <f t="shared" si="20"/>
        <v>Error?</v>
      </c>
    </row>
    <row r="1354" spans="1:4" x14ac:dyDescent="0.2">
      <c r="A1354" s="5">
        <v>1293</v>
      </c>
      <c r="B1354" s="138">
        <f>'Expenditures 15-22'!F182</f>
        <v>89972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89972</v>
      </c>
      <c r="C1358" s="2" t="s">
        <v>573</v>
      </c>
      <c r="D1358" s="2" t="str">
        <f t="shared" si="20"/>
        <v>Error?</v>
      </c>
    </row>
    <row r="1359" spans="1:4" x14ac:dyDescent="0.2">
      <c r="A1359" s="5">
        <v>1298</v>
      </c>
      <c r="B1359" s="138">
        <f>'Expenditures 15-22'!F210</f>
        <v>89972</v>
      </c>
      <c r="C1359" s="2" t="s">
        <v>573</v>
      </c>
      <c r="D1359" s="2" t="str">
        <f t="shared" si="20"/>
        <v>Error?</v>
      </c>
    </row>
    <row r="1360" spans="1:4" x14ac:dyDescent="0.2">
      <c r="A1360" s="5">
        <v>1299</v>
      </c>
      <c r="B1360" s="138">
        <f>'Expenditures 15-22'!G182</f>
        <v>35003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35003</v>
      </c>
      <c r="C1364" s="2" t="s">
        <v>573</v>
      </c>
      <c r="D1364" s="2" t="str">
        <f t="shared" si="20"/>
        <v>Error?</v>
      </c>
    </row>
    <row r="1365" spans="1:4" x14ac:dyDescent="0.2">
      <c r="A1365" s="5">
        <v>1304</v>
      </c>
      <c r="B1365" s="138">
        <f>'Expenditures 15-22'!G210</f>
        <v>35003</v>
      </c>
      <c r="C1365" s="2" t="s">
        <v>573</v>
      </c>
      <c r="D1365" s="2" t="str">
        <f t="shared" si="20"/>
        <v>Error?</v>
      </c>
    </row>
    <row r="1366" spans="1:4" x14ac:dyDescent="0.2">
      <c r="A1366" s="5">
        <v>1305</v>
      </c>
      <c r="B1366" s="138">
        <f>'Expenditures 15-22'!H182</f>
        <v>55000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55000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55000</v>
      </c>
      <c r="C1376" s="2" t="s">
        <v>573</v>
      </c>
      <c r="D1376" s="2" t="str">
        <f t="shared" si="20"/>
        <v>Error?</v>
      </c>
    </row>
    <row r="1377" spans="1:4" x14ac:dyDescent="0.2">
      <c r="A1377" s="5">
        <v>1316</v>
      </c>
      <c r="B1377" s="138">
        <f>'Expenditures 15-22'!K182</f>
        <v>487767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487767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487767</v>
      </c>
      <c r="C1388" s="2" t="s">
        <v>573</v>
      </c>
      <c r="D1388" s="2" t="str">
        <f t="shared" si="20"/>
        <v>Error?</v>
      </c>
    </row>
    <row r="1389" spans="1:4" x14ac:dyDescent="0.2">
      <c r="A1389" s="5">
        <v>1328</v>
      </c>
      <c r="B1389" s="138">
        <f>'Expenditures 15-22'!K211</f>
        <v>-40576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69128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804</v>
      </c>
      <c r="D1412" s="2" t="str">
        <f t="shared" si="21"/>
        <v>Error?</v>
      </c>
    </row>
    <row r="1413" spans="1:4" x14ac:dyDescent="0.2">
      <c r="A1413" s="5">
        <v>1352</v>
      </c>
      <c r="B1413" s="138">
        <f>'Expenditures 15-22'!D234</f>
        <v>3434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4238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8778</v>
      </c>
      <c r="D1423" s="2" t="str">
        <f t="shared" si="21"/>
        <v>Error?</v>
      </c>
    </row>
    <row r="1424" spans="1:4" x14ac:dyDescent="0.2">
      <c r="A1424" s="5">
        <v>1363</v>
      </c>
      <c r="B1424" s="138">
        <f>'Expenditures 15-22'!D257</f>
        <v>8778</v>
      </c>
      <c r="C1424" s="2" t="s">
        <v>573</v>
      </c>
      <c r="D1424" s="2" t="str">
        <f t="shared" si="21"/>
        <v>Error?</v>
      </c>
    </row>
    <row r="1425" spans="1:4" x14ac:dyDescent="0.2">
      <c r="A1425" s="5">
        <v>1364</v>
      </c>
      <c r="B1425" s="138">
        <f>'Expenditures 15-22'!D259</f>
        <v>9426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9426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13590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22050</v>
      </c>
      <c r="D1431" s="2" t="str">
        <f t="shared" si="21"/>
        <v>Error?</v>
      </c>
    </row>
    <row r="1432" spans="1:4" x14ac:dyDescent="0.2">
      <c r="A1432" s="5">
        <v>1371</v>
      </c>
      <c r="B1432" s="138">
        <f>'Expenditures 15-22'!D267</f>
        <v>35554</v>
      </c>
      <c r="D1432" s="2" t="str">
        <f t="shared" si="21"/>
        <v>Error?</v>
      </c>
    </row>
    <row r="1433" spans="1:4" x14ac:dyDescent="0.2">
      <c r="A1433" s="5">
        <v>1372</v>
      </c>
      <c r="B1433" s="138">
        <f>'Expenditures 15-22'!D268</f>
        <v>13561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84755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107894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177022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5246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69128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804</v>
      </c>
      <c r="C1476" s="2" t="s">
        <v>573</v>
      </c>
      <c r="D1476" s="2" t="str">
        <f t="shared" si="22"/>
        <v>Error?</v>
      </c>
    </row>
    <row r="1477" spans="1:4" x14ac:dyDescent="0.2">
      <c r="A1477" s="5">
        <v>1416</v>
      </c>
      <c r="B1477" s="138">
        <f>'Expenditures 15-22'!K234</f>
        <v>3434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4238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697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697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8778</v>
      </c>
      <c r="C1487" s="2" t="s">
        <v>573</v>
      </c>
      <c r="D1487" s="2" t="str">
        <f t="shared" si="22"/>
        <v>Error?</v>
      </c>
    </row>
    <row r="1488" spans="1:4" x14ac:dyDescent="0.2">
      <c r="A1488" s="5">
        <v>1427</v>
      </c>
      <c r="B1488" s="138">
        <f>'Expenditures 15-22'!K257</f>
        <v>8778</v>
      </c>
      <c r="C1488" s="2" t="s">
        <v>573</v>
      </c>
      <c r="D1488" s="2" t="str">
        <f t="shared" si="22"/>
        <v>Error?</v>
      </c>
    </row>
    <row r="1489" spans="1:4" x14ac:dyDescent="0.2">
      <c r="A1489" s="5">
        <v>1428</v>
      </c>
      <c r="B1489" s="138">
        <f>'Expenditures 15-22'!K259</f>
        <v>9426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9426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13590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22050</v>
      </c>
      <c r="C1495" s="2" t="s">
        <v>573</v>
      </c>
      <c r="D1495" s="2" t="str">
        <f t="shared" si="22"/>
        <v>Error?</v>
      </c>
    </row>
    <row r="1496" spans="1:4" x14ac:dyDescent="0.2">
      <c r="A1496" s="5">
        <v>1435</v>
      </c>
      <c r="B1496" s="138">
        <f>'Expenditures 15-22'!K267</f>
        <v>35554</v>
      </c>
      <c r="C1496" s="2" t="s">
        <v>573</v>
      </c>
      <c r="D1496" s="2" t="str">
        <f t="shared" si="22"/>
        <v>Error?</v>
      </c>
    </row>
    <row r="1497" spans="1:4" x14ac:dyDescent="0.2">
      <c r="A1497" s="5">
        <v>1436</v>
      </c>
      <c r="B1497" s="138">
        <f>'Expenditures 15-22'!K268</f>
        <v>13561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84755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107894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177022</v>
      </c>
      <c r="C1517" s="2" t="s">
        <v>573</v>
      </c>
      <c r="D1517" s="2" t="str">
        <f t="shared" si="22"/>
        <v>Error?</v>
      </c>
    </row>
    <row r="1518" spans="1:4" x14ac:dyDescent="0.2">
      <c r="A1518" s="5">
        <v>1457</v>
      </c>
      <c r="B1518" s="138">
        <f>'Expenditures 15-22'!K296</f>
        <v>8754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102877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102877</v>
      </c>
      <c r="C1535" s="2" t="s">
        <v>573</v>
      </c>
      <c r="D1535" s="2" t="str">
        <f t="shared" ref="D1535:D1598" si="23">IF(ISBLANK(B1535),"OK",IF(A1535-B1535=0,"OK","Error?"))</f>
        <v>Error?</v>
      </c>
    </row>
    <row r="1536" spans="1:4" x14ac:dyDescent="0.2">
      <c r="A1536" s="5">
        <v>1475</v>
      </c>
      <c r="B1536" s="138">
        <f>'Expenditures 15-22'!E312</f>
        <v>102877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102877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102877</v>
      </c>
      <c r="C1559" s="2" t="s">
        <v>573</v>
      </c>
      <c r="D1559" s="2" t="str">
        <f t="shared" si="23"/>
        <v>Error?</v>
      </c>
    </row>
    <row r="1560" spans="1:4" x14ac:dyDescent="0.2">
      <c r="A1560" s="5">
        <v>1499</v>
      </c>
      <c r="B1560" s="138">
        <f>'Expenditures 15-22'!K312</f>
        <v>102877</v>
      </c>
      <c r="C1560" s="2" t="s">
        <v>573</v>
      </c>
      <c r="D1560" s="2" t="str">
        <f t="shared" si="23"/>
        <v>Error?</v>
      </c>
    </row>
    <row r="1561" spans="1:4" x14ac:dyDescent="0.2">
      <c r="A1561" s="5">
        <v>1500</v>
      </c>
      <c r="B1561" s="138">
        <f>'Expenditures 15-22'!K313</f>
        <v>-102487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1224491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1579035</v>
      </c>
      <c r="C1630" s="2" t="s">
        <v>573</v>
      </c>
      <c r="D1630" s="2" t="str">
        <f t="shared" si="24"/>
        <v>Error?</v>
      </c>
    </row>
    <row r="1631" spans="1:4" x14ac:dyDescent="0.2">
      <c r="A1631" s="5">
        <v>1570</v>
      </c>
      <c r="B1631" s="138">
        <f>'Acct Summary 7-8'!D79</f>
        <v>549541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483234</v>
      </c>
      <c r="C1644" s="2" t="s">
        <v>573</v>
      </c>
      <c r="D1644" s="2" t="str">
        <f t="shared" si="24"/>
        <v>Error?</v>
      </c>
    </row>
    <row r="1645" spans="1:4" x14ac:dyDescent="0.2">
      <c r="A1645" s="5">
        <v>1584</v>
      </c>
      <c r="B1645" s="138">
        <f>'Acct Summary 7-8'!E79</f>
        <v>568023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720716</v>
      </c>
      <c r="C1658" s="2" t="s">
        <v>573</v>
      </c>
      <c r="D1658" s="2" t="str">
        <f t="shared" si="24"/>
        <v>Error?</v>
      </c>
    </row>
    <row r="1659" spans="1:4" x14ac:dyDescent="0.2">
      <c r="A1659" s="5">
        <v>1598</v>
      </c>
      <c r="B1659" s="138">
        <f>'Acct Summary 7-8'!F79</f>
        <v>555537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514961</v>
      </c>
      <c r="C1672" s="2" t="s">
        <v>573</v>
      </c>
      <c r="D1672" s="2" t="str">
        <f t="shared" si="25"/>
        <v>Error?</v>
      </c>
    </row>
    <row r="1673" spans="1:4" x14ac:dyDescent="0.2">
      <c r="A1673" s="5">
        <v>1612</v>
      </c>
      <c r="B1673" s="138">
        <f>'Acct Summary 7-8'!G79</f>
        <v>214234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222988</v>
      </c>
      <c r="C1686" s="2" t="s">
        <v>573</v>
      </c>
      <c r="D1686" s="2" t="str">
        <f t="shared" si="25"/>
        <v>Error?</v>
      </c>
    </row>
    <row r="1687" spans="1:4" x14ac:dyDescent="0.2">
      <c r="A1687" s="5">
        <v>1626</v>
      </c>
      <c r="B1687" s="138">
        <f>'Acct Summary 7-8'!H79</f>
        <v>13732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16245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2539403</v>
      </c>
      <c r="C1744" s="2" t="s">
        <v>573</v>
      </c>
      <c r="D1744" s="2" t="str">
        <f t="shared" si="26"/>
        <v>Error?</v>
      </c>
    </row>
    <row r="1745" spans="1:5" x14ac:dyDescent="0.2">
      <c r="A1745" s="5">
        <v>1684</v>
      </c>
      <c r="B1745" s="138">
        <f>'Tax Sched 23'!B5</f>
        <v>396785</v>
      </c>
      <c r="C1745" s="2" t="s">
        <v>573</v>
      </c>
      <c r="D1745" s="2" t="str">
        <f t="shared" si="26"/>
        <v>Error?</v>
      </c>
    </row>
    <row r="1746" spans="1:5" x14ac:dyDescent="0.2">
      <c r="A1746" s="5">
        <v>1685</v>
      </c>
      <c r="B1746" s="138">
        <f>'Tax Sched 23'!B6</f>
        <v>322663</v>
      </c>
      <c r="C1746" s="2" t="s">
        <v>573</v>
      </c>
      <c r="D1746" s="2" t="str">
        <f t="shared" si="26"/>
        <v>Error?</v>
      </c>
    </row>
    <row r="1747" spans="1:5" x14ac:dyDescent="0.2">
      <c r="A1747" s="5">
        <v>1686</v>
      </c>
      <c r="B1747" s="138">
        <f>'Tax Sched 23'!B7</f>
        <v>158714</v>
      </c>
      <c r="C1747" s="2" t="s">
        <v>573</v>
      </c>
      <c r="D1747" s="2" t="str">
        <f t="shared" si="26"/>
        <v>Error?</v>
      </c>
    </row>
    <row r="1748" spans="1:5" x14ac:dyDescent="0.2">
      <c r="A1748" s="5">
        <v>1687</v>
      </c>
      <c r="B1748" s="138">
        <f>'Tax Sched 23'!B8</f>
        <v>86580</v>
      </c>
      <c r="C1748" s="2" t="s">
        <v>573</v>
      </c>
      <c r="D1748" s="2" t="str">
        <f t="shared" si="26"/>
        <v>Error?</v>
      </c>
    </row>
    <row r="1749" spans="1:5" x14ac:dyDescent="0.2">
      <c r="A1749" s="5">
        <v>1688</v>
      </c>
      <c r="B1749" s="138">
        <f>'Tax Sched 23'!B10</f>
        <v>39678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209748</v>
      </c>
      <c r="C1752" s="2" t="s">
        <v>573</v>
      </c>
      <c r="D1752" s="2" t="str">
        <f t="shared" si="26"/>
        <v>Error?</v>
      </c>
    </row>
    <row r="1753" spans="1:5" x14ac:dyDescent="0.2">
      <c r="A1753" s="5">
        <v>1692</v>
      </c>
      <c r="B1753" s="138">
        <f>'Tax Sched 23'!B12</f>
        <v>39678</v>
      </c>
      <c r="C1753" s="2" t="s">
        <v>573</v>
      </c>
      <c r="D1753" s="2" t="str">
        <f t="shared" si="26"/>
        <v>Error?</v>
      </c>
    </row>
    <row r="1754" spans="1:5" x14ac:dyDescent="0.2">
      <c r="A1754" s="5">
        <v>1693</v>
      </c>
      <c r="B1754" s="138">
        <f>'Tax Sched 23'!B14</f>
        <v>31744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3951251</v>
      </c>
      <c r="C1759" s="2" t="s">
        <v>573</v>
      </c>
      <c r="D1759" s="2" t="str">
        <f t="shared" si="26"/>
        <v>Error?</v>
      </c>
    </row>
    <row r="1760" spans="1:5" x14ac:dyDescent="0.2">
      <c r="A1760" s="5">
        <v>1699</v>
      </c>
      <c r="B1760" s="138">
        <f>'Tax Sched 23'!D4</f>
        <v>2539403</v>
      </c>
      <c r="C1760" s="2" t="s">
        <v>573</v>
      </c>
      <c r="D1760" s="2" t="str">
        <f t="shared" si="26"/>
        <v>Error?</v>
      </c>
    </row>
    <row r="1761" spans="1:5" x14ac:dyDescent="0.2">
      <c r="A1761" s="5">
        <v>1700</v>
      </c>
      <c r="B1761" s="138">
        <f>'Tax Sched 23'!D5</f>
        <v>396785</v>
      </c>
      <c r="C1761" s="2" t="s">
        <v>573</v>
      </c>
      <c r="D1761" s="2" t="str">
        <f t="shared" si="26"/>
        <v>Error?</v>
      </c>
    </row>
    <row r="1762" spans="1:5" s="8" customFormat="1" x14ac:dyDescent="0.2">
      <c r="A1762" s="5">
        <v>1701</v>
      </c>
      <c r="B1762" s="138">
        <f>'Tax Sched 23'!D6</f>
        <v>322663</v>
      </c>
      <c r="C1762" s="2" t="s">
        <v>573</v>
      </c>
      <c r="D1762" s="2" t="str">
        <f t="shared" si="26"/>
        <v>Error?</v>
      </c>
      <c r="E1762" s="9"/>
    </row>
    <row r="1763" spans="1:5" x14ac:dyDescent="0.2">
      <c r="A1763" s="5">
        <v>1702</v>
      </c>
      <c r="B1763" s="138">
        <f>'Tax Sched 23'!D7</f>
        <v>158714</v>
      </c>
      <c r="C1763" s="2" t="s">
        <v>573</v>
      </c>
      <c r="D1763" s="2" t="str">
        <f t="shared" si="26"/>
        <v>Error?</v>
      </c>
    </row>
    <row r="1764" spans="1:5" x14ac:dyDescent="0.2">
      <c r="A1764" s="5">
        <v>1703</v>
      </c>
      <c r="B1764" s="138">
        <f>'Tax Sched 23'!D8</f>
        <v>86580</v>
      </c>
      <c r="C1764" s="2" t="s">
        <v>573</v>
      </c>
      <c r="D1764" s="2" t="str">
        <f t="shared" si="26"/>
        <v>Error?</v>
      </c>
    </row>
    <row r="1765" spans="1:5" x14ac:dyDescent="0.2">
      <c r="A1765" s="5">
        <v>1704</v>
      </c>
      <c r="B1765" s="138">
        <f>'Tax Sched 23'!D10</f>
        <v>39678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209748</v>
      </c>
      <c r="C1768" s="2" t="s">
        <v>573</v>
      </c>
      <c r="D1768" s="2" t="str">
        <f t="shared" si="26"/>
        <v>Error?</v>
      </c>
    </row>
    <row r="1769" spans="1:5" x14ac:dyDescent="0.2">
      <c r="A1769" s="5">
        <v>1708</v>
      </c>
      <c r="B1769" s="138">
        <f>'Tax Sched 23'!D12</f>
        <v>39678</v>
      </c>
      <c r="C1769" s="2" t="s">
        <v>573</v>
      </c>
      <c r="D1769" s="2" t="str">
        <f t="shared" si="26"/>
        <v>Error?</v>
      </c>
    </row>
    <row r="1770" spans="1:5" x14ac:dyDescent="0.2">
      <c r="A1770" s="5">
        <v>1709</v>
      </c>
      <c r="B1770" s="138">
        <f>'Tax Sched 23'!D14</f>
        <v>31744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3951251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2951222</v>
      </c>
      <c r="C1792" s="2" t="s">
        <v>573</v>
      </c>
      <c r="D1792" s="2" t="str">
        <f t="shared" si="27"/>
        <v>Error?</v>
      </c>
    </row>
    <row r="1793" spans="1:4" x14ac:dyDescent="0.2">
      <c r="A1793" s="5">
        <v>1732</v>
      </c>
      <c r="B1793" s="138">
        <f>'Tax Sched 23'!F5</f>
        <v>461128</v>
      </c>
      <c r="C1793" s="2" t="s">
        <v>573</v>
      </c>
      <c r="D1793" s="2" t="str">
        <f t="shared" si="27"/>
        <v>Error?</v>
      </c>
    </row>
    <row r="1794" spans="1:4" x14ac:dyDescent="0.2">
      <c r="A1794" s="5">
        <v>1733</v>
      </c>
      <c r="B1794" s="138">
        <f>'Tax Sched 23'!F6</f>
        <v>371006</v>
      </c>
      <c r="C1794" s="2" t="s">
        <v>573</v>
      </c>
      <c r="D1794" s="2" t="str">
        <f t="shared" si="27"/>
        <v>Error?</v>
      </c>
    </row>
    <row r="1795" spans="1:4" x14ac:dyDescent="0.2">
      <c r="A1795" s="5">
        <v>1734</v>
      </c>
      <c r="B1795" s="138">
        <f>'Tax Sched 23'!F7</f>
        <v>184451</v>
      </c>
      <c r="C1795" s="2" t="s">
        <v>573</v>
      </c>
      <c r="D1795" s="2" t="str">
        <f t="shared" si="27"/>
        <v>Error?</v>
      </c>
    </row>
    <row r="1796" spans="1:4" x14ac:dyDescent="0.2">
      <c r="A1796" s="5">
        <v>1735</v>
      </c>
      <c r="B1796" s="138">
        <f>'Tax Sched 23'!F8</f>
        <v>100000</v>
      </c>
      <c r="C1796" s="2" t="s">
        <v>573</v>
      </c>
      <c r="D1796" s="2" t="str">
        <f t="shared" si="27"/>
        <v>Error?</v>
      </c>
    </row>
    <row r="1797" spans="1:4" x14ac:dyDescent="0.2">
      <c r="A1797" s="5">
        <v>1736</v>
      </c>
      <c r="B1797" s="138">
        <f>'Tax Sched 23'!F10</f>
        <v>46113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240008</v>
      </c>
      <c r="C1800" s="2" t="s">
        <v>573</v>
      </c>
      <c r="D1800" s="2" t="str">
        <f t="shared" si="27"/>
        <v>Error?</v>
      </c>
    </row>
    <row r="1801" spans="1:4" x14ac:dyDescent="0.2">
      <c r="A1801" s="5">
        <v>1740</v>
      </c>
      <c r="B1801" s="138">
        <f>'Tax Sched 23'!F12</f>
        <v>46113</v>
      </c>
      <c r="C1801" s="2" t="s">
        <v>573</v>
      </c>
      <c r="D1801" s="2" t="str">
        <f t="shared" si="27"/>
        <v>Error?</v>
      </c>
    </row>
    <row r="1802" spans="1:4" x14ac:dyDescent="0.2">
      <c r="A1802" s="5">
        <v>1741</v>
      </c>
      <c r="B1802" s="138">
        <f>'Tax Sched 23'!F14</f>
        <v>36890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4583044</v>
      </c>
      <c r="C1807" s="2" t="s">
        <v>573</v>
      </c>
      <c r="D1807" s="2" t="str">
        <f t="shared" si="27"/>
        <v>Error?</v>
      </c>
    </row>
    <row r="1808" spans="1:4" x14ac:dyDescent="0.2">
      <c r="A1808" s="5">
        <v>1747</v>
      </c>
      <c r="B1808" s="138">
        <f>'Tax Sched 23'!E4</f>
        <v>2951222</v>
      </c>
      <c r="D1808" s="2" t="str">
        <f t="shared" si="27"/>
        <v>Error?</v>
      </c>
    </row>
    <row r="1809" spans="1:4" x14ac:dyDescent="0.2">
      <c r="A1809" s="5">
        <v>1748</v>
      </c>
      <c r="B1809" s="138">
        <f>'Tax Sched 23'!E5</f>
        <v>461128</v>
      </c>
      <c r="D1809" s="2" t="str">
        <f t="shared" si="27"/>
        <v>Error?</v>
      </c>
    </row>
    <row r="1810" spans="1:4" x14ac:dyDescent="0.2">
      <c r="A1810" s="5">
        <v>1749</v>
      </c>
      <c r="B1810" s="138">
        <f>'Tax Sched 23'!E6</f>
        <v>371006</v>
      </c>
      <c r="D1810" s="2" t="str">
        <f t="shared" si="27"/>
        <v>Error?</v>
      </c>
    </row>
    <row r="1811" spans="1:4" x14ac:dyDescent="0.2">
      <c r="A1811" s="5">
        <v>1750</v>
      </c>
      <c r="B1811" s="138">
        <f>'Tax Sched 23'!E7</f>
        <v>184451</v>
      </c>
      <c r="D1811" s="2" t="str">
        <f t="shared" si="27"/>
        <v>Error?</v>
      </c>
    </row>
    <row r="1812" spans="1:4" x14ac:dyDescent="0.2">
      <c r="A1812" s="5">
        <v>1751</v>
      </c>
      <c r="B1812" s="138">
        <f>'Tax Sched 23'!E8</f>
        <v>100000</v>
      </c>
      <c r="D1812" s="2" t="str">
        <f t="shared" si="27"/>
        <v>Error?</v>
      </c>
    </row>
    <row r="1813" spans="1:4" x14ac:dyDescent="0.2">
      <c r="A1813" s="5">
        <v>1752</v>
      </c>
      <c r="B1813" s="138">
        <f>'Tax Sched 23'!E10</f>
        <v>46113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240008</v>
      </c>
      <c r="D1816" s="2" t="str">
        <f t="shared" si="27"/>
        <v>Error?</v>
      </c>
    </row>
    <row r="1817" spans="1:4" x14ac:dyDescent="0.2">
      <c r="A1817" s="5">
        <v>1756</v>
      </c>
      <c r="B1817" s="138">
        <f>'Tax Sched 23'!E12</f>
        <v>46113</v>
      </c>
      <c r="D1817" s="2" t="str">
        <f t="shared" si="27"/>
        <v>Error?</v>
      </c>
    </row>
    <row r="1818" spans="1:4" x14ac:dyDescent="0.2">
      <c r="A1818" s="5">
        <v>1757</v>
      </c>
      <c r="B1818" s="138">
        <f>'Tax Sched 23'!E14</f>
        <v>36890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4583044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7445000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31744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31744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31744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11333281</v>
      </c>
      <c r="D2009" s="2" t="str">
        <f t="shared" si="30"/>
        <v>Error?</v>
      </c>
    </row>
    <row r="2010" spans="1:4" x14ac:dyDescent="0.2">
      <c r="A2010" s="5">
        <v>1949</v>
      </c>
      <c r="B2010" s="138">
        <f>'Cap Outlay Deprec 26'!C10</f>
        <v>77611</v>
      </c>
      <c r="D2010" s="2" t="str">
        <f t="shared" si="30"/>
        <v>Error?</v>
      </c>
    </row>
    <row r="2011" spans="1:4" x14ac:dyDescent="0.2">
      <c r="A2011" s="5">
        <v>1950</v>
      </c>
      <c r="B2011" s="138">
        <f>'Cap Outlay Deprec 26'!C12</f>
        <v>450832</v>
      </c>
      <c r="D2011" s="2" t="str">
        <f t="shared" si="30"/>
        <v>Error?</v>
      </c>
    </row>
    <row r="2012" spans="1:4" x14ac:dyDescent="0.2">
      <c r="A2012" s="5">
        <v>1951</v>
      </c>
      <c r="B2012" s="138">
        <f>'Cap Outlay Deprec 26'!C13</f>
        <v>1046481</v>
      </c>
      <c r="D2012" s="2" t="str">
        <f t="shared" si="30"/>
        <v>Error?</v>
      </c>
    </row>
    <row r="2013" spans="1:4" x14ac:dyDescent="0.2">
      <c r="A2013" s="5">
        <v>1952</v>
      </c>
      <c r="B2013" s="138">
        <f>'Cap Outlay Deprec 26'!C16</f>
        <v>13024262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158436</v>
      </c>
      <c r="D2015" s="2" t="str">
        <f t="shared" si="30"/>
        <v>Error?</v>
      </c>
    </row>
    <row r="2016" spans="1:4" x14ac:dyDescent="0.2">
      <c r="A2016" s="5">
        <v>1955</v>
      </c>
      <c r="B2016" s="138">
        <f>'Cap Outlay Deprec 26'!D10</f>
        <v>28350</v>
      </c>
      <c r="D2016" s="2" t="str">
        <f t="shared" si="30"/>
        <v>Error?</v>
      </c>
    </row>
    <row r="2017" spans="1:4" x14ac:dyDescent="0.2">
      <c r="A2017" s="5">
        <v>1956</v>
      </c>
      <c r="B2017" s="138">
        <f>'Cap Outlay Deprec 26'!D12</f>
        <v>6684</v>
      </c>
      <c r="D2017" s="2" t="str">
        <f t="shared" si="30"/>
        <v>Error?</v>
      </c>
    </row>
    <row r="2018" spans="1:4" x14ac:dyDescent="0.2">
      <c r="A2018" s="5">
        <v>1957</v>
      </c>
      <c r="B2018" s="138">
        <f>'Cap Outlay Deprec 26'!D13</f>
        <v>285003</v>
      </c>
      <c r="D2018" s="2" t="str">
        <f t="shared" si="30"/>
        <v>Error?</v>
      </c>
    </row>
    <row r="2019" spans="1:4" x14ac:dyDescent="0.2">
      <c r="A2019" s="5">
        <v>1958</v>
      </c>
      <c r="B2019" s="138">
        <f>'Cap Outlay Deprec 26'!D16</f>
        <v>834955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114806</v>
      </c>
      <c r="D2024" s="2" t="str">
        <f t="shared" si="30"/>
        <v>Error?</v>
      </c>
    </row>
    <row r="2025" spans="1:4" x14ac:dyDescent="0.2">
      <c r="A2025" s="5">
        <v>1964</v>
      </c>
      <c r="B2025" s="138">
        <f>'Cap Outlay Deprec 26'!E16</f>
        <v>273242</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11491717</v>
      </c>
      <c r="C2027" s="2" t="s">
        <v>573</v>
      </c>
      <c r="D2027" s="2" t="str">
        <f t="shared" si="30"/>
        <v>Error?</v>
      </c>
    </row>
    <row r="2028" spans="1:4" x14ac:dyDescent="0.2">
      <c r="A2028" s="5">
        <v>1967</v>
      </c>
      <c r="B2028" s="138">
        <f>'Cap Outlay Deprec 26'!F10</f>
        <v>105961</v>
      </c>
      <c r="C2028" s="2" t="s">
        <v>573</v>
      </c>
      <c r="D2028" s="2" t="str">
        <f t="shared" si="30"/>
        <v>Error?</v>
      </c>
    </row>
    <row r="2029" spans="1:4" x14ac:dyDescent="0.2">
      <c r="A2029" s="5">
        <v>1968</v>
      </c>
      <c r="B2029" s="138">
        <f>'Cap Outlay Deprec 26'!F12</f>
        <v>457516</v>
      </c>
      <c r="C2029" s="2" t="s">
        <v>573</v>
      </c>
      <c r="D2029" s="2" t="str">
        <f t="shared" si="30"/>
        <v>Error?</v>
      </c>
    </row>
    <row r="2030" spans="1:4" x14ac:dyDescent="0.2">
      <c r="A2030" s="5">
        <v>1969</v>
      </c>
      <c r="B2030" s="138">
        <f>'Cap Outlay Deprec 26'!F13</f>
        <v>1216678</v>
      </c>
      <c r="C2030" s="2" t="s">
        <v>573</v>
      </c>
      <c r="D2030" s="2" t="str">
        <f t="shared" si="30"/>
        <v>Error?</v>
      </c>
    </row>
    <row r="2031" spans="1:4" x14ac:dyDescent="0.2">
      <c r="A2031" s="5">
        <v>1970</v>
      </c>
      <c r="B2031" s="138">
        <f>'Cap Outlay Deprec 26'!F16</f>
        <v>13585975</v>
      </c>
      <c r="C2031" s="2" t="s">
        <v>573</v>
      </c>
      <c r="D2031" s="2" t="str">
        <f t="shared" si="30"/>
        <v>Error?</v>
      </c>
    </row>
    <row r="2032" spans="1:4" x14ac:dyDescent="0.2">
      <c r="A2032" s="10">
        <v>1971</v>
      </c>
      <c r="D2032" s="2" t="str">
        <f t="shared" si="30"/>
        <v>OK</v>
      </c>
    </row>
    <row r="2033" spans="1:4" x14ac:dyDescent="0.2">
      <c r="A2033" s="5">
        <v>1972</v>
      </c>
      <c r="B2033" s="138">
        <f>'Cap Outlay Deprec 26'!H8</f>
        <v>2005366</v>
      </c>
      <c r="D2033" s="2" t="str">
        <f t="shared" si="30"/>
        <v>Error?</v>
      </c>
    </row>
    <row r="2034" spans="1:4" x14ac:dyDescent="0.2">
      <c r="A2034" s="5">
        <v>1973</v>
      </c>
      <c r="B2034" s="138">
        <f>'Cap Outlay Deprec 26'!H10</f>
        <v>3493</v>
      </c>
      <c r="D2034" s="2" t="str">
        <f t="shared" si="30"/>
        <v>Error?</v>
      </c>
    </row>
    <row r="2035" spans="1:4" x14ac:dyDescent="0.2">
      <c r="A2035" s="5">
        <v>1974</v>
      </c>
      <c r="B2035" s="138">
        <f>'Cap Outlay Deprec 26'!H12</f>
        <v>396164</v>
      </c>
      <c r="D2035" s="2" t="str">
        <f t="shared" si="30"/>
        <v>Error?</v>
      </c>
    </row>
    <row r="2036" spans="1:4" x14ac:dyDescent="0.2">
      <c r="A2036" s="5">
        <v>1975</v>
      </c>
      <c r="B2036" s="138">
        <f>'Cap Outlay Deprec 26'!H13</f>
        <v>946480</v>
      </c>
      <c r="D2036" s="2" t="str">
        <f t="shared" si="30"/>
        <v>Error?</v>
      </c>
    </row>
    <row r="2037" spans="1:4" x14ac:dyDescent="0.2">
      <c r="A2037" s="5">
        <v>1976</v>
      </c>
      <c r="B2037" s="138">
        <f>'Cap Outlay Deprec 26'!H16</f>
        <v>3351503</v>
      </c>
      <c r="C2037" s="2" t="s">
        <v>573</v>
      </c>
      <c r="D2037" s="2" t="str">
        <f t="shared" si="30"/>
        <v>Error?</v>
      </c>
    </row>
    <row r="2038" spans="1:4" x14ac:dyDescent="0.2">
      <c r="A2038" s="10">
        <v>1977</v>
      </c>
      <c r="D2038" s="2" t="str">
        <f t="shared" si="30"/>
        <v>OK</v>
      </c>
    </row>
    <row r="2039" spans="1:4" x14ac:dyDescent="0.2">
      <c r="A2039" s="5">
        <v>1978</v>
      </c>
      <c r="B2039" s="138">
        <f>'Cap Outlay Deprec 26'!I8</f>
        <v>215671</v>
      </c>
      <c r="D2039" s="2" t="str">
        <f t="shared" si="30"/>
        <v>Error?</v>
      </c>
    </row>
    <row r="2040" spans="1:4" x14ac:dyDescent="0.2">
      <c r="A2040" s="5">
        <v>1979</v>
      </c>
      <c r="B2040" s="138">
        <f>'Cap Outlay Deprec 26'!I10</f>
        <v>5098</v>
      </c>
      <c r="D2040" s="2" t="str">
        <f t="shared" si="30"/>
        <v>Error?</v>
      </c>
    </row>
    <row r="2041" spans="1:4" x14ac:dyDescent="0.2">
      <c r="A2041" s="5">
        <v>1980</v>
      </c>
      <c r="B2041" s="138">
        <f>'Cap Outlay Deprec 26'!I12</f>
        <v>10079</v>
      </c>
      <c r="D2041" s="2" t="str">
        <f t="shared" si="30"/>
        <v>Error?</v>
      </c>
    </row>
    <row r="2042" spans="1:4" x14ac:dyDescent="0.2">
      <c r="A2042" s="5">
        <v>1981</v>
      </c>
      <c r="B2042" s="138">
        <f>'Cap Outlay Deprec 26'!I13</f>
        <v>96084</v>
      </c>
      <c r="D2042" s="2" t="str">
        <f t="shared" si="30"/>
        <v>Error?</v>
      </c>
    </row>
    <row r="2043" spans="1:4" x14ac:dyDescent="0.2">
      <c r="A2043" s="5">
        <v>1982</v>
      </c>
      <c r="B2043" s="138">
        <f>'Cap Outlay Deprec 26'!I16</f>
        <v>326932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114806</v>
      </c>
      <c r="D2048" s="2" t="str">
        <f t="shared" si="31"/>
        <v>Error?</v>
      </c>
    </row>
    <row r="2049" spans="1:4" x14ac:dyDescent="0.2">
      <c r="A2049" s="5">
        <v>1988</v>
      </c>
      <c r="B2049" s="138">
        <f>'Cap Outlay Deprec 26'!J16</f>
        <v>114806</v>
      </c>
      <c r="C2049" s="2" t="s">
        <v>573</v>
      </c>
      <c r="D2049" s="2" t="str">
        <f t="shared" si="31"/>
        <v>Error?</v>
      </c>
    </row>
    <row r="2050" spans="1:4" x14ac:dyDescent="0.2">
      <c r="A2050" s="10">
        <v>1989</v>
      </c>
      <c r="D2050" s="2" t="str">
        <f t="shared" si="31"/>
        <v>OK</v>
      </c>
    </row>
    <row r="2051" spans="1:4" x14ac:dyDescent="0.2">
      <c r="A2051" s="5">
        <v>1990</v>
      </c>
      <c r="B2051" s="138">
        <f>'Cap Outlay Deprec 26'!K8</f>
        <v>2221037</v>
      </c>
      <c r="C2051" s="2" t="s">
        <v>573</v>
      </c>
      <c r="D2051" s="2" t="str">
        <f t="shared" si="31"/>
        <v>Error?</v>
      </c>
    </row>
    <row r="2052" spans="1:4" x14ac:dyDescent="0.2">
      <c r="A2052" s="5">
        <v>1991</v>
      </c>
      <c r="B2052" s="138">
        <f>'Cap Outlay Deprec 26'!K10</f>
        <v>8591</v>
      </c>
      <c r="C2052" s="2" t="s">
        <v>573</v>
      </c>
      <c r="D2052" s="2" t="str">
        <f t="shared" si="31"/>
        <v>Error?</v>
      </c>
    </row>
    <row r="2053" spans="1:4" x14ac:dyDescent="0.2">
      <c r="A2053" s="5">
        <v>1992</v>
      </c>
      <c r="B2053" s="138">
        <f>'Cap Outlay Deprec 26'!K12</f>
        <v>406243</v>
      </c>
      <c r="C2053" s="2" t="s">
        <v>573</v>
      </c>
      <c r="D2053" s="2" t="str">
        <f t="shared" si="31"/>
        <v>Error?</v>
      </c>
    </row>
    <row r="2054" spans="1:4" x14ac:dyDescent="0.2">
      <c r="A2054" s="5">
        <v>1993</v>
      </c>
      <c r="B2054" s="138">
        <f>'Cap Outlay Deprec 26'!K13</f>
        <v>927758</v>
      </c>
      <c r="C2054" s="2" t="s">
        <v>573</v>
      </c>
      <c r="D2054" s="2" t="str">
        <f t="shared" si="31"/>
        <v>Error?</v>
      </c>
    </row>
    <row r="2055" spans="1:4" x14ac:dyDescent="0.2">
      <c r="A2055" s="5">
        <v>1994</v>
      </c>
      <c r="B2055" s="138">
        <f>'Cap Outlay Deprec 26'!K16</f>
        <v>3563629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9270680</v>
      </c>
      <c r="C2057" s="2" t="s">
        <v>573</v>
      </c>
      <c r="D2057" s="2" t="str">
        <f t="shared" si="31"/>
        <v>Error?</v>
      </c>
    </row>
    <row r="2058" spans="1:4" x14ac:dyDescent="0.2">
      <c r="A2058" s="5">
        <v>1997</v>
      </c>
      <c r="B2058" s="138">
        <f>'Cap Outlay Deprec 26'!L10</f>
        <v>97370</v>
      </c>
      <c r="C2058" s="2" t="s">
        <v>573</v>
      </c>
      <c r="D2058" s="2" t="str">
        <f t="shared" si="31"/>
        <v>Error?</v>
      </c>
    </row>
    <row r="2059" spans="1:4" x14ac:dyDescent="0.2">
      <c r="A2059" s="5">
        <v>1998</v>
      </c>
      <c r="B2059" s="138">
        <f>'Cap Outlay Deprec 26'!L12</f>
        <v>51273</v>
      </c>
      <c r="C2059" s="2" t="s">
        <v>573</v>
      </c>
      <c r="D2059" s="2" t="str">
        <f t="shared" si="31"/>
        <v>Error?</v>
      </c>
    </row>
    <row r="2060" spans="1:4" x14ac:dyDescent="0.2">
      <c r="A2060" s="5">
        <v>1999</v>
      </c>
      <c r="B2060" s="138">
        <f>'Cap Outlay Deprec 26'!L13</f>
        <v>288920</v>
      </c>
      <c r="C2060" s="2" t="s">
        <v>573</v>
      </c>
      <c r="D2060" s="2" t="str">
        <f t="shared" si="31"/>
        <v>Error?</v>
      </c>
    </row>
    <row r="2061" spans="1:4" x14ac:dyDescent="0.2">
      <c r="A2061" s="5">
        <v>2000</v>
      </c>
      <c r="B2061" s="138">
        <f>'Cap Outlay Deprec 26'!L16</f>
        <v>10022346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521958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521958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222988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3242899</v>
      </c>
      <c r="C2551" s="2" t="s">
        <v>573</v>
      </c>
      <c r="D2551" s="2" t="str">
        <f t="shared" si="38"/>
        <v>Error?</v>
      </c>
    </row>
    <row r="2552" spans="1:4" x14ac:dyDescent="0.2">
      <c r="A2552" s="10">
        <v>2491</v>
      </c>
      <c r="D2552" s="2" t="str">
        <f t="shared" si="38"/>
        <v>OK</v>
      </c>
    </row>
    <row r="2553" spans="1:4" x14ac:dyDescent="0.2">
      <c r="A2553" s="5">
        <v>2492</v>
      </c>
      <c r="B2553" s="138">
        <f>'Acct Summary 7-8'!C6</f>
        <v>1717760</v>
      </c>
      <c r="C2553" s="2" t="s">
        <v>573</v>
      </c>
      <c r="D2553" s="2" t="str">
        <f t="shared" si="38"/>
        <v>Error?</v>
      </c>
    </row>
    <row r="2554" spans="1:4" x14ac:dyDescent="0.2">
      <c r="A2554" s="5">
        <v>2493</v>
      </c>
      <c r="B2554" s="138">
        <f>'Acct Summary 7-8'!C7</f>
        <v>294165</v>
      </c>
      <c r="C2554" s="2" t="s">
        <v>573</v>
      </c>
      <c r="D2554" s="2" t="str">
        <f t="shared" si="38"/>
        <v>Error?</v>
      </c>
    </row>
    <row r="2555" spans="1:4" x14ac:dyDescent="0.2">
      <c r="A2555" s="5">
        <v>2494</v>
      </c>
      <c r="B2555" s="138">
        <f>'Acct Summary 7-8'!C8</f>
        <v>5254824</v>
      </c>
      <c r="C2555" s="2" t="s">
        <v>573</v>
      </c>
      <c r="D2555" s="2" t="str">
        <f t="shared" si="38"/>
        <v>Error?</v>
      </c>
    </row>
    <row r="2556" spans="1:4" x14ac:dyDescent="0.2">
      <c r="A2556" s="5">
        <v>2495</v>
      </c>
      <c r="B2556" s="138">
        <f>'Acct Summary 7-8'!C12</f>
        <v>3466553</v>
      </c>
      <c r="C2556" s="2" t="s">
        <v>573</v>
      </c>
      <c r="D2556" s="2" t="str">
        <f t="shared" si="38"/>
        <v>Error?</v>
      </c>
    </row>
    <row r="2557" spans="1:4" x14ac:dyDescent="0.2">
      <c r="A2557" s="5">
        <v>2496</v>
      </c>
      <c r="B2557" s="138">
        <f>'Acct Summary 7-8'!C13</f>
        <v>911769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521958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4900280</v>
      </c>
      <c r="C2561" s="2" t="s">
        <v>573</v>
      </c>
      <c r="D2561" s="2" t="str">
        <f t="shared" si="39"/>
        <v>Error?</v>
      </c>
    </row>
    <row r="2562" spans="1:4" x14ac:dyDescent="0.2">
      <c r="A2562" s="5">
        <v>2501</v>
      </c>
      <c r="B2562" s="138">
        <f>'Acct Summary 7-8'!C20</f>
        <v>354544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412465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412465</v>
      </c>
      <c r="C2568" s="2" t="s">
        <v>573</v>
      </c>
      <c r="D2568" s="2" t="str">
        <f t="shared" si="39"/>
        <v>Error?</v>
      </c>
    </row>
    <row r="2569" spans="1:4" x14ac:dyDescent="0.2">
      <c r="A2569" s="5">
        <v>2508</v>
      </c>
      <c r="B2569" s="138">
        <f>'Acct Summary 7-8'!D13</f>
        <v>478772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478772</v>
      </c>
      <c r="C2573" s="2" t="s">
        <v>573</v>
      </c>
      <c r="D2573" s="2" t="str">
        <f t="shared" si="39"/>
        <v>Error?</v>
      </c>
    </row>
    <row r="2574" spans="1:4" x14ac:dyDescent="0.2">
      <c r="A2574" s="5">
        <v>2513</v>
      </c>
      <c r="B2574" s="138">
        <f>'Acct Summary 7-8'!D20</f>
        <v>-66307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173594</v>
      </c>
      <c r="C2591" s="2" t="s">
        <v>573</v>
      </c>
      <c r="D2591" s="2" t="str">
        <f t="shared" si="39"/>
        <v>Error?</v>
      </c>
    </row>
    <row r="2592" spans="1:4" x14ac:dyDescent="0.2">
      <c r="A2592" s="10">
        <v>2531</v>
      </c>
      <c r="D2592" s="2" t="str">
        <f t="shared" si="39"/>
        <v>OK</v>
      </c>
    </row>
    <row r="2593" spans="1:4" x14ac:dyDescent="0.2">
      <c r="A2593" s="5">
        <v>2532</v>
      </c>
      <c r="B2593" s="138">
        <f>'Acct Summary 7-8'!F6</f>
        <v>273597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447191</v>
      </c>
      <c r="C2595" s="2" t="s">
        <v>573</v>
      </c>
      <c r="D2595" s="2" t="str">
        <f t="shared" si="39"/>
        <v>Error?</v>
      </c>
    </row>
    <row r="2596" spans="1:4" x14ac:dyDescent="0.2">
      <c r="A2596" s="5">
        <v>2535</v>
      </c>
      <c r="B2596" s="138">
        <f>'Acct Summary 7-8'!F13</f>
        <v>487767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487767</v>
      </c>
      <c r="C2600" s="2" t="s">
        <v>573</v>
      </c>
      <c r="D2600" s="2" t="str">
        <f t="shared" si="39"/>
        <v>Error?</v>
      </c>
    </row>
    <row r="2601" spans="1:4" x14ac:dyDescent="0.2">
      <c r="A2601" s="5">
        <v>2540</v>
      </c>
      <c r="B2601" s="138">
        <f>'Acct Summary 7-8'!F20</f>
        <v>-40576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185776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185776</v>
      </c>
      <c r="C2606" s="2" t="s">
        <v>573</v>
      </c>
      <c r="D2606" s="2" t="str">
        <f t="shared" si="39"/>
        <v>Error?</v>
      </c>
    </row>
    <row r="2607" spans="1:4" x14ac:dyDescent="0.2">
      <c r="A2607" s="5">
        <v>2546</v>
      </c>
      <c r="B2607" s="138">
        <f>'Acct Summary 7-8'!G12</f>
        <v>69128</v>
      </c>
      <c r="C2607" s="2" t="s">
        <v>573</v>
      </c>
      <c r="D2607" s="2" t="str">
        <f t="shared" si="39"/>
        <v>Error?</v>
      </c>
    </row>
    <row r="2608" spans="1:4" x14ac:dyDescent="0.2">
      <c r="A2608" s="5">
        <v>2547</v>
      </c>
      <c r="B2608" s="138">
        <f>'Acct Summary 7-8'!G13</f>
        <v>107894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177022</v>
      </c>
      <c r="C2612" s="2" t="s">
        <v>573</v>
      </c>
      <c r="D2612" s="2" t="str">
        <f t="shared" si="39"/>
        <v>Error?</v>
      </c>
    </row>
    <row r="2613" spans="1:4" x14ac:dyDescent="0.2">
      <c r="A2613" s="5">
        <v>2552</v>
      </c>
      <c r="B2613" s="138">
        <f>'Acct Summary 7-8'!G20</f>
        <v>8754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688248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688248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535555</v>
      </c>
      <c r="C2634" s="2" t="s">
        <v>573</v>
      </c>
      <c r="D2634" s="2" t="str">
        <f t="shared" si="40"/>
        <v>Error?</v>
      </c>
    </row>
    <row r="2635" spans="1:4" x14ac:dyDescent="0.2">
      <c r="A2635" s="5">
        <v>2574</v>
      </c>
      <c r="B2635" s="138">
        <f>'Acct Summary 7-8'!E17</f>
        <v>535555</v>
      </c>
      <c r="C2635" s="2" t="s">
        <v>573</v>
      </c>
      <c r="D2635" s="2" t="str">
        <f t="shared" si="40"/>
        <v>Error?</v>
      </c>
    </row>
    <row r="2636" spans="1:4" x14ac:dyDescent="0.2">
      <c r="A2636" s="5">
        <v>2575</v>
      </c>
      <c r="B2636" s="138">
        <f>'Acct Summary 7-8'!E20</f>
        <v>152693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390</v>
      </c>
      <c r="C2658" s="2" t="s">
        <v>573</v>
      </c>
      <c r="D2658" s="2" t="str">
        <f t="shared" si="40"/>
        <v>Error?</v>
      </c>
    </row>
    <row r="2659" spans="1:4" x14ac:dyDescent="0.2">
      <c r="A2659" s="5">
        <v>2598</v>
      </c>
      <c r="B2659" s="138">
        <f>'Acct Summary 7-8'!H13</f>
        <v>102877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102877</v>
      </c>
      <c r="C2661" s="2" t="s">
        <v>573</v>
      </c>
      <c r="D2661" s="2" t="str">
        <f t="shared" si="40"/>
        <v>Error?</v>
      </c>
    </row>
    <row r="2662" spans="1:4" x14ac:dyDescent="0.2">
      <c r="A2662" s="5">
        <v>2601</v>
      </c>
      <c r="B2662" s="138">
        <f>'Acct Summary 7-8'!H20</f>
        <v>-102487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314103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17863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23127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37353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134302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23127</v>
      </c>
      <c r="D2912" s="2" t="str">
        <f t="shared" si="44"/>
        <v>Error?</v>
      </c>
    </row>
    <row r="2913" spans="1:4" x14ac:dyDescent="0.2">
      <c r="A2913" s="5">
        <v>2852</v>
      </c>
      <c r="B2913" s="138">
        <f>'Assets-Liab 5-6'!I41</f>
        <v>23127</v>
      </c>
      <c r="C2913" s="2" t="s">
        <v>573</v>
      </c>
      <c r="D2913" s="2" t="str">
        <f t="shared" si="44"/>
        <v>Error?</v>
      </c>
    </row>
    <row r="2914" spans="1:4" x14ac:dyDescent="0.2">
      <c r="A2914" s="5">
        <v>2853</v>
      </c>
      <c r="B2914" s="138">
        <f>'Assets-Liab 5-6'!L33</f>
        <v>134302</v>
      </c>
      <c r="D2914" s="2" t="str">
        <f t="shared" si="44"/>
        <v>Error?</v>
      </c>
    </row>
    <row r="2915" spans="1:4" x14ac:dyDescent="0.2">
      <c r="A2915" s="10">
        <v>2854</v>
      </c>
      <c r="D2915" s="2" t="str">
        <f t="shared" si="44"/>
        <v>OK</v>
      </c>
    </row>
    <row r="2916" spans="1:4" x14ac:dyDescent="0.2">
      <c r="A2916" s="5">
        <v>2855</v>
      </c>
      <c r="B2916" s="138">
        <f>'Assets-Liab 5-6'!L34</f>
        <v>134302</v>
      </c>
      <c r="C2916" s="2" t="s">
        <v>573</v>
      </c>
      <c r="D2916" s="2" t="str">
        <f t="shared" si="44"/>
        <v>Error?</v>
      </c>
    </row>
    <row r="2917" spans="1:4" x14ac:dyDescent="0.2">
      <c r="A2917" s="5">
        <v>2856</v>
      </c>
      <c r="B2917" s="138">
        <f>'Assets-Liab 5-6'!L41</f>
        <v>134302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521958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521958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59396</v>
      </c>
      <c r="D3055" s="2" t="str">
        <f t="shared" si="46"/>
        <v>Error?</v>
      </c>
    </row>
    <row r="3056" spans="1:4" x14ac:dyDescent="0.2">
      <c r="A3056" s="5">
        <v>2995</v>
      </c>
      <c r="B3056" s="138">
        <f>'Expenditures 15-22'!D10</f>
        <v>12678</v>
      </c>
      <c r="D3056" s="2" t="str">
        <f t="shared" si="46"/>
        <v>Error?</v>
      </c>
    </row>
    <row r="3057" spans="1:4" x14ac:dyDescent="0.2">
      <c r="A3057" s="5">
        <v>2996</v>
      </c>
      <c r="B3057" s="138">
        <f>'Expenditures 15-22'!E10</f>
        <v>4212</v>
      </c>
      <c r="D3057" s="2" t="str">
        <f t="shared" si="46"/>
        <v>Error?</v>
      </c>
    </row>
    <row r="3058" spans="1:4" x14ac:dyDescent="0.2">
      <c r="A3058" s="5">
        <v>2997</v>
      </c>
      <c r="B3058" s="138">
        <f>'Expenditures 15-22'!F10</f>
        <v>1898</v>
      </c>
      <c r="D3058" s="2" t="str">
        <f t="shared" si="46"/>
        <v>Error?</v>
      </c>
    </row>
    <row r="3059" spans="1:4" x14ac:dyDescent="0.2">
      <c r="A3059" s="5">
        <v>2998</v>
      </c>
      <c r="B3059" s="138">
        <f>'Expenditures 15-22'!G10</f>
        <v>1464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79648</v>
      </c>
      <c r="C3062" s="2" t="s">
        <v>573</v>
      </c>
      <c r="D3062" s="2" t="str">
        <f t="shared" si="46"/>
        <v>Error?</v>
      </c>
    </row>
    <row r="3063" spans="1:4" x14ac:dyDescent="0.2">
      <c r="A3063" s="10">
        <v>3002</v>
      </c>
      <c r="D3063" s="2" t="str">
        <f t="shared" si="46"/>
        <v>OK</v>
      </c>
    </row>
    <row r="3064" spans="1:4" x14ac:dyDescent="0.2">
      <c r="A3064" s="5">
        <v>3003</v>
      </c>
      <c r="B3064" s="138">
        <f>'Expenditures 15-22'!D219</f>
        <v>5984</v>
      </c>
      <c r="D3064" s="2" t="str">
        <f t="shared" si="46"/>
        <v>Error?</v>
      </c>
    </row>
    <row r="3065" spans="1:4" x14ac:dyDescent="0.2">
      <c r="A3065" s="5">
        <v>3004</v>
      </c>
      <c r="B3065" s="138">
        <f>'Expenditures 15-22'!K219</f>
        <v>5984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39830</v>
      </c>
      <c r="C3225" s="2" t="s">
        <v>573</v>
      </c>
      <c r="D3225" s="2" t="str">
        <f t="shared" si="49"/>
        <v>Error?</v>
      </c>
    </row>
    <row r="3226" spans="1:4" x14ac:dyDescent="0.2">
      <c r="A3226" s="5">
        <v>3165</v>
      </c>
      <c r="B3226" s="138">
        <f>'Acct Summary 7-8'!I8</f>
        <v>39830</v>
      </c>
      <c r="C3226" s="2" t="s">
        <v>573</v>
      </c>
      <c r="D3226" s="2" t="str">
        <f t="shared" si="49"/>
        <v>Error?</v>
      </c>
    </row>
    <row r="3227" spans="1:4" x14ac:dyDescent="0.2">
      <c r="A3227" s="5">
        <v>3166</v>
      </c>
      <c r="B3227" s="138">
        <f>'Acct Summary 7-8'!I20</f>
        <v>39830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354544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-66307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-40576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8754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152693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105000</v>
      </c>
      <c r="C3299" s="2" t="s">
        <v>573</v>
      </c>
      <c r="D3299" s="2" t="str">
        <f t="shared" si="50"/>
        <v>Error?</v>
      </c>
    </row>
    <row r="3300" spans="1:4" x14ac:dyDescent="0.2">
      <c r="A3300" s="5">
        <v>3239</v>
      </c>
      <c r="B3300" s="138">
        <f>'Acct Summary 7-8'!H78</f>
        <v>2513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105000</v>
      </c>
      <c r="C3318" s="2" t="s">
        <v>573</v>
      </c>
      <c r="D3318" s="2" t="str">
        <f t="shared" si="50"/>
        <v>Error?</v>
      </c>
    </row>
    <row r="3319" spans="1:4" x14ac:dyDescent="0.2">
      <c r="A3319" s="5">
        <v>3258</v>
      </c>
      <c r="B3319" s="138">
        <f>'Acct Summary 7-8'!I77</f>
        <v>-105000</v>
      </c>
      <c r="C3319" s="2" t="s">
        <v>573</v>
      </c>
      <c r="D3319" s="2" t="str">
        <f t="shared" si="50"/>
        <v>Error?</v>
      </c>
    </row>
    <row r="3320" spans="1:4" x14ac:dyDescent="0.2">
      <c r="A3320" s="5">
        <v>3259</v>
      </c>
      <c r="B3320" s="138">
        <f>'Acct Summary 7-8'!I78</f>
        <v>-65170</v>
      </c>
      <c r="C3320" s="2" t="s">
        <v>573</v>
      </c>
      <c r="D3320" s="2" t="str">
        <f t="shared" si="50"/>
        <v>Error?</v>
      </c>
    </row>
    <row r="3321" spans="1:4" x14ac:dyDescent="0.2">
      <c r="A3321" s="5">
        <v>3260</v>
      </c>
      <c r="B3321" s="138">
        <f>'Acct Summary 7-8'!I79</f>
        <v>88297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23127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192452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32021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224660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37898</v>
      </c>
      <c r="D3387" s="2" t="str">
        <f t="shared" si="51"/>
        <v>Error?</v>
      </c>
    </row>
    <row r="3388" spans="1:4" x14ac:dyDescent="0.2">
      <c r="A3388" s="5">
        <v>3327</v>
      </c>
      <c r="B3388" s="138">
        <f>'Expenditures 15-22'!D217</f>
        <v>12881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37898</v>
      </c>
      <c r="C3390" s="2" t="s">
        <v>573</v>
      </c>
      <c r="D3390" s="2" t="str">
        <f t="shared" si="51"/>
        <v>Error?</v>
      </c>
    </row>
    <row r="3391" spans="1:4" x14ac:dyDescent="0.2">
      <c r="A3391" s="5">
        <v>3330</v>
      </c>
      <c r="B3391" s="138">
        <f>'Expenditures 15-22'!K217</f>
        <v>12881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49757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9291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12220</v>
      </c>
      <c r="D3417" s="2" t="str">
        <f t="shared" si="52"/>
        <v>Error?</v>
      </c>
    </row>
    <row r="3418" spans="1:4" x14ac:dyDescent="0.2">
      <c r="A3418" s="10">
        <v>3357</v>
      </c>
      <c r="D3418" s="2" t="str">
        <f t="shared" si="52"/>
        <v>OK</v>
      </c>
    </row>
    <row r="3419" spans="1:4" x14ac:dyDescent="0.2">
      <c r="A3419" s="5">
        <v>3358</v>
      </c>
      <c r="B3419" s="138">
        <f>'Assets-Liab 5-6'!F4</f>
        <v>11415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12029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3667</v>
      </c>
      <c r="D3425" s="2" t="str">
        <f t="shared" si="52"/>
        <v>Error?</v>
      </c>
    </row>
    <row r="3426" spans="1:4" x14ac:dyDescent="0.2">
      <c r="A3426" s="10">
        <v>3365</v>
      </c>
      <c r="D3426" s="2" t="str">
        <f t="shared" si="52"/>
        <v>OK</v>
      </c>
    </row>
    <row r="3427" spans="1:4" x14ac:dyDescent="0.2">
      <c r="A3427" s="5">
        <v>3366</v>
      </c>
      <c r="B3427" s="138">
        <f>'Assets-Liab 5-6'!I4</f>
        <v>5264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96949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86580</v>
      </c>
      <c r="C3446" s="2" t="s">
        <v>573</v>
      </c>
      <c r="D3446" s="2" t="str">
        <f t="shared" si="52"/>
        <v>Error?</v>
      </c>
    </row>
    <row r="3447" spans="1:4" x14ac:dyDescent="0.2">
      <c r="A3447" s="5">
        <v>3386</v>
      </c>
      <c r="B3447" s="138">
        <f>'Tax Sched 23'!D16</f>
        <v>86580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100000</v>
      </c>
      <c r="C3449" s="2" t="s">
        <v>573</v>
      </c>
      <c r="D3449" s="2" t="str">
        <f t="shared" si="52"/>
        <v>Error?</v>
      </c>
    </row>
    <row r="3450" spans="1:4" x14ac:dyDescent="0.2">
      <c r="A3450" s="5">
        <v>3389</v>
      </c>
      <c r="B3450" s="138">
        <f>'Tax Sched 23'!E16</f>
        <v>100000</v>
      </c>
      <c r="D3450" s="2" t="str">
        <f t="shared" si="52"/>
        <v>Error?</v>
      </c>
    </row>
    <row r="3451" spans="1:4" x14ac:dyDescent="0.2">
      <c r="A3451" s="5">
        <v>3390</v>
      </c>
      <c r="B3451" s="138">
        <f>'Cap Outlay Deprec 26'!C15</f>
        <v>116057</v>
      </c>
      <c r="D3451" s="2" t="str">
        <f t="shared" si="52"/>
        <v>Error?</v>
      </c>
    </row>
    <row r="3452" spans="1:4" x14ac:dyDescent="0.2">
      <c r="A3452" s="5">
        <v>3391</v>
      </c>
      <c r="B3452" s="138">
        <f>'Cap Outlay Deprec 26'!D15</f>
        <v>356482</v>
      </c>
      <c r="D3452" s="2" t="str">
        <f t="shared" si="52"/>
        <v>Error?</v>
      </c>
    </row>
    <row r="3453" spans="1:4" x14ac:dyDescent="0.2">
      <c r="A3453" s="5">
        <v>3392</v>
      </c>
      <c r="B3453" s="138">
        <f>'Cap Outlay Deprec 26'!E15</f>
        <v>158436</v>
      </c>
      <c r="D3453" s="2" t="str">
        <f t="shared" si="52"/>
        <v>Error?</v>
      </c>
    </row>
    <row r="3454" spans="1:4" x14ac:dyDescent="0.2">
      <c r="A3454" s="5">
        <v>3393</v>
      </c>
      <c r="B3454" s="138">
        <f>'Cap Outlay Deprec 26'!F15</f>
        <v>314103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314103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3193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11888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15081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15081</v>
      </c>
      <c r="D3567" s="2" t="str">
        <f t="shared" si="54"/>
        <v>Error?</v>
      </c>
    </row>
    <row r="3568" spans="1:4" x14ac:dyDescent="0.2">
      <c r="A3568" s="5">
        <v>3507</v>
      </c>
      <c r="B3568" s="138">
        <f>'Assets-Liab 5-6'!K41</f>
        <v>15081</v>
      </c>
      <c r="C3568" s="2" t="s">
        <v>573</v>
      </c>
      <c r="D3568" s="2" t="str">
        <f t="shared" si="54"/>
        <v>Error?</v>
      </c>
    </row>
    <row r="3569" spans="1:4" x14ac:dyDescent="0.2">
      <c r="A3569" s="5">
        <v>3508</v>
      </c>
      <c r="B3569" s="138">
        <f>'Acct Summary 7-8'!K4</f>
        <v>40132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40132</v>
      </c>
      <c r="C3571" s="2" t="s">
        <v>573</v>
      </c>
      <c r="D3571" s="2" t="str">
        <f t="shared" si="54"/>
        <v>Error?</v>
      </c>
    </row>
    <row r="3572" spans="1:4" x14ac:dyDescent="0.2">
      <c r="A3572" s="5">
        <v>3511</v>
      </c>
      <c r="B3572" s="138">
        <f>'Acct Summary 7-8'!K13</f>
        <v>179608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179608</v>
      </c>
      <c r="C3575" s="2" t="s">
        <v>573</v>
      </c>
      <c r="D3575" s="2" t="str">
        <f t="shared" si="54"/>
        <v>Error?</v>
      </c>
    </row>
    <row r="3576" spans="1:4" x14ac:dyDescent="0.2">
      <c r="A3576" s="5">
        <v>3515</v>
      </c>
      <c r="B3576" s="138">
        <f>'Acct Summary 7-8'!K20</f>
        <v>-139476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-139476</v>
      </c>
      <c r="C3588" s="2" t="s">
        <v>573</v>
      </c>
      <c r="D3588" s="2" t="str">
        <f t="shared" si="55"/>
        <v>Error?</v>
      </c>
    </row>
    <row r="3589" spans="1:4" x14ac:dyDescent="0.2">
      <c r="A3589" s="5">
        <v>3528</v>
      </c>
      <c r="B3589" s="138">
        <f>'Acct Summary 7-8'!K79</f>
        <v>154557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15081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179123</v>
      </c>
      <c r="D3632" s="2" t="str">
        <f t="shared" si="55"/>
        <v>Error?</v>
      </c>
    </row>
    <row r="3633" spans="1:4" x14ac:dyDescent="0.2">
      <c r="A3633" s="5">
        <v>3572</v>
      </c>
      <c r="B3633" s="138">
        <f>'Expenditures 15-22'!E350</f>
        <v>179123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179123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485</v>
      </c>
      <c r="D3639" s="2" t="str">
        <f t="shared" si="55"/>
        <v>Error?</v>
      </c>
    </row>
    <row r="3640" spans="1:4" x14ac:dyDescent="0.2">
      <c r="A3640" s="5">
        <v>3579</v>
      </c>
      <c r="B3640" s="138">
        <f>'Expenditures 15-22'!F350</f>
        <v>485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485</v>
      </c>
      <c r="C3642" s="2" t="s">
        <v>573</v>
      </c>
      <c r="D3642" s="2" t="str">
        <f t="shared" si="55"/>
        <v>Error?</v>
      </c>
    </row>
    <row r="3643" spans="1:4" x14ac:dyDescent="0.2">
      <c r="A3643" s="5">
        <v>3582</v>
      </c>
      <c r="B3643" s="138">
        <f>'Expenditures 15-22'!F367</f>
        <v>485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179608</v>
      </c>
      <c r="C3669" s="2" t="s">
        <v>573</v>
      </c>
      <c r="D3669" s="2" t="str">
        <f t="shared" si="56"/>
        <v>Error?</v>
      </c>
    </row>
    <row r="3670" spans="1:4" x14ac:dyDescent="0.2">
      <c r="A3670" s="5">
        <v>3609</v>
      </c>
      <c r="B3670" s="138">
        <f>'Expenditures 15-22'!K350</f>
        <v>179608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179608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179608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-139476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39678</v>
      </c>
      <c r="C3725" s="2" t="s">
        <v>573</v>
      </c>
      <c r="D3725" s="2" t="str">
        <f t="shared" si="57"/>
        <v>Error?</v>
      </c>
    </row>
    <row r="3726" spans="1:4" x14ac:dyDescent="0.2">
      <c r="A3726" s="5">
        <v>3665</v>
      </c>
      <c r="B3726" s="138">
        <f>'Tax Sched 23'!D13</f>
        <v>39678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46113</v>
      </c>
      <c r="C3728" s="2" t="s">
        <v>573</v>
      </c>
      <c r="D3728" s="2" t="str">
        <f t="shared" si="57"/>
        <v>Error?</v>
      </c>
    </row>
    <row r="3729" spans="1:4" x14ac:dyDescent="0.2">
      <c r="A3729" s="5">
        <v>3668</v>
      </c>
      <c r="B3729" s="138">
        <f>'Tax Sched 23'!E13</f>
        <v>46113</v>
      </c>
      <c r="D3729" s="2" t="str">
        <f t="shared" si="57"/>
        <v>Error?</v>
      </c>
    </row>
    <row r="3730" spans="1:4" x14ac:dyDescent="0.2">
      <c r="A3730" s="5">
        <v>3669</v>
      </c>
      <c r="B3730" s="138">
        <f>'ICR Computation 30'!E10</f>
        <v>81157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2117725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7372549</v>
      </c>
      <c r="C4122" s="2" t="s">
        <v>573</v>
      </c>
      <c r="D4122" s="2" t="str">
        <f t="shared" si="63"/>
        <v>Error?</v>
      </c>
    </row>
    <row r="4123" spans="1:4" x14ac:dyDescent="0.2">
      <c r="A4123" s="5">
        <v>4062</v>
      </c>
      <c r="B4123" s="138">
        <f>'Acct Summary 7-8'!D10</f>
        <v>412465</v>
      </c>
      <c r="C4123" s="2" t="s">
        <v>573</v>
      </c>
      <c r="D4123" s="2" t="str">
        <f t="shared" si="63"/>
        <v>Error?</v>
      </c>
    </row>
    <row r="4124" spans="1:4" x14ac:dyDescent="0.2">
      <c r="A4124" s="5">
        <v>4063</v>
      </c>
      <c r="B4124" s="138">
        <f>'Acct Summary 7-8'!E10</f>
        <v>688248</v>
      </c>
      <c r="C4124" s="2" t="s">
        <v>573</v>
      </c>
      <c r="D4124" s="2" t="str">
        <f t="shared" si="63"/>
        <v>Error?</v>
      </c>
    </row>
    <row r="4125" spans="1:4" x14ac:dyDescent="0.2">
      <c r="A4125" s="5">
        <v>4064</v>
      </c>
      <c r="B4125" s="138">
        <f>'Acct Summary 7-8'!F10</f>
        <v>447191</v>
      </c>
      <c r="C4125" s="2" t="s">
        <v>573</v>
      </c>
      <c r="D4125" s="2" t="str">
        <f t="shared" si="63"/>
        <v>Error?</v>
      </c>
    </row>
    <row r="4126" spans="1:4" x14ac:dyDescent="0.2">
      <c r="A4126" s="5">
        <v>4065</v>
      </c>
      <c r="B4126" s="138">
        <f>'Acct Summary 7-8'!G10</f>
        <v>185776</v>
      </c>
      <c r="C4126" s="2" t="s">
        <v>573</v>
      </c>
      <c r="D4126" s="2" t="str">
        <f t="shared" si="63"/>
        <v>Error?</v>
      </c>
    </row>
    <row r="4127" spans="1:4" x14ac:dyDescent="0.2">
      <c r="A4127" s="5">
        <v>4066</v>
      </c>
      <c r="B4127" s="138">
        <f>'Acct Summary 7-8'!H10</f>
        <v>390</v>
      </c>
      <c r="C4127" s="2" t="s">
        <v>573</v>
      </c>
      <c r="D4127" s="2" t="str">
        <f t="shared" si="63"/>
        <v>Error?</v>
      </c>
    </row>
    <row r="4128" spans="1:4" x14ac:dyDescent="0.2">
      <c r="A4128" s="5">
        <v>4067</v>
      </c>
      <c r="B4128" s="138">
        <f>'Acct Summary 7-8'!I10</f>
        <v>39830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40132</v>
      </c>
      <c r="C4130" s="2" t="s">
        <v>573</v>
      </c>
      <c r="D4130" s="2" t="str">
        <f t="shared" si="63"/>
        <v>Error?</v>
      </c>
    </row>
    <row r="4131" spans="1:4" x14ac:dyDescent="0.2">
      <c r="A4131" s="5">
        <v>4070</v>
      </c>
      <c r="B4131" s="138">
        <f>'Acct Summary 7-8'!C18</f>
        <v>2117725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7018005</v>
      </c>
      <c r="C4136" s="2" t="s">
        <v>573</v>
      </c>
      <c r="D4136" s="2" t="str">
        <f t="shared" si="63"/>
        <v>Error?</v>
      </c>
    </row>
    <row r="4137" spans="1:4" x14ac:dyDescent="0.2">
      <c r="A4137" s="5">
        <v>4076</v>
      </c>
      <c r="B4137" s="138">
        <f>'Acct Summary 7-8'!D19</f>
        <v>478772</v>
      </c>
      <c r="C4137" s="2" t="s">
        <v>573</v>
      </c>
      <c r="D4137" s="2" t="str">
        <f t="shared" si="63"/>
        <v>Error?</v>
      </c>
    </row>
    <row r="4138" spans="1:4" x14ac:dyDescent="0.2">
      <c r="A4138" s="5">
        <v>4077</v>
      </c>
      <c r="B4138" s="138">
        <f>'Acct Summary 7-8'!E19</f>
        <v>535555</v>
      </c>
      <c r="C4138" s="2" t="s">
        <v>573</v>
      </c>
      <c r="D4138" s="2" t="str">
        <f t="shared" si="63"/>
        <v>Error?</v>
      </c>
    </row>
    <row r="4139" spans="1:4" x14ac:dyDescent="0.2">
      <c r="A4139" s="5">
        <v>4078</v>
      </c>
      <c r="B4139" s="138">
        <f>'Acct Summary 7-8'!F19</f>
        <v>487767</v>
      </c>
      <c r="C4139" s="2" t="s">
        <v>573</v>
      </c>
      <c r="D4139" s="2" t="str">
        <f t="shared" si="63"/>
        <v>Error?</v>
      </c>
    </row>
    <row r="4140" spans="1:4" x14ac:dyDescent="0.2">
      <c r="A4140" s="5">
        <v>4079</v>
      </c>
      <c r="B4140" s="138">
        <f>'Acct Summary 7-8'!G19</f>
        <v>177022</v>
      </c>
      <c r="C4140" s="2" t="s">
        <v>573</v>
      </c>
      <c r="D4140" s="2" t="str">
        <f t="shared" si="63"/>
        <v>Error?</v>
      </c>
    </row>
    <row r="4141" spans="1:4" x14ac:dyDescent="0.2">
      <c r="A4141" s="5">
        <v>4080</v>
      </c>
      <c r="B4141" s="138">
        <f>'Acct Summary 7-8'!H19</f>
        <v>102877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179608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7368125</v>
      </c>
      <c r="C4171" s="2" t="s">
        <v>573</v>
      </c>
      <c r="D4171" s="2" t="str">
        <f t="shared" si="64"/>
        <v>Error?</v>
      </c>
    </row>
    <row r="4172" spans="1:4" x14ac:dyDescent="0.2">
      <c r="A4172" s="5">
        <v>4111</v>
      </c>
      <c r="B4172" s="138">
        <f>'Short-Term Long-Term Debt 24'!J49</f>
        <v>6647409</v>
      </c>
      <c r="C4172" s="2" t="s">
        <v>573</v>
      </c>
      <c r="D4172" s="2" t="str">
        <f t="shared" si="64"/>
        <v>Error?</v>
      </c>
    </row>
    <row r="4173" spans="1:4" x14ac:dyDescent="0.2">
      <c r="A4173" s="5">
        <v>4112</v>
      </c>
      <c r="B4173" s="138">
        <f>'Short-Term Long-Term Debt 24'!H49</f>
        <v>280000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203125</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3900</v>
      </c>
      <c r="C4268" s="2" t="s">
        <v>573</v>
      </c>
      <c r="D4268" s="2" t="str">
        <f t="shared" si="65"/>
        <v>Error?</v>
      </c>
    </row>
    <row r="4269" spans="1:5" x14ac:dyDescent="0.2">
      <c r="A4269" s="12">
        <v>4208</v>
      </c>
      <c r="B4269" s="138">
        <f>'FP Info 3'!J16</f>
        <v>2600357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14439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13907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7034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7993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92225676</v>
      </c>
      <c r="D4995" s="2" t="str">
        <f t="shared" si="77"/>
        <v>Error?</v>
      </c>
    </row>
    <row r="4996" spans="1:4" x14ac:dyDescent="0.2">
      <c r="A4996" s="12">
        <v>4935</v>
      </c>
      <c r="B4996" s="138">
        <f>'FP Info 3'!H31</f>
        <v>12727143.288000001</v>
      </c>
      <c r="D4996" s="2" t="str">
        <f t="shared" si="77"/>
        <v>Error?</v>
      </c>
    </row>
    <row r="4997" spans="1:4" x14ac:dyDescent="0.2">
      <c r="A4997" s="12">
        <v>4936</v>
      </c>
      <c r="B4997" s="138">
        <f>'FP Info 3'!H37</f>
        <v>7368125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39678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2539403</v>
      </c>
      <c r="D5061" s="2" t="str">
        <f t="shared" si="78"/>
        <v>Error?</v>
      </c>
    </row>
    <row r="5062" spans="1:4" x14ac:dyDescent="0.2">
      <c r="A5062" s="10">
        <v>5001</v>
      </c>
      <c r="D5062" s="2" t="str">
        <f t="shared" si="78"/>
        <v>OK</v>
      </c>
    </row>
    <row r="5063" spans="1:4" x14ac:dyDescent="0.2">
      <c r="A5063" s="5">
        <v>5002</v>
      </c>
      <c r="B5063" s="138">
        <f>'Revenues 9-14'!C7</f>
        <v>31744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2610825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349293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349293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41761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41761</v>
      </c>
      <c r="C5090" s="2" t="s">
        <v>573</v>
      </c>
      <c r="D5090" s="2" t="str">
        <f t="shared" si="78"/>
        <v>Error?</v>
      </c>
    </row>
    <row r="5091" spans="1:4" x14ac:dyDescent="0.2">
      <c r="A5091" s="5">
        <v>5030</v>
      </c>
      <c r="B5091" s="138">
        <f>'Revenues 9-14'!C70</f>
        <v>5726</v>
      </c>
      <c r="D5091" s="2" t="str">
        <f t="shared" si="78"/>
        <v>Error?</v>
      </c>
    </row>
    <row r="5092" spans="1:4" x14ac:dyDescent="0.2">
      <c r="A5092" s="5">
        <v>5031</v>
      </c>
      <c r="B5092" s="138">
        <f>'Revenues 9-14'!C71</f>
        <v>7952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2858</v>
      </c>
      <c r="D5094" s="2" t="str">
        <f t="shared" si="78"/>
        <v>Error?</v>
      </c>
    </row>
    <row r="5095" spans="1:4" x14ac:dyDescent="0.2">
      <c r="A5095" s="5">
        <v>5034</v>
      </c>
      <c r="B5095" s="138">
        <f>'Revenues 9-14'!C74</f>
        <v>1900</v>
      </c>
      <c r="D5095" s="2" t="str">
        <f t="shared" si="78"/>
        <v>Error?</v>
      </c>
    </row>
    <row r="5096" spans="1:4" x14ac:dyDescent="0.2">
      <c r="A5096" s="5">
        <v>5035</v>
      </c>
      <c r="B5096" s="138">
        <f>'Revenues 9-14'!C75</f>
        <v>93327</v>
      </c>
      <c r="C5096" s="2" t="s">
        <v>573</v>
      </c>
      <c r="D5096" s="2" t="str">
        <f t="shared" si="78"/>
        <v>Error?</v>
      </c>
    </row>
    <row r="5097" spans="1:4" x14ac:dyDescent="0.2">
      <c r="A5097" s="5">
        <v>5036</v>
      </c>
      <c r="B5097" s="138">
        <f>'Revenues 9-14'!C77</f>
        <v>26887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26887</v>
      </c>
      <c r="C5102" s="2" t="s">
        <v>573</v>
      </c>
      <c r="D5102" s="2" t="str">
        <f t="shared" si="78"/>
        <v>Error?</v>
      </c>
    </row>
    <row r="5103" spans="1:4" x14ac:dyDescent="0.2">
      <c r="A5103" s="5">
        <v>5042</v>
      </c>
      <c r="B5103" s="138">
        <f>'Revenues 9-14'!C84</f>
        <v>46264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46264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71953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-1081</v>
      </c>
      <c r="D5119" s="2" t="str">
        <f t="shared" ref="D5119:D5182" si="79">IF(ISBLANK(B5119),"OK",IF(A5119-B5119=0,"OK","Error?"))</f>
        <v>Error?</v>
      </c>
    </row>
    <row r="5120" spans="1:4" x14ac:dyDescent="0.2">
      <c r="A5120" s="5">
        <v>5059</v>
      </c>
      <c r="B5120" s="138">
        <f>'Revenues 9-14'!C108</f>
        <v>74542</v>
      </c>
      <c r="C5120" s="2" t="s">
        <v>573</v>
      </c>
      <c r="D5120" s="2" t="str">
        <f t="shared" si="79"/>
        <v>Error?</v>
      </c>
    </row>
    <row r="5121" spans="1:4" x14ac:dyDescent="0.2">
      <c r="A5121" s="5">
        <v>5060</v>
      </c>
      <c r="B5121" s="138">
        <f>'Revenues 9-14'!C109</f>
        <v>3242899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1472265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1472265</v>
      </c>
      <c r="C5132" s="2" t="s">
        <v>573</v>
      </c>
      <c r="D5132" s="2" t="str">
        <f t="shared" si="79"/>
        <v>Error?</v>
      </c>
    </row>
    <row r="5133" spans="1:4" x14ac:dyDescent="0.2">
      <c r="A5133" s="5">
        <v>5072</v>
      </c>
      <c r="B5133" s="138">
        <f>'Revenues 9-14'!C125</f>
        <v>23372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3405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26777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8132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1804</v>
      </c>
      <c r="D5167" s="2" t="str">
        <f t="shared" si="79"/>
        <v>Error?</v>
      </c>
    </row>
    <row r="5168" spans="1:4" x14ac:dyDescent="0.2">
      <c r="A5168" s="5">
        <v>5107</v>
      </c>
      <c r="B5168" s="138">
        <f>'Revenues 9-14'!C148</f>
        <v>9158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192590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245495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1717760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97268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21270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118538</v>
      </c>
      <c r="C5246" s="2" t="s">
        <v>573</v>
      </c>
      <c r="D5246" s="2" t="str">
        <f t="shared" si="80"/>
        <v>Error?</v>
      </c>
    </row>
    <row r="5247" spans="1:4" x14ac:dyDescent="0.2">
      <c r="A5247" s="5">
        <v>5186</v>
      </c>
      <c r="B5247" s="138">
        <f>'Revenues 9-14'!C200</f>
        <v>66058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14439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66058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73230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73230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294165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294165</v>
      </c>
      <c r="C5326" s="2" t="s">
        <v>573</v>
      </c>
      <c r="D5326" s="2" t="str">
        <f t="shared" si="82"/>
        <v>Error?</v>
      </c>
    </row>
    <row r="5327" spans="1:5" x14ac:dyDescent="0.2">
      <c r="A5327" s="5">
        <v>5266</v>
      </c>
      <c r="B5327" s="138">
        <f>'Revenues 9-14'!C268</f>
        <v>5254824</v>
      </c>
      <c r="C5327" s="2" t="s">
        <v>573</v>
      </c>
      <c r="D5327" s="2" t="str">
        <f t="shared" si="82"/>
        <v>Error?</v>
      </c>
    </row>
    <row r="5328" spans="1:5" x14ac:dyDescent="0.2">
      <c r="A5328" s="5">
        <v>5267</v>
      </c>
      <c r="B5328" s="138">
        <f>'Revenues 9-14'!D5</f>
        <v>396785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396785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4748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4748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10932</v>
      </c>
      <c r="D5354" s="2" t="str">
        <f t="shared" si="82"/>
        <v>Error?</v>
      </c>
    </row>
    <row r="5355" spans="1:4" x14ac:dyDescent="0.2">
      <c r="A5355" s="5">
        <v>5294</v>
      </c>
      <c r="B5355" s="138">
        <f>'Revenues 9-14'!D108</f>
        <v>10932</v>
      </c>
      <c r="C5355" s="2" t="s">
        <v>573</v>
      </c>
      <c r="D5355" s="2" t="str">
        <f t="shared" si="82"/>
        <v>Error?</v>
      </c>
    </row>
    <row r="5356" spans="1:4" x14ac:dyDescent="0.2">
      <c r="A5356" s="5">
        <v>5295</v>
      </c>
      <c r="B5356" s="138">
        <f>'Revenues 9-14'!D109</f>
        <v>412465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412465</v>
      </c>
      <c r="C5508" s="2" t="s">
        <v>573</v>
      </c>
      <c r="D5508" s="2" t="str">
        <f t="shared" si="85"/>
        <v>Error?</v>
      </c>
    </row>
    <row r="5509" spans="1:4" x14ac:dyDescent="0.2">
      <c r="A5509" s="5">
        <v>5448</v>
      </c>
      <c r="B5509" s="138">
        <f>'Revenues 9-14'!E5</f>
        <v>322663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322663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360069</v>
      </c>
      <c r="C5526" s="2" t="s">
        <v>573</v>
      </c>
      <c r="D5526" s="2" t="str">
        <f t="shared" si="85"/>
        <v>Error?</v>
      </c>
    </row>
    <row r="5527" spans="1:4" x14ac:dyDescent="0.2">
      <c r="A5527" s="5">
        <v>5466</v>
      </c>
      <c r="B5527" s="138">
        <f>'Revenues 9-14'!E109</f>
        <v>688248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688248</v>
      </c>
      <c r="C5552" s="2" t="s">
        <v>573</v>
      </c>
      <c r="D5552" s="2" t="str">
        <f t="shared" si="85"/>
        <v>Error?</v>
      </c>
    </row>
    <row r="5553" spans="1:4" x14ac:dyDescent="0.2">
      <c r="A5553" s="5">
        <v>5492</v>
      </c>
      <c r="B5553" s="138">
        <f>'Revenues 9-14'!F5</f>
        <v>158714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158714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11716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11716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3164</v>
      </c>
      <c r="D5586" s="2" t="str">
        <f t="shared" si="86"/>
        <v>Error?</v>
      </c>
    </row>
    <row r="5587" spans="1:4" x14ac:dyDescent="0.2">
      <c r="A5587" s="5">
        <v>5526</v>
      </c>
      <c r="B5587" s="138">
        <f>'Revenues 9-14'!F108</f>
        <v>3164</v>
      </c>
      <c r="C5587" s="2" t="s">
        <v>573</v>
      </c>
      <c r="D5587" s="2" t="str">
        <f t="shared" si="86"/>
        <v>Error?</v>
      </c>
    </row>
    <row r="5588" spans="1:4" x14ac:dyDescent="0.2">
      <c r="A5588" s="5">
        <v>5527</v>
      </c>
      <c r="B5588" s="138">
        <f>'Revenues 9-14'!F109</f>
        <v>173594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163584</v>
      </c>
      <c r="D5615" s="2" t="str">
        <f t="shared" si="86"/>
        <v>Error?</v>
      </c>
    </row>
    <row r="5616" spans="1:4" x14ac:dyDescent="0.2">
      <c r="A5616" s="10">
        <v>5555</v>
      </c>
      <c r="D5616" s="2" t="str">
        <f t="shared" si="86"/>
        <v>OK</v>
      </c>
    </row>
    <row r="5617" spans="1:5" x14ac:dyDescent="0.2">
      <c r="A5617" s="5">
        <v>5556</v>
      </c>
      <c r="B5617" s="138">
        <f>'Revenues 9-14'!F153</f>
        <v>110013</v>
      </c>
      <c r="D5617" s="2" t="str">
        <f t="shared" si="86"/>
        <v>Error?</v>
      </c>
    </row>
    <row r="5618" spans="1:5" x14ac:dyDescent="0.2">
      <c r="A5618" s="5">
        <v>5557</v>
      </c>
      <c r="B5618" s="138">
        <f>'Revenues 9-14'!F155</f>
        <v>273597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273597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273597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447191</v>
      </c>
      <c r="C5720" s="2" t="s">
        <v>573</v>
      </c>
      <c r="D5720" s="2" t="str">
        <f t="shared" si="88"/>
        <v>Error?</v>
      </c>
    </row>
    <row r="5721" spans="1:4" x14ac:dyDescent="0.2">
      <c r="A5721" s="5">
        <v>5660</v>
      </c>
      <c r="B5721" s="138">
        <f>'Revenues 9-14'!G5</f>
        <v>86580</v>
      </c>
      <c r="D5721" s="2" t="str">
        <f t="shared" si="88"/>
        <v>Error?</v>
      </c>
    </row>
    <row r="5722" spans="1:4" x14ac:dyDescent="0.2">
      <c r="A5722" s="5">
        <v>5661</v>
      </c>
      <c r="B5722" s="138">
        <f>'Revenues 9-14'!G7</f>
        <v>0</v>
      </c>
      <c r="D5722" s="2" t="str">
        <f t="shared" si="88"/>
        <v>Error?</v>
      </c>
    </row>
    <row r="5723" spans="1:4" x14ac:dyDescent="0.2">
      <c r="A5723" s="5">
        <v>5662</v>
      </c>
      <c r="B5723" s="138">
        <f>'Revenues 9-14'!G8</f>
        <v>86580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173160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2616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185776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390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390</v>
      </c>
      <c r="C5915" s="2" t="s">
        <v>573</v>
      </c>
      <c r="D5915" s="2" t="str">
        <f t="shared" si="91"/>
        <v>Error?</v>
      </c>
    </row>
    <row r="5916" spans="1:4" x14ac:dyDescent="0.2">
      <c r="A5916" s="5">
        <v>5855</v>
      </c>
      <c r="B5916" s="138">
        <f>'Revenues 9-14'!I5</f>
        <v>39678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39678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39830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39678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39678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40132</v>
      </c>
      <c r="C6023" s="2" t="s">
        <v>573</v>
      </c>
      <c r="D6023" s="2" t="str">
        <f t="shared" si="93"/>
        <v>Error?</v>
      </c>
    </row>
    <row r="6024" spans="1:5" x14ac:dyDescent="0.2">
      <c r="A6024" s="5">
        <v>5963</v>
      </c>
      <c r="B6024" s="138">
        <f>'Revenues 9-14'!G109</f>
        <v>185776</v>
      </c>
      <c r="C6024" s="2" t="s">
        <v>573</v>
      </c>
      <c r="D6024" s="2" t="str">
        <f t="shared" si="93"/>
        <v>Error?</v>
      </c>
    </row>
    <row r="6025" spans="1:5" x14ac:dyDescent="0.2">
      <c r="A6025" s="5">
        <v>5964</v>
      </c>
      <c r="B6025" s="138">
        <f>'Revenues 9-14'!H109</f>
        <v>390</v>
      </c>
      <c r="C6025" s="2" t="s">
        <v>573</v>
      </c>
      <c r="D6025" s="2" t="str">
        <f t="shared" si="93"/>
        <v>Error?</v>
      </c>
    </row>
    <row r="6026" spans="1:5" x14ac:dyDescent="0.2">
      <c r="A6026" s="5">
        <v>5965</v>
      </c>
      <c r="B6026" s="138">
        <f>'Revenues 9-14'!I109</f>
        <v>39830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40132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74891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21685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139714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139714</v>
      </c>
      <c r="D6215" s="2" t="str">
        <f t="shared" si="96"/>
        <v>Error?</v>
      </c>
      <c r="E6215" s="2" t="s">
        <v>190</v>
      </c>
    </row>
    <row r="6216" spans="1:5" x14ac:dyDescent="0.2">
      <c r="A6216">
        <v>6155</v>
      </c>
      <c r="B6216" s="138">
        <f>'Assets-Liab 5-6'!J41</f>
        <v>139714</v>
      </c>
      <c r="D6216" s="2" t="str">
        <f t="shared" si="96"/>
        <v>Error?</v>
      </c>
      <c r="E6216" s="2" t="s">
        <v>190</v>
      </c>
    </row>
    <row r="6217" spans="1:5" x14ac:dyDescent="0.2">
      <c r="A6217">
        <v>6156</v>
      </c>
      <c r="B6217" s="138">
        <f>'Assets-Liab 5-6'!J4</f>
        <v>11890</v>
      </c>
      <c r="D6217" s="2" t="str">
        <f t="shared" si="96"/>
        <v>Error?</v>
      </c>
      <c r="E6217" s="2" t="s">
        <v>190</v>
      </c>
    </row>
    <row r="6218" spans="1:5" x14ac:dyDescent="0.2">
      <c r="A6218">
        <v>6157</v>
      </c>
      <c r="B6218" s="138">
        <f>'Assets-Liab 5-6'!J5</f>
        <v>127824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231246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231246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231246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161127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161127</v>
      </c>
      <c r="D6229" s="2" t="str">
        <f t="shared" si="96"/>
        <v>Error?</v>
      </c>
      <c r="E6229" s="2" t="s">
        <v>190</v>
      </c>
    </row>
    <row r="6230" spans="1:5" x14ac:dyDescent="0.2">
      <c r="A6230">
        <v>6169</v>
      </c>
      <c r="B6230" s="138">
        <f>'Acct Summary 7-8'!J20</f>
        <v>70119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70119</v>
      </c>
      <c r="D6263" s="2" t="str">
        <f t="shared" si="96"/>
        <v>Error?</v>
      </c>
      <c r="E6263" s="2" t="s">
        <v>190</v>
      </c>
    </row>
    <row r="6264" spans="1:5" x14ac:dyDescent="0.2">
      <c r="A6264">
        <v>6203</v>
      </c>
      <c r="B6264" s="138">
        <f>'Acct Summary 7-8'!J79</f>
        <v>69595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139714</v>
      </c>
      <c r="D6266" s="2" t="str">
        <f t="shared" si="96"/>
        <v>Error?</v>
      </c>
      <c r="E6266" s="2" t="s">
        <v>190</v>
      </c>
    </row>
    <row r="6267" spans="1:5" x14ac:dyDescent="0.2">
      <c r="A6267">
        <v>6206</v>
      </c>
      <c r="B6267" s="138">
        <f>'Acct Summary 7-8'!C82</f>
        <v>354544</v>
      </c>
      <c r="D6267" s="2" t="str">
        <f t="shared" si="96"/>
        <v>Error?</v>
      </c>
      <c r="E6267" s="2" t="s">
        <v>190</v>
      </c>
    </row>
    <row r="6268" spans="1:5" x14ac:dyDescent="0.2">
      <c r="A6268">
        <v>6207</v>
      </c>
      <c r="B6268" s="138">
        <f>'Acct Summary 7-8'!D82</f>
        <v>-66307</v>
      </c>
      <c r="D6268" s="2" t="str">
        <f t="shared" si="96"/>
        <v>Error?</v>
      </c>
      <c r="E6268" s="2" t="s">
        <v>190</v>
      </c>
    </row>
    <row r="6269" spans="1:5" x14ac:dyDescent="0.2">
      <c r="A6269">
        <v>6208</v>
      </c>
      <c r="B6269" s="138">
        <f>'Acct Summary 7-8'!E82</f>
        <v>152693</v>
      </c>
      <c r="D6269" s="2" t="str">
        <f t="shared" si="96"/>
        <v>Error?</v>
      </c>
      <c r="E6269" s="2" t="s">
        <v>190</v>
      </c>
    </row>
    <row r="6270" spans="1:5" x14ac:dyDescent="0.2">
      <c r="A6270">
        <v>6209</v>
      </c>
      <c r="B6270" s="138">
        <f>'Acct Summary 7-8'!F82</f>
        <v>-40576</v>
      </c>
      <c r="D6270" s="2" t="str">
        <f t="shared" si="96"/>
        <v>Error?</v>
      </c>
      <c r="E6270" s="2" t="s">
        <v>190</v>
      </c>
    </row>
    <row r="6271" spans="1:5" x14ac:dyDescent="0.2">
      <c r="A6271">
        <v>6210</v>
      </c>
      <c r="B6271" s="138">
        <f>'Acct Summary 7-8'!G82</f>
        <v>8754</v>
      </c>
      <c r="D6271" s="2" t="str">
        <f t="shared" ref="D6271:D6334" si="97">IF(ISBLANK(B6271),"OK",IF(A6271-B6271=0,"OK","Error?"))</f>
        <v>Error?</v>
      </c>
      <c r="E6271" s="2" t="s">
        <v>190</v>
      </c>
    </row>
    <row r="6272" spans="1:5" x14ac:dyDescent="0.2">
      <c r="A6272">
        <v>6211</v>
      </c>
      <c r="B6272" s="138">
        <f>'Acct Summary 7-8'!H82</f>
        <v>2513</v>
      </c>
      <c r="D6272" s="2" t="str">
        <f t="shared" si="97"/>
        <v>Error?</v>
      </c>
      <c r="E6272" s="2" t="s">
        <v>190</v>
      </c>
    </row>
    <row r="6273" spans="1:5" x14ac:dyDescent="0.2">
      <c r="A6273">
        <v>6212</v>
      </c>
      <c r="B6273" s="138">
        <f>'Acct Summary 7-8'!I82</f>
        <v>-65170</v>
      </c>
      <c r="D6273" s="2" t="str">
        <f t="shared" si="97"/>
        <v>Error?</v>
      </c>
      <c r="E6273" s="2" t="s">
        <v>190</v>
      </c>
    </row>
    <row r="6274" spans="1:5" x14ac:dyDescent="0.2">
      <c r="A6274">
        <v>6213</v>
      </c>
      <c r="B6274" s="138">
        <f>'Acct Summary 7-8'!J82</f>
        <v>70119</v>
      </c>
      <c r="D6274" s="2" t="str">
        <f t="shared" si="97"/>
        <v>Error?</v>
      </c>
      <c r="E6274" s="2" t="s">
        <v>190</v>
      </c>
    </row>
    <row r="6275" spans="1:5" x14ac:dyDescent="0.2">
      <c r="A6275">
        <v>6214</v>
      </c>
      <c r="B6275" s="138">
        <f>'Acct Summary 7-8'!K82</f>
        <v>-139476</v>
      </c>
      <c r="D6275" s="2" t="str">
        <f t="shared" si="97"/>
        <v>Error?</v>
      </c>
      <c r="E6275" s="2" t="s">
        <v>190</v>
      </c>
    </row>
    <row r="6276" spans="1:5" x14ac:dyDescent="0.2">
      <c r="A6276">
        <v>6215</v>
      </c>
      <c r="B6276" s="138">
        <f>'Acct Summary 7-8'!C83</f>
        <v>0.22453207180334825</v>
      </c>
      <c r="D6276" s="2" t="str">
        <f t="shared" si="97"/>
        <v>Error?</v>
      </c>
      <c r="E6276" s="2" t="s">
        <v>190</v>
      </c>
    </row>
    <row r="6277" spans="1:5" x14ac:dyDescent="0.2">
      <c r="A6277">
        <v>6216</v>
      </c>
      <c r="B6277" s="138">
        <f>'Acct Summary 7-8'!D83</f>
        <v>-0.13721509661985704</v>
      </c>
      <c r="D6277" s="2" t="str">
        <f t="shared" si="97"/>
        <v>Error?</v>
      </c>
      <c r="E6277" s="2" t="s">
        <v>190</v>
      </c>
    </row>
    <row r="6278" spans="1:5" x14ac:dyDescent="0.2">
      <c r="A6278">
        <v>6217</v>
      </c>
      <c r="B6278" s="138">
        <f>'Acct Summary 7-8'!E83</f>
        <v>0.21186292520216007</v>
      </c>
      <c r="D6278" s="2" t="str">
        <f t="shared" si="97"/>
        <v>Error?</v>
      </c>
      <c r="E6278" s="2" t="s">
        <v>190</v>
      </c>
    </row>
    <row r="6279" spans="1:5" x14ac:dyDescent="0.2">
      <c r="A6279">
        <v>6218</v>
      </c>
      <c r="B6279" s="138">
        <f>'Acct Summary 7-8'!F83</f>
        <v>-7.8794316462800093E-2</v>
      </c>
      <c r="D6279" s="2" t="str">
        <f t="shared" si="97"/>
        <v>Error?</v>
      </c>
      <c r="E6279" s="2" t="s">
        <v>190</v>
      </c>
    </row>
    <row r="6280" spans="1:5" x14ac:dyDescent="0.2">
      <c r="A6280">
        <v>6219</v>
      </c>
      <c r="B6280" s="138">
        <f>'Acct Summary 7-8'!G83</f>
        <v>3.9257717904102464E-2</v>
      </c>
      <c r="D6280" s="2" t="str">
        <f t="shared" si="97"/>
        <v>Error?</v>
      </c>
      <c r="E6280" s="2" t="s">
        <v>190</v>
      </c>
    </row>
    <row r="6281" spans="1:5" x14ac:dyDescent="0.2">
      <c r="A6281">
        <v>6220</v>
      </c>
      <c r="B6281" s="138">
        <f>'Acct Summary 7-8'!H83</f>
        <v>0.15469375192366883</v>
      </c>
      <c r="D6281" s="2" t="str">
        <f t="shared" si="97"/>
        <v>Error?</v>
      </c>
      <c r="E6281" s="2" t="s">
        <v>190</v>
      </c>
    </row>
    <row r="6282" spans="1:5" x14ac:dyDescent="0.2">
      <c r="A6282">
        <v>6221</v>
      </c>
      <c r="B6282" s="138">
        <f>'Acct Summary 7-8'!I83</f>
        <v>-2.8179184502961907</v>
      </c>
      <c r="D6282" s="2" t="str">
        <f t="shared" si="97"/>
        <v>Error?</v>
      </c>
      <c r="E6282" s="2" t="s">
        <v>190</v>
      </c>
    </row>
    <row r="6283" spans="1:5" x14ac:dyDescent="0.2">
      <c r="A6283">
        <v>6222</v>
      </c>
      <c r="B6283" s="138">
        <f>'Acct Summary 7-8'!J83</f>
        <v>0.50187525945860834</v>
      </c>
      <c r="D6283" s="2" t="str">
        <f t="shared" si="97"/>
        <v>Error?</v>
      </c>
      <c r="E6283" s="2" t="s">
        <v>190</v>
      </c>
    </row>
    <row r="6284" spans="1:5" x14ac:dyDescent="0.2">
      <c r="A6284">
        <v>6223</v>
      </c>
      <c r="B6284" s="138">
        <f>'Acct Summary 7-8'!K83</f>
        <v>-9.2484583250447585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209748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209748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20275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3670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20275</v>
      </c>
      <c r="D6351" s="2" t="str">
        <f t="shared" si="98"/>
        <v>Error?</v>
      </c>
      <c r="E6351" s="2" t="s">
        <v>190</v>
      </c>
    </row>
    <row r="6352" spans="1:5" x14ac:dyDescent="0.2">
      <c r="A6352">
        <v>6291</v>
      </c>
      <c r="B6352" s="138">
        <f>'Revenues 9-14'!J109</f>
        <v>231246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8132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97724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161534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56933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161127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231246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6383</v>
      </c>
      <c r="D7073" s="2" t="str">
        <f t="shared" si="109"/>
        <v>Error?</v>
      </c>
    </row>
    <row r="7074" spans="1:4" x14ac:dyDescent="0.2">
      <c r="A7074">
        <v>7013</v>
      </c>
      <c r="B7074" s="138">
        <f>'Expenditures 15-22'!K216</f>
        <v>6383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736</v>
      </c>
      <c r="D7079" s="2" t="str">
        <f t="shared" si="109"/>
        <v>Error?</v>
      </c>
    </row>
    <row r="7080" spans="1:4" x14ac:dyDescent="0.2">
      <c r="A7080">
        <v>7019</v>
      </c>
      <c r="B7080" s="138">
        <f>'Expenditures 15-22'!K226</f>
        <v>736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30528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30528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45540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45540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18973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18973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161127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161127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161127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161127</v>
      </c>
      <c r="D7224" s="2" t="str">
        <f t="shared" si="111"/>
        <v>Error?</v>
      </c>
    </row>
    <row r="7225" spans="1:4" x14ac:dyDescent="0.2">
      <c r="A7225">
        <v>7164</v>
      </c>
      <c r="B7225" s="138">
        <f>'Expenditures 15-22'!K343</f>
        <v>70119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12067</v>
      </c>
      <c r="D7246" s="2" t="str">
        <f t="shared" si="112"/>
        <v>Error?</v>
      </c>
    </row>
    <row r="7247" spans="1:4" x14ac:dyDescent="0.2">
      <c r="A7247">
        <f t="shared" si="113"/>
        <v>7186</v>
      </c>
      <c r="B7247" s="138">
        <f>'Expenditures 15-22'!E7</f>
        <v>1861</v>
      </c>
      <c r="D7247" s="2" t="str">
        <f t="shared" si="112"/>
        <v>Error?</v>
      </c>
    </row>
    <row r="7248" spans="1:4" x14ac:dyDescent="0.2">
      <c r="A7248">
        <f t="shared" si="113"/>
        <v>7187</v>
      </c>
      <c r="B7248" s="138">
        <f>'Expenditures 15-22'!F7</f>
        <v>26863</v>
      </c>
      <c r="D7248" s="2" t="str">
        <f t="shared" si="112"/>
        <v>Error?</v>
      </c>
    </row>
    <row r="7249" spans="1:4" x14ac:dyDescent="0.2">
      <c r="A7249">
        <f t="shared" si="113"/>
        <v>7188</v>
      </c>
      <c r="B7249" s="138">
        <f>'Expenditures 15-22'!G7</f>
        <v>23019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50732</v>
      </c>
      <c r="D7263" s="2" t="str">
        <f t="shared" si="112"/>
        <v>Error?</v>
      </c>
    </row>
    <row r="7264" spans="1:4" x14ac:dyDescent="0.2">
      <c r="A7264">
        <f t="shared" si="113"/>
        <v>7203</v>
      </c>
      <c r="B7264" s="138">
        <f>'Expenditures 15-22'!D17</f>
        <v>6201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326932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66086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66086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5516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3670</v>
      </c>
      <c r="D7712" s="2" t="str">
        <f t="shared" si="126"/>
        <v>Error?</v>
      </c>
      <c r="E7712" s="2" t="s">
        <v>827</v>
      </c>
    </row>
    <row r="7713" spans="1:6" x14ac:dyDescent="0.2">
      <c r="A7713">
        <v>7652</v>
      </c>
      <c r="B7713" s="138">
        <f>'Rest Tax Levies-Tort Im 25'!J8</f>
        <v>360069</v>
      </c>
      <c r="D7713" s="2" t="str">
        <f t="shared" si="126"/>
        <v>Error?</v>
      </c>
      <c r="E7713" s="2" t="s">
        <v>827</v>
      </c>
    </row>
    <row r="7714" spans="1:6" x14ac:dyDescent="0.2">
      <c r="A7714">
        <v>7653</v>
      </c>
      <c r="B7714" s="138">
        <f>'Rest Tax Levies-Tort Im 25'!K9</f>
        <v>9158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365585</v>
      </c>
      <c r="D7718" s="2" t="str">
        <f t="shared" si="126"/>
        <v>Error?</v>
      </c>
      <c r="E7718" s="2" t="s">
        <v>827</v>
      </c>
    </row>
    <row r="7719" spans="1:6" x14ac:dyDescent="0.2">
      <c r="A7719">
        <v>7658</v>
      </c>
      <c r="B7719" s="138">
        <f>'Rest Tax Levies-Tort Im 25'!K12</f>
        <v>12828</v>
      </c>
      <c r="D7719" s="2" t="str">
        <f t="shared" si="126"/>
        <v>Error?</v>
      </c>
      <c r="E7719" s="2" t="s">
        <v>827</v>
      </c>
    </row>
    <row r="7720" spans="1:6" x14ac:dyDescent="0.2">
      <c r="A7720">
        <v>7659</v>
      </c>
      <c r="B7720" s="138">
        <f>'Rest Tax Levies-Tort Im 25'!H14</f>
        <v>31744</v>
      </c>
      <c r="D7720" s="2" t="str">
        <f t="shared" si="126"/>
        <v>Error?</v>
      </c>
      <c r="E7720" s="2" t="s">
        <v>827</v>
      </c>
    </row>
    <row r="7721" spans="1:6" x14ac:dyDescent="0.2">
      <c r="A7721">
        <v>7660</v>
      </c>
      <c r="B7721" s="138">
        <f>'Rest Tax Levies-Tort Im 25'!K14</f>
        <v>56933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255055</v>
      </c>
      <c r="D7724" s="2" t="str">
        <f t="shared" si="126"/>
        <v>Error?</v>
      </c>
      <c r="E7724" s="2" t="s">
        <v>827</v>
      </c>
      <c r="F7724" s="2"/>
    </row>
    <row r="7725" spans="1:6" x14ac:dyDescent="0.2">
      <c r="A7725">
        <v>7664</v>
      </c>
      <c r="B7725" s="138">
        <f>'Rest Tax Levies-Tort Im 25'!J19</f>
        <v>280000</v>
      </c>
      <c r="D7725" s="2" t="str">
        <f t="shared" si="126"/>
        <v>Error?</v>
      </c>
      <c r="E7725" s="2" t="s">
        <v>827</v>
      </c>
    </row>
    <row r="7726" spans="1:6" x14ac:dyDescent="0.2">
      <c r="A7726">
        <v>7665</v>
      </c>
      <c r="B7726" s="138">
        <f>'Rest Tax Levies-Tort Im 25'!J20</f>
        <v>500</v>
      </c>
      <c r="D7726" s="2" t="str">
        <f t="shared" si="126"/>
        <v>Error?</v>
      </c>
      <c r="E7726" s="2" t="s">
        <v>827</v>
      </c>
    </row>
    <row r="7727" spans="1:6" x14ac:dyDescent="0.2">
      <c r="A7727">
        <v>7666</v>
      </c>
      <c r="B7727" s="138">
        <f>'Rest Tax Levies-Tort Im 25'!J21</f>
        <v>535555</v>
      </c>
      <c r="D7727" s="2" t="str">
        <f t="shared" si="126"/>
        <v>Error?</v>
      </c>
      <c r="E7727" s="2" t="s">
        <v>827</v>
      </c>
    </row>
    <row r="7728" spans="1:6" x14ac:dyDescent="0.2">
      <c r="A7728">
        <v>7667</v>
      </c>
      <c r="B7728" s="138">
        <f>'Revenues 9-14'!E103</f>
        <v>360069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535555</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-169970</v>
      </c>
      <c r="D7732" s="2" t="str">
        <f t="shared" si="126"/>
        <v>Error?</v>
      </c>
      <c r="E7732" s="2" t="s">
        <v>827</v>
      </c>
    </row>
    <row r="7733" spans="1:6" x14ac:dyDescent="0.2">
      <c r="A7733">
        <v>7672</v>
      </c>
      <c r="B7733" s="138">
        <f>'Rest Tax Levies-Tort Im 25'!K24</f>
        <v>-44105</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-169970</v>
      </c>
      <c r="D7742" s="2" t="str">
        <f t="shared" si="126"/>
        <v>Error?</v>
      </c>
      <c r="E7742" s="2" t="s">
        <v>827</v>
      </c>
    </row>
    <row r="7743" spans="1:6" x14ac:dyDescent="0.2">
      <c r="A7743">
        <v>7682</v>
      </c>
      <c r="B7743" s="138">
        <f>'Rest Tax Levies-Tort Im 25'!K26</f>
        <v>-44105</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105000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4" zoomScale="110" zoomScaleNormal="110" workbookViewId="0">
      <selection activeCell="V40" sqref="V40:V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1987</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1" t="str">
        <f>COVER!A17</f>
        <v>R O W V A CUSD 208</v>
      </c>
      <c r="B7" s="2392"/>
      <c r="C7" s="2392"/>
      <c r="D7" s="2429"/>
      <c r="E7" s="2430">
        <f>COVER!A13</f>
        <v>33048208026</v>
      </c>
      <c r="F7" s="2431"/>
      <c r="G7" s="2398" t="str">
        <f>COVER!T23</f>
        <v>065-024137</v>
      </c>
      <c r="H7" s="2399"/>
      <c r="I7" s="2399"/>
      <c r="J7" s="2399"/>
      <c r="K7" s="2399"/>
      <c r="L7" s="240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1"/>
      <c r="B9" s="2402"/>
      <c r="C9" s="2402"/>
      <c r="D9" s="2402"/>
      <c r="E9" s="2402"/>
      <c r="F9" s="2403"/>
      <c r="G9" s="2404" t="str">
        <f>COVER!T13</f>
        <v>BLUCKER, KNEER &amp; ASSOCIATES, LTD.</v>
      </c>
      <c r="H9" s="2405"/>
      <c r="I9" s="2405"/>
      <c r="J9" s="2405"/>
      <c r="K9" s="2405"/>
      <c r="L9" s="2406"/>
    </row>
    <row r="10" spans="1:29" ht="13.5" customHeight="1" x14ac:dyDescent="0.2">
      <c r="A10" s="2388" t="str">
        <f>COVER!A38</f>
        <v>JOE SORNBERGER</v>
      </c>
      <c r="B10" s="2389"/>
      <c r="C10" s="2389"/>
      <c r="D10" s="2389"/>
      <c r="E10" s="2389"/>
      <c r="F10" s="2390"/>
      <c r="G10" s="2404" t="str">
        <f>COVER!T17</f>
        <v>P.O. BOX 1464</v>
      </c>
      <c r="H10" s="2417"/>
      <c r="I10" s="2417"/>
      <c r="J10" s="2417"/>
      <c r="K10" s="2417"/>
      <c r="L10" s="2418"/>
    </row>
    <row r="11" spans="1:29" ht="13.5" customHeight="1" x14ac:dyDescent="0.2">
      <c r="A11" s="1184" t="s">
        <v>1519</v>
      </c>
      <c r="B11" s="1185"/>
      <c r="C11" s="1186"/>
      <c r="D11" s="1191"/>
      <c r="E11" s="1186"/>
      <c r="F11" s="1190"/>
      <c r="G11" s="2404" t="str">
        <f>COVER!T19</f>
        <v>GALESBURG</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teresabka@gmail.com</v>
      </c>
      <c r="J13" s="2426"/>
      <c r="K13" s="2426"/>
      <c r="L13" s="2427"/>
    </row>
    <row r="14" spans="1:29" ht="13.5" customHeight="1" x14ac:dyDescent="0.2">
      <c r="A14" s="2404" t="str">
        <f>COVER!A19</f>
        <v>333 NORTH JOY STREET</v>
      </c>
      <c r="B14" s="2417"/>
      <c r="C14" s="2417"/>
      <c r="D14" s="2417"/>
      <c r="E14" s="2417"/>
      <c r="F14" s="2418"/>
      <c r="G14" s="1195" t="s">
        <v>1185</v>
      </c>
      <c r="H14" s="1193"/>
      <c r="I14" s="1193"/>
      <c r="J14" s="1193"/>
      <c r="K14" s="1193"/>
      <c r="L14" s="1194"/>
    </row>
    <row r="15" spans="1:29" ht="13.5" customHeight="1" x14ac:dyDescent="0.2">
      <c r="A15" s="2404" t="str">
        <f>COVER!A21</f>
        <v>ONEIDA</v>
      </c>
      <c r="B15" s="2417"/>
      <c r="C15" s="2417"/>
      <c r="D15" s="2417"/>
      <c r="E15" s="2417"/>
      <c r="F15" s="2418"/>
      <c r="G15" s="2414" t="str">
        <f>COVER!T15</f>
        <v>TERESA A. WELCH</v>
      </c>
      <c r="H15" s="2415"/>
      <c r="I15" s="2415"/>
      <c r="J15" s="2415"/>
      <c r="K15" s="2415"/>
      <c r="L15" s="2416"/>
    </row>
    <row r="16" spans="1:29" ht="12.2" customHeight="1" x14ac:dyDescent="0.2">
      <c r="A16" s="2394">
        <f>COVER!A25</f>
        <v>61467</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5" t="s">
        <v>1184</v>
      </c>
      <c r="H17" s="1193"/>
      <c r="I17" s="1193"/>
      <c r="J17" s="1193"/>
      <c r="K17" s="1197" t="s">
        <v>1183</v>
      </c>
      <c r="L17" s="1190"/>
      <c r="M17" s="1183"/>
    </row>
    <row r="18" spans="1:13" ht="12.2" customHeight="1" x14ac:dyDescent="0.2">
      <c r="A18" s="2388"/>
      <c r="B18" s="2389"/>
      <c r="C18" s="2389"/>
      <c r="D18" s="2389"/>
      <c r="E18" s="2389"/>
      <c r="F18" s="2390"/>
      <c r="G18" s="2391" t="str">
        <f>COVER!T21</f>
        <v>309-343-4156</v>
      </c>
      <c r="H18" s="2392"/>
      <c r="I18" s="2392"/>
      <c r="J18" s="2392"/>
      <c r="K18" s="2391" t="str">
        <f>COVER!X21</f>
        <v>309-343-0174</v>
      </c>
      <c r="L18" s="239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R O W V A CUSD 208</v>
      </c>
      <c r="B1" s="2428"/>
      <c r="C1" s="2428"/>
      <c r="D1" s="2428"/>
    </row>
    <row r="2" spans="1:11" s="1212" customFormat="1" ht="12.75" x14ac:dyDescent="0.2">
      <c r="A2" s="2433">
        <f>'Single Audit Cover'!E7</f>
        <v>33048208026</v>
      </c>
      <c r="B2" s="2434"/>
      <c r="C2" s="2434"/>
      <c r="D2" s="2434"/>
    </row>
    <row r="3" spans="1:11" s="1212" customFormat="1" ht="12.75" x14ac:dyDescent="0.2">
      <c r="A3" s="2432" t="s">
        <v>1513</v>
      </c>
      <c r="B3" s="2428"/>
      <c r="C3" s="2428"/>
      <c r="D3" s="242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R O W V A CUSD 208</v>
      </c>
      <c r="B1" s="2436"/>
      <c r="C1" s="2436"/>
      <c r="D1" s="2436"/>
      <c r="E1" s="2436"/>
    </row>
    <row r="2" spans="1:5" x14ac:dyDescent="0.2">
      <c r="A2" s="2437">
        <f>'Single Audit Cover'!E7</f>
        <v>33048208026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294165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21685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315850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315850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315850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7" t="str">
        <f>'Single Audit Cover'!A7</f>
        <v>R O W V A CUSD 208</v>
      </c>
      <c r="C1" s="2440"/>
      <c r="D1" s="2440"/>
      <c r="E1" s="2440"/>
      <c r="F1" s="2440"/>
      <c r="G1" s="2440"/>
      <c r="H1" s="2440"/>
      <c r="I1" s="2440"/>
      <c r="J1" s="2440"/>
      <c r="K1" s="2440"/>
      <c r="L1" s="2440"/>
      <c r="M1" s="2440"/>
    </row>
    <row r="2" spans="2:14" ht="15" x14ac:dyDescent="0.2">
      <c r="B2" s="2441">
        <f>'Single Audit Cover'!E7</f>
        <v>33048208026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R O W V A CUSD 208</v>
      </c>
      <c r="B1" s="2445"/>
      <c r="C1" s="2445"/>
      <c r="D1" s="2445"/>
      <c r="E1" s="2445"/>
      <c r="F1" s="2445"/>
    </row>
    <row r="2" spans="1:7" ht="13.5" customHeight="1" x14ac:dyDescent="0.2">
      <c r="A2" s="2441">
        <f>'Single Audit Cover'!E7</f>
        <v>33048208026</v>
      </c>
      <c r="B2" s="2441"/>
      <c r="C2" s="2441"/>
      <c r="D2" s="2441"/>
      <c r="E2" s="2441"/>
      <c r="F2" s="2441"/>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1" t="s">
        <v>1551</v>
      </c>
      <c r="C51" s="2451"/>
      <c r="D51" s="2451"/>
    </row>
    <row r="52" spans="1:5" ht="14.25" customHeight="1" x14ac:dyDescent="0.2">
      <c r="A52" s="1298"/>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89" colorId="8" zoomScale="110" zoomScaleNormal="110" workbookViewId="0">
      <selection activeCell="T44" sqref="T44:AA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2087</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2088</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R O W V A CUSD 208</v>
      </c>
      <c r="C1" s="2461"/>
      <c r="D1" s="2461"/>
      <c r="E1" s="2461"/>
      <c r="F1" s="2461"/>
      <c r="G1" s="2461"/>
      <c r="H1" s="2461"/>
      <c r="I1" s="2461"/>
      <c r="J1" s="1406"/>
    </row>
    <row r="2" spans="2:10" s="317" customFormat="1" ht="12.75" customHeight="1" x14ac:dyDescent="0.2">
      <c r="B2" s="2462">
        <f>'Single Audit Cover'!E7</f>
        <v>33048208026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74" t="s">
        <v>1593</v>
      </c>
      <c r="D43" s="2475"/>
      <c r="E43" s="2475"/>
      <c r="F43" s="2476"/>
      <c r="G43" s="2477">
        <f>SUM(G38:I42)</f>
        <v>0</v>
      </c>
      <c r="H43" s="2477"/>
      <c r="I43" s="2477"/>
    </row>
    <row r="44" spans="2:9" ht="12.75" customHeight="1" x14ac:dyDescent="0.2"/>
    <row r="45" spans="2:9" ht="12.75" customHeight="1" x14ac:dyDescent="0.2">
      <c r="B45" s="1419" t="s">
        <v>2062</v>
      </c>
      <c r="D45" s="2478">
        <v>0</v>
      </c>
      <c r="E45" s="247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0"/>
      <c r="F49" s="2480"/>
      <c r="G49" s="248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0AB2-3951-47FC-BAD7-B65597026F5A}">
  <sheetPr>
    <tabColor rgb="FF92D050"/>
  </sheetPr>
  <dimension ref="A1:M41"/>
  <sheetViews>
    <sheetView showGridLines="0" zoomScale="110" zoomScaleNormal="110" workbookViewId="0">
      <selection activeCell="B6" sqref="B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R O W V A CUSD 208</v>
      </c>
      <c r="C1" s="2460"/>
      <c r="D1" s="2460"/>
      <c r="E1" s="2460"/>
      <c r="F1" s="2460"/>
      <c r="G1" s="2460"/>
      <c r="H1" s="2460"/>
      <c r="I1" s="2460"/>
      <c r="J1" s="2460"/>
      <c r="K1" s="2460"/>
      <c r="L1" s="1371"/>
      <c r="M1" s="1371"/>
    </row>
    <row r="2" spans="1:13" ht="12" customHeight="1" x14ac:dyDescent="0.2">
      <c r="B2" s="2462">
        <f>'Single Audit Cover'!E7</f>
        <v>33048208026</v>
      </c>
      <c r="C2" s="2462"/>
      <c r="D2" s="2462"/>
      <c r="E2" s="2462"/>
      <c r="F2" s="2462"/>
      <c r="G2" s="2462"/>
      <c r="H2" s="2462"/>
      <c r="I2" s="2462"/>
      <c r="J2" s="2462"/>
      <c r="K2" s="2462"/>
      <c r="L2" s="1372"/>
      <c r="M2" s="1373"/>
    </row>
    <row r="3" spans="1:13" ht="10.35" customHeight="1" x14ac:dyDescent="0.2">
      <c r="B3" s="2482" t="s">
        <v>1285</v>
      </c>
      <c r="C3" s="2482"/>
      <c r="D3" s="2482"/>
      <c r="E3" s="2482"/>
      <c r="F3" s="2482"/>
      <c r="G3" s="2482"/>
      <c r="H3" s="2482"/>
      <c r="I3" s="2482"/>
      <c r="J3" s="2482"/>
      <c r="K3" s="2482"/>
      <c r="L3" s="1940"/>
      <c r="M3" s="1940"/>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2012</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2118</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2119</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c r="C20" s="2485"/>
      <c r="D20" s="2486"/>
      <c r="E20" s="2486"/>
      <c r="F20" s="2486"/>
      <c r="G20" s="2486"/>
      <c r="H20" s="2486"/>
      <c r="I20" s="2486"/>
      <c r="J20" s="2486"/>
      <c r="K20" s="248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2120</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2121</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2144</v>
      </c>
      <c r="C29" s="2481"/>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2122</v>
      </c>
      <c r="C32" s="2481"/>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6" sqref="B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R O W V A CUSD 208</v>
      </c>
      <c r="C1" s="2460"/>
      <c r="D1" s="2460"/>
      <c r="E1" s="2460"/>
      <c r="F1" s="2460"/>
      <c r="G1" s="2460"/>
      <c r="H1" s="2460"/>
      <c r="I1" s="2460"/>
      <c r="J1" s="2460"/>
      <c r="K1" s="2460"/>
      <c r="L1" s="1371"/>
      <c r="M1" s="1371"/>
    </row>
    <row r="2" spans="1:13" ht="12" customHeight="1" x14ac:dyDescent="0.2">
      <c r="B2" s="2462">
        <f>'Single Audit Cover'!E7</f>
        <v>33048208026</v>
      </c>
      <c r="C2" s="2462"/>
      <c r="D2" s="2462"/>
      <c r="E2" s="2462"/>
      <c r="F2" s="2462"/>
      <c r="G2" s="2462"/>
      <c r="H2" s="2462"/>
      <c r="I2" s="2462"/>
      <c r="J2" s="2462"/>
      <c r="K2" s="2462"/>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2111</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2112</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t="s">
        <v>2113</v>
      </c>
      <c r="C20" s="2485"/>
      <c r="D20" s="2486"/>
      <c r="E20" s="2486"/>
      <c r="F20" s="2486"/>
      <c r="G20" s="2486"/>
      <c r="H20" s="2486"/>
      <c r="I20" s="2486"/>
      <c r="J20" s="2486"/>
      <c r="K20" s="248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2114</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6" t="s">
        <v>2115</v>
      </c>
      <c r="C26" s="2486"/>
      <c r="D26" s="2486"/>
      <c r="E26" s="2486"/>
      <c r="F26" s="2486"/>
      <c r="G26" s="2486"/>
      <c r="H26" s="2486"/>
      <c r="I26" s="2486"/>
      <c r="J26" s="2486"/>
      <c r="K26" s="248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2116</v>
      </c>
      <c r="C29" s="2481"/>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7" t="s">
        <v>2117</v>
      </c>
      <c r="C32" s="2487"/>
      <c r="D32" s="2486"/>
      <c r="E32" s="2486"/>
      <c r="F32" s="2486"/>
      <c r="G32" s="2486"/>
      <c r="H32" s="2486"/>
      <c r="I32" s="2486"/>
      <c r="J32" s="2486"/>
      <c r="K32" s="248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4A762-2DBB-4F07-BB52-7DB71618F2AA}">
  <sheetPr>
    <tabColor rgb="FF92D050"/>
  </sheetPr>
  <dimension ref="A1:M41"/>
  <sheetViews>
    <sheetView showGridLines="0" zoomScale="110" zoomScaleNormal="110" workbookViewId="0">
      <selection activeCell="B6" sqref="B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R O W V A CUSD 208</v>
      </c>
      <c r="C1" s="2460"/>
      <c r="D1" s="2460"/>
      <c r="E1" s="2460"/>
      <c r="F1" s="2460"/>
      <c r="G1" s="2460"/>
      <c r="H1" s="2460"/>
      <c r="I1" s="2460"/>
      <c r="J1" s="2460"/>
      <c r="K1" s="2460"/>
      <c r="L1" s="1371"/>
      <c r="M1" s="1371"/>
    </row>
    <row r="2" spans="1:13" ht="12" customHeight="1" x14ac:dyDescent="0.2">
      <c r="B2" s="2462">
        <f>'Single Audit Cover'!E7</f>
        <v>33048208026</v>
      </c>
      <c r="C2" s="2462"/>
      <c r="D2" s="2462"/>
      <c r="E2" s="2462"/>
      <c r="F2" s="2462"/>
      <c r="G2" s="2462"/>
      <c r="H2" s="2462"/>
      <c r="I2" s="2462"/>
      <c r="J2" s="2462"/>
      <c r="K2" s="2462"/>
      <c r="L2" s="1372"/>
      <c r="M2" s="1373"/>
    </row>
    <row r="3" spans="1:13" ht="10.35" customHeight="1" x14ac:dyDescent="0.2">
      <c r="B3" s="2482" t="s">
        <v>1285</v>
      </c>
      <c r="C3" s="2482"/>
      <c r="D3" s="2482"/>
      <c r="E3" s="2482"/>
      <c r="F3" s="2482"/>
      <c r="G3" s="2482"/>
      <c r="H3" s="2482"/>
      <c r="I3" s="2482"/>
      <c r="J3" s="2482"/>
      <c r="K3" s="2482"/>
      <c r="L3" s="1940"/>
      <c r="M3" s="1940"/>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t="s">
        <v>2123</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t="s">
        <v>2126</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t="s">
        <v>2124</v>
      </c>
      <c r="C20" s="2488"/>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t="s">
        <v>2127</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t="s">
        <v>2128</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t="s">
        <v>2129</v>
      </c>
      <c r="C29" s="2481"/>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t="s">
        <v>2125</v>
      </c>
      <c r="C32" s="2481"/>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R O W V A CUSD 208</v>
      </c>
      <c r="C1" s="2489"/>
      <c r="D1" s="2489"/>
      <c r="E1" s="2489"/>
      <c r="F1" s="2489"/>
      <c r="G1" s="2489"/>
      <c r="H1" s="2489"/>
      <c r="I1" s="2489"/>
      <c r="J1" s="2489"/>
      <c r="K1" s="2489"/>
      <c r="L1" s="1449"/>
    </row>
    <row r="2" spans="1:12" ht="12.75" customHeight="1" x14ac:dyDescent="0.2">
      <c r="B2" s="2490">
        <f>'Single Audit Cover'!E7</f>
        <v>33048208026</v>
      </c>
      <c r="C2" s="2490"/>
      <c r="D2" s="2490"/>
      <c r="E2" s="2490"/>
      <c r="F2" s="2490"/>
      <c r="G2" s="2490"/>
      <c r="H2" s="2490"/>
      <c r="I2" s="2490"/>
      <c r="J2" s="2490"/>
      <c r="K2" s="2490"/>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c r="E16" s="2493"/>
      <c r="F16" s="2493"/>
      <c r="G16" s="2493"/>
      <c r="H16" s="2493"/>
      <c r="I16" s="2493"/>
      <c r="J16" s="2493"/>
      <c r="K16" s="2493"/>
      <c r="L16" s="322"/>
    </row>
    <row r="17" spans="2:12" ht="13.5" customHeight="1" x14ac:dyDescent="0.2">
      <c r="B17" s="1384" t="s">
        <v>1301</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6"/>
      <c r="C20" s="2486"/>
      <c r="D20" s="2486"/>
      <c r="E20" s="2486"/>
      <c r="F20" s="2486"/>
      <c r="G20" s="2486"/>
      <c r="H20" s="2486"/>
      <c r="I20" s="2486"/>
      <c r="J20" s="2486"/>
      <c r="K20" s="248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6" sqref="B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R O W V A CUSD 208</v>
      </c>
      <c r="C1" s="2460"/>
      <c r="D1" s="2460"/>
      <c r="E1" s="1469"/>
    </row>
    <row r="2" spans="2:5" s="1279" customFormat="1" ht="12.75" customHeight="1" x14ac:dyDescent="0.2">
      <c r="B2" s="2462">
        <f>'Single Audit Cover'!E7</f>
        <v>33048208026</v>
      </c>
      <c r="C2" s="2462"/>
      <c r="D2" s="2462"/>
      <c r="E2" s="1470"/>
    </row>
    <row r="3" spans="2:5" ht="12.75" customHeight="1" x14ac:dyDescent="0.2">
      <c r="B3" s="2482" t="s">
        <v>1766</v>
      </c>
      <c r="C3" s="2482"/>
      <c r="D3" s="2482"/>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t="s">
        <v>2130</v>
      </c>
      <c r="C9" s="323" t="s">
        <v>2131</v>
      </c>
      <c r="D9" s="323" t="s">
        <v>2133</v>
      </c>
      <c r="E9" s="323"/>
    </row>
    <row r="10" spans="2:5" ht="13.5" customHeight="1" x14ac:dyDescent="0.2">
      <c r="B10" s="1474"/>
      <c r="C10" s="323" t="s">
        <v>2132</v>
      </c>
      <c r="D10" s="323" t="s">
        <v>2134</v>
      </c>
      <c r="E10" s="323"/>
    </row>
    <row r="11" spans="2:5" ht="13.5" customHeight="1" x14ac:dyDescent="0.2">
      <c r="B11" s="1474"/>
      <c r="C11" s="323"/>
      <c r="D11" s="323"/>
      <c r="E11" s="323"/>
    </row>
    <row r="12" spans="2:5" ht="13.5" customHeight="1" x14ac:dyDescent="0.2">
      <c r="B12" s="1474" t="s">
        <v>2142</v>
      </c>
      <c r="C12" s="323" t="s">
        <v>2135</v>
      </c>
      <c r="D12" s="323" t="s">
        <v>2136</v>
      </c>
      <c r="E12" s="323"/>
    </row>
    <row r="13" spans="2:5" ht="13.5" customHeight="1" x14ac:dyDescent="0.2">
      <c r="B13" s="1474"/>
      <c r="C13" s="323"/>
      <c r="D13" s="323" t="s">
        <v>2137</v>
      </c>
      <c r="E13" s="323"/>
    </row>
    <row r="14" spans="2:5" ht="13.5" customHeight="1" x14ac:dyDescent="0.2">
      <c r="B14" s="1474"/>
      <c r="C14" s="323"/>
      <c r="D14" s="323"/>
      <c r="E14" s="323"/>
    </row>
    <row r="15" spans="2:5" ht="13.5" customHeight="1" x14ac:dyDescent="0.2">
      <c r="B15" s="1474" t="s">
        <v>2138</v>
      </c>
      <c r="C15" s="323" t="s">
        <v>2139</v>
      </c>
      <c r="D15" s="323" t="s">
        <v>2140</v>
      </c>
      <c r="E15" s="323"/>
    </row>
    <row r="16" spans="2:5" ht="13.5" customHeight="1" x14ac:dyDescent="0.2">
      <c r="B16" s="1474"/>
      <c r="C16" s="323"/>
      <c r="D16" s="323" t="s">
        <v>2141</v>
      </c>
      <c r="E16" s="323"/>
    </row>
    <row r="17" spans="2:5" ht="13.5" customHeight="1" x14ac:dyDescent="0.2">
      <c r="B17" s="1474"/>
      <c r="C17" s="323"/>
      <c r="D17" s="323" t="s">
        <v>2143</v>
      </c>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3" colorId="8" zoomScale="110" zoomScaleNormal="110" workbookViewId="0">
      <selection activeCell="T44" sqref="T44:AA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92225676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3.2000000000000001E-2</v>
      </c>
      <c r="E10" s="356" t="s">
        <v>1005</v>
      </c>
      <c r="F10" s="355">
        <v>5.0000000000000001E-3</v>
      </c>
      <c r="G10" s="356" t="s">
        <v>1005</v>
      </c>
      <c r="H10" s="355">
        <v>2E-3</v>
      </c>
      <c r="I10" s="356" t="s">
        <v>1006</v>
      </c>
      <c r="J10" s="1732">
        <f>ROUND(D10+F10+H10,5)</f>
        <v>3.9E-2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6154310</v>
      </c>
      <c r="E16" s="356"/>
      <c r="F16" s="1733">
        <f>SUM('Acct Summary 7-8'!C17,'Acct Summary 7-8'!D17,'Acct Summary 7-8'!F17)</f>
        <v>5866819</v>
      </c>
      <c r="G16" s="356"/>
      <c r="H16" s="1733">
        <f>SUM(D16-F16)</f>
        <v>287491</v>
      </c>
      <c r="I16" s="222"/>
      <c r="J16" s="1733">
        <f>SUM('Acct Summary 7-8'!C81,'Acct Summary 7-8'!D81,'Acct Summary 7-8'!F81,'Acct Summary 7-8'!I81)</f>
        <v>2600357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12727143.288000001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7368125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T44" sqref="T44:AA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 O W V A CUSD 208</v>
      </c>
      <c r="E7" s="391"/>
      <c r="G7" s="252"/>
      <c r="H7" s="387"/>
      <c r="I7" s="387"/>
      <c r="J7" s="387"/>
      <c r="K7" s="387"/>
      <c r="L7" s="329"/>
      <c r="M7" s="329"/>
      <c r="N7" s="329"/>
      <c r="O7" s="329"/>
      <c r="P7" s="329"/>
    </row>
    <row r="8" spans="1:18" ht="12.75" x14ac:dyDescent="0.2">
      <c r="A8" s="329"/>
      <c r="B8" s="329"/>
      <c r="C8" s="389" t="s">
        <v>1125</v>
      </c>
      <c r="D8" s="392">
        <f>COVER!A13</f>
        <v>33048208026</v>
      </c>
      <c r="E8" s="393"/>
      <c r="G8" s="329"/>
      <c r="H8" s="329"/>
      <c r="I8" s="329"/>
      <c r="J8" s="329"/>
      <c r="K8" s="329"/>
      <c r="L8" s="329"/>
      <c r="M8" s="329"/>
      <c r="N8" s="329"/>
      <c r="O8" s="329"/>
      <c r="P8" s="329"/>
    </row>
    <row r="9" spans="1:18" ht="12.75" x14ac:dyDescent="0.2">
      <c r="A9" s="329"/>
      <c r="B9" s="329"/>
      <c r="C9" s="389" t="s">
        <v>713</v>
      </c>
      <c r="D9" s="394" t="str">
        <f>COVER!A15</f>
        <v>KNOX AND 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2600357</v>
      </c>
      <c r="I12" s="404"/>
      <c r="J12" s="404"/>
      <c r="K12" s="405">
        <f>TRUNC((H12/H13*100000),5)/100000</f>
        <v>0.42252616450000002</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6154310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5866819</v>
      </c>
      <c r="I17" s="404"/>
      <c r="J17" s="416"/>
      <c r="K17" s="405">
        <f>TRUNC((H17/H18*100000),5)/100000</f>
        <v>0.95328623349999997</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6154310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2600357</v>
      </c>
      <c r="I24" s="422"/>
      <c r="J24" s="422"/>
      <c r="K24" s="423">
        <f>TRUNC(((H24/H25*100000)/100000),2)</f>
        <v>159.56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16296.719440000001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3057281.1593999998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7368125</v>
      </c>
      <c r="I32" s="420"/>
      <c r="J32" s="420"/>
      <c r="K32" s="423">
        <f>TRUNC(100-((((H32/H33*100))*100)/100),2)</f>
        <v>42.1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12727143.288000001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activeCell="F8" sqref="F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9"/>
      <c r="D3" s="1560"/>
      <c r="E3" s="1560"/>
      <c r="F3" s="1560"/>
      <c r="G3" s="1560"/>
      <c r="H3" s="1560"/>
      <c r="I3" s="1560"/>
      <c r="J3" s="1560"/>
      <c r="K3" s="1560"/>
      <c r="L3" s="1560"/>
      <c r="M3" s="1561"/>
      <c r="N3" s="1562"/>
    </row>
    <row r="4" spans="1:14" ht="13.5" customHeight="1" x14ac:dyDescent="0.2">
      <c r="A4" s="463" t="s">
        <v>1651</v>
      </c>
      <c r="B4" s="464"/>
      <c r="C4" s="465">
        <v>49757</v>
      </c>
      <c r="D4" s="466">
        <v>9291</v>
      </c>
      <c r="E4" s="466">
        <v>12220</v>
      </c>
      <c r="F4" s="466">
        <v>11415</v>
      </c>
      <c r="G4" s="466">
        <v>12029</v>
      </c>
      <c r="H4" s="466">
        <v>3667</v>
      </c>
      <c r="I4" s="466">
        <v>5264</v>
      </c>
      <c r="J4" s="467">
        <v>11890</v>
      </c>
      <c r="K4" s="466">
        <v>3193</v>
      </c>
      <c r="L4" s="466">
        <v>96949</v>
      </c>
      <c r="M4" s="468"/>
      <c r="N4" s="469"/>
    </row>
    <row r="5" spans="1:14" x14ac:dyDescent="0.2">
      <c r="A5" s="463" t="s">
        <v>992</v>
      </c>
      <c r="B5" s="470">
        <v>120</v>
      </c>
      <c r="C5" s="465">
        <v>1529278</v>
      </c>
      <c r="D5" s="466">
        <v>473943</v>
      </c>
      <c r="E5" s="466">
        <v>708496</v>
      </c>
      <c r="F5" s="466">
        <v>503546</v>
      </c>
      <c r="G5" s="466">
        <v>210959</v>
      </c>
      <c r="H5" s="466">
        <v>12578</v>
      </c>
      <c r="I5" s="466">
        <v>17863</v>
      </c>
      <c r="J5" s="467">
        <v>127824</v>
      </c>
      <c r="K5" s="471">
        <v>11888</v>
      </c>
      <c r="L5" s="472">
        <v>37353</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1579035</v>
      </c>
      <c r="D13" s="1737">
        <f t="shared" ref="D13:L13" si="0">SUM(D4:D12)</f>
        <v>483234</v>
      </c>
      <c r="E13" s="1737">
        <f t="shared" si="0"/>
        <v>720716</v>
      </c>
      <c r="F13" s="1737">
        <f t="shared" si="0"/>
        <v>514961</v>
      </c>
      <c r="G13" s="1737">
        <f t="shared" si="0"/>
        <v>222988</v>
      </c>
      <c r="H13" s="1737">
        <f t="shared" si="0"/>
        <v>16245</v>
      </c>
      <c r="I13" s="1737">
        <f t="shared" si="0"/>
        <v>23127</v>
      </c>
      <c r="J13" s="1737">
        <f t="shared" si="0"/>
        <v>139714</v>
      </c>
      <c r="K13" s="1737">
        <f t="shared" si="0"/>
        <v>15081</v>
      </c>
      <c r="L13" s="1737">
        <f t="shared" si="0"/>
        <v>134302</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11491717</v>
      </c>
      <c r="N17" s="484"/>
    </row>
    <row r="18" spans="1:14" s="485" customFormat="1" ht="12.75" customHeight="1" x14ac:dyDescent="0.2">
      <c r="A18" s="482" t="s">
        <v>1404</v>
      </c>
      <c r="B18" s="483">
        <v>240</v>
      </c>
      <c r="C18" s="477"/>
      <c r="D18" s="477"/>
      <c r="E18" s="477"/>
      <c r="F18" s="477"/>
      <c r="G18" s="477"/>
      <c r="H18" s="477"/>
      <c r="I18" s="477"/>
      <c r="J18" s="477"/>
      <c r="K18" s="477"/>
      <c r="L18" s="477"/>
      <c r="M18" s="467">
        <v>105961</v>
      </c>
      <c r="N18" s="484"/>
    </row>
    <row r="19" spans="1:14" s="485" customFormat="1" ht="12.75" customHeight="1" x14ac:dyDescent="0.2">
      <c r="A19" s="482" t="s">
        <v>1405</v>
      </c>
      <c r="B19" s="483">
        <v>250</v>
      </c>
      <c r="C19" s="477"/>
      <c r="D19" s="477"/>
      <c r="E19" s="477"/>
      <c r="F19" s="477"/>
      <c r="G19" s="477"/>
      <c r="H19" s="477"/>
      <c r="I19" s="477"/>
      <c r="J19" s="477"/>
      <c r="K19" s="477"/>
      <c r="L19" s="477"/>
      <c r="M19" s="467">
        <v>1674194</v>
      </c>
      <c r="N19" s="484"/>
    </row>
    <row r="20" spans="1:14" s="485" customFormat="1" ht="12.75" customHeight="1" x14ac:dyDescent="0.2">
      <c r="A20" s="482" t="s">
        <v>1406</v>
      </c>
      <c r="B20" s="483">
        <v>260</v>
      </c>
      <c r="C20" s="477"/>
      <c r="D20" s="477"/>
      <c r="E20" s="477"/>
      <c r="F20" s="477"/>
      <c r="G20" s="477"/>
      <c r="H20" s="477"/>
      <c r="I20" s="477"/>
      <c r="J20" s="477"/>
      <c r="K20" s="477"/>
      <c r="L20" s="477"/>
      <c r="M20" s="467">
        <v>314103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720716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6647409</v>
      </c>
    </row>
    <row r="23" spans="1:14" ht="13.5" customHeight="1" thickBot="1" x14ac:dyDescent="0.25">
      <c r="A23" s="1736" t="s">
        <v>643</v>
      </c>
      <c r="B23" s="1741"/>
      <c r="C23" s="468"/>
      <c r="D23" s="468"/>
      <c r="E23" s="468"/>
      <c r="F23" s="468"/>
      <c r="G23" s="468"/>
      <c r="H23" s="468"/>
      <c r="I23" s="468"/>
      <c r="J23" s="468"/>
      <c r="K23" s="468"/>
      <c r="L23" s="468"/>
      <c r="M23" s="1688">
        <f>SUM(M15:M22)</f>
        <v>13585975</v>
      </c>
      <c r="N23" s="1688">
        <f>SUM(N21:N22)</f>
        <v>7368125</v>
      </c>
    </row>
    <row r="24" spans="1:14" ht="18" customHeight="1" thickTop="1" x14ac:dyDescent="0.2">
      <c r="A24" s="2119" t="s">
        <v>598</v>
      </c>
      <c r="B24" s="212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134302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134302</v>
      </c>
      <c r="M34" s="468"/>
      <c r="N34" s="480"/>
    </row>
    <row r="35" spans="1:14" ht="18" customHeight="1" thickTop="1" x14ac:dyDescent="0.2">
      <c r="A35" s="2121" t="s">
        <v>529</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7368125</v>
      </c>
    </row>
    <row r="37" spans="1:14" ht="13.5" thickBot="1" x14ac:dyDescent="0.25">
      <c r="A37" s="1736" t="s">
        <v>653</v>
      </c>
      <c r="B37" s="1741"/>
      <c r="C37" s="477"/>
      <c r="D37" s="477"/>
      <c r="E37" s="477"/>
      <c r="F37" s="477"/>
      <c r="G37" s="477"/>
      <c r="H37" s="477"/>
      <c r="I37" s="477"/>
      <c r="J37" s="477"/>
      <c r="K37" s="477"/>
      <c r="L37" s="480"/>
      <c r="M37" s="468"/>
      <c r="N37" s="1688">
        <f>SUM(N36:N36)</f>
        <v>7368125</v>
      </c>
    </row>
    <row r="38" spans="1:14" s="329" customFormat="1" ht="13.5" customHeight="1" thickTop="1" x14ac:dyDescent="0.2">
      <c r="A38" s="496" t="s">
        <v>420</v>
      </c>
      <c r="B38" s="483">
        <v>714</v>
      </c>
      <c r="C38" s="466"/>
      <c r="D38" s="466"/>
      <c r="E38" s="466"/>
      <c r="F38" s="466"/>
      <c r="G38" s="466">
        <v>222988</v>
      </c>
      <c r="H38" s="466"/>
      <c r="I38" s="466"/>
      <c r="J38" s="467"/>
      <c r="K38" s="466"/>
      <c r="L38" s="481"/>
      <c r="M38" s="497"/>
      <c r="N38" s="497"/>
    </row>
    <row r="39" spans="1:14" s="329" customFormat="1" ht="13.5" customHeight="1" x14ac:dyDescent="0.2">
      <c r="A39" s="496" t="s">
        <v>342</v>
      </c>
      <c r="B39" s="483">
        <v>730</v>
      </c>
      <c r="C39" s="466">
        <v>1579035</v>
      </c>
      <c r="D39" s="466">
        <v>483234</v>
      </c>
      <c r="E39" s="466">
        <v>720716</v>
      </c>
      <c r="F39" s="466">
        <v>514961</v>
      </c>
      <c r="G39" s="466"/>
      <c r="H39" s="466">
        <v>16245</v>
      </c>
      <c r="I39" s="466">
        <v>23127</v>
      </c>
      <c r="J39" s="467">
        <v>139714</v>
      </c>
      <c r="K39" s="466">
        <v>15081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13585975</v>
      </c>
      <c r="N40" s="497"/>
    </row>
    <row r="41" spans="1:14" ht="13.5" customHeight="1" thickBot="1" x14ac:dyDescent="0.25">
      <c r="A41" s="1736" t="s">
        <v>655</v>
      </c>
      <c r="B41" s="1706"/>
      <c r="C41" s="1688">
        <f>(SUM(C34,C37,C38,C39))</f>
        <v>1579035</v>
      </c>
      <c r="D41" s="1688">
        <f t="shared" ref="D41:L41" si="2">SUM(D34,D37,D38:D39)</f>
        <v>483234</v>
      </c>
      <c r="E41" s="1688">
        <f t="shared" si="2"/>
        <v>720716</v>
      </c>
      <c r="F41" s="1688">
        <f t="shared" si="2"/>
        <v>514961</v>
      </c>
      <c r="G41" s="1688">
        <f t="shared" si="2"/>
        <v>222988</v>
      </c>
      <c r="H41" s="1688">
        <f t="shared" si="2"/>
        <v>16245</v>
      </c>
      <c r="I41" s="1688">
        <f t="shared" si="2"/>
        <v>23127</v>
      </c>
      <c r="J41" s="1688">
        <f t="shared" si="2"/>
        <v>139714</v>
      </c>
      <c r="K41" s="1688">
        <f t="shared" si="2"/>
        <v>15081</v>
      </c>
      <c r="L41" s="1688">
        <f t="shared" si="2"/>
        <v>134302</v>
      </c>
      <c r="M41" s="1688">
        <f>SUM(M40)</f>
        <v>13585975</v>
      </c>
      <c r="N41" s="1688">
        <f>SUM(N37)</f>
        <v>7368125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F8" sqref="F8"/>
      <selection pane="bottomLeft" activeCell="F8" sqref="F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3"/>
      <c r="D3" s="1574"/>
      <c r="E3" s="1574"/>
      <c r="F3" s="1574"/>
      <c r="G3" s="1574"/>
      <c r="H3" s="1574"/>
      <c r="I3" s="1574"/>
      <c r="J3" s="1574"/>
      <c r="K3" s="1575"/>
      <c r="L3" s="506"/>
    </row>
    <row r="4" spans="1:13" ht="15.75" customHeight="1" x14ac:dyDescent="0.2">
      <c r="A4" s="1928" t="s">
        <v>1499</v>
      </c>
      <c r="B4" s="1929">
        <v>1000</v>
      </c>
      <c r="C4" s="1742">
        <f>'Revenues 9-14'!C109</f>
        <v>3242899</v>
      </c>
      <c r="D4" s="1742">
        <f>'Revenues 9-14'!D109</f>
        <v>412465</v>
      </c>
      <c r="E4" s="1742">
        <f>'Revenues 9-14'!E109</f>
        <v>688248</v>
      </c>
      <c r="F4" s="1742">
        <f>'Revenues 9-14'!F109</f>
        <v>173594</v>
      </c>
      <c r="G4" s="1742">
        <f>'Revenues 9-14'!G109</f>
        <v>185776</v>
      </c>
      <c r="H4" s="1742">
        <f>'Revenues 9-14'!H109</f>
        <v>390</v>
      </c>
      <c r="I4" s="1742">
        <f>'Revenues 9-14'!I109</f>
        <v>39830</v>
      </c>
      <c r="J4" s="1742">
        <f>'Revenues 9-14'!J109</f>
        <v>231246</v>
      </c>
      <c r="K4" s="1742">
        <f>'Revenues 9-14'!K109</f>
        <v>40132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1717760</v>
      </c>
      <c r="D6" s="1743">
        <f>'Revenues 9-14'!D170</f>
        <v>0</v>
      </c>
      <c r="E6" s="1743">
        <f>'Revenues 9-14'!E170</f>
        <v>0</v>
      </c>
      <c r="F6" s="1743">
        <f>'Revenues 9-14'!F170</f>
        <v>273597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294165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5254824</v>
      </c>
      <c r="D8" s="1688">
        <f t="shared" ref="D8:K8" si="0">SUM(D4:D7)</f>
        <v>412465</v>
      </c>
      <c r="E8" s="1688">
        <f t="shared" si="0"/>
        <v>688248</v>
      </c>
      <c r="F8" s="1688">
        <f t="shared" si="0"/>
        <v>447191</v>
      </c>
      <c r="G8" s="1688">
        <f t="shared" si="0"/>
        <v>185776</v>
      </c>
      <c r="H8" s="1688">
        <f t="shared" si="0"/>
        <v>390</v>
      </c>
      <c r="I8" s="1688">
        <f t="shared" si="0"/>
        <v>39830</v>
      </c>
      <c r="J8" s="1688">
        <f t="shared" si="0"/>
        <v>231246</v>
      </c>
      <c r="K8" s="1688">
        <f t="shared" si="0"/>
        <v>40132</v>
      </c>
      <c r="L8" s="347"/>
    </row>
    <row r="9" spans="1:13" ht="15.75" thickTop="1" x14ac:dyDescent="0.2">
      <c r="A9" s="514" t="s">
        <v>1653</v>
      </c>
      <c r="B9" s="515">
        <v>3998</v>
      </c>
      <c r="C9" s="481">
        <v>2117725</v>
      </c>
      <c r="D9" s="516"/>
      <c r="E9" s="481"/>
      <c r="F9" s="481"/>
      <c r="G9" s="517"/>
      <c r="H9" s="481"/>
      <c r="I9" s="509" t="s">
        <v>1169</v>
      </c>
      <c r="J9" s="478"/>
      <c r="K9" s="481"/>
      <c r="L9" s="347"/>
    </row>
    <row r="10" spans="1:13" s="519" customFormat="1" ht="13.5" thickBot="1" x14ac:dyDescent="0.25">
      <c r="A10" s="1736" t="s">
        <v>1173</v>
      </c>
      <c r="B10" s="1709"/>
      <c r="C10" s="1688">
        <f>SUM(C8:C9)</f>
        <v>7372549</v>
      </c>
      <c r="D10" s="1688">
        <f t="shared" ref="D10:K10" si="1">SUM(D8:D9)</f>
        <v>412465</v>
      </c>
      <c r="E10" s="1688">
        <f t="shared" si="1"/>
        <v>688248</v>
      </c>
      <c r="F10" s="1688">
        <f t="shared" si="1"/>
        <v>447191</v>
      </c>
      <c r="G10" s="1688">
        <f t="shared" si="1"/>
        <v>185776</v>
      </c>
      <c r="H10" s="1688">
        <f t="shared" si="1"/>
        <v>390</v>
      </c>
      <c r="I10" s="1688">
        <f t="shared" si="1"/>
        <v>39830</v>
      </c>
      <c r="J10" s="1688">
        <f t="shared" si="1"/>
        <v>231246</v>
      </c>
      <c r="K10" s="1688">
        <f t="shared" si="1"/>
        <v>40132</v>
      </c>
      <c r="L10" s="518"/>
    </row>
    <row r="11" spans="1:13" s="519" customFormat="1" ht="16.7" customHeight="1" thickTop="1" x14ac:dyDescent="0.2">
      <c r="A11" s="2117" t="s">
        <v>1176</v>
      </c>
      <c r="B11" s="2118"/>
      <c r="C11" s="1570"/>
      <c r="D11" s="1571"/>
      <c r="E11" s="1571"/>
      <c r="F11" s="1571"/>
      <c r="G11" s="1571"/>
      <c r="H11" s="1571"/>
      <c r="I11" s="1571"/>
      <c r="J11" s="1571"/>
      <c r="K11" s="1572"/>
      <c r="L11" s="518"/>
    </row>
    <row r="12" spans="1:13" ht="15.75" customHeight="1" x14ac:dyDescent="0.2">
      <c r="A12" s="1576" t="s">
        <v>456</v>
      </c>
      <c r="B12" s="1578">
        <v>1000</v>
      </c>
      <c r="C12" s="1742">
        <f>'Expenditures 15-22'!K33</f>
        <v>3466553</v>
      </c>
      <c r="D12" s="520" t="s">
        <v>1169</v>
      </c>
      <c r="E12" s="468" t="s">
        <v>1169</v>
      </c>
      <c r="F12" s="468" t="s">
        <v>1169</v>
      </c>
      <c r="G12" s="1742">
        <f>'Expenditures 15-22'!K229</f>
        <v>69128</v>
      </c>
      <c r="H12" s="521"/>
      <c r="I12" s="468" t="s">
        <v>1169</v>
      </c>
      <c r="J12" s="468" t="s">
        <v>1169</v>
      </c>
      <c r="K12" s="521" t="s">
        <v>1169</v>
      </c>
      <c r="L12" s="347"/>
    </row>
    <row r="13" spans="1:13" ht="15.75" customHeight="1" x14ac:dyDescent="0.2">
      <c r="A13" s="1576" t="s">
        <v>457</v>
      </c>
      <c r="B13" s="1578">
        <v>2000</v>
      </c>
      <c r="C13" s="1743">
        <f>'Expenditures 15-22'!K74</f>
        <v>911769</v>
      </c>
      <c r="D13" s="1743">
        <f>'Expenditures 15-22'!K129</f>
        <v>478772</v>
      </c>
      <c r="E13" s="469" t="s">
        <v>1169</v>
      </c>
      <c r="F13" s="1743">
        <f>'Expenditures 15-22'!K184</f>
        <v>487767</v>
      </c>
      <c r="G13" s="1743">
        <f>'Expenditures 15-22'!K279</f>
        <v>107894</v>
      </c>
      <c r="H13" s="1743">
        <f>'Expenditures 15-22'!K303</f>
        <v>102877</v>
      </c>
      <c r="I13" s="468" t="s">
        <v>1169</v>
      </c>
      <c r="J13" s="1743">
        <f>'Expenditures 15-22'!K330</f>
        <v>161127</v>
      </c>
      <c r="K13" s="1747">
        <f>'Expenditures 15-22'!K352</f>
        <v>179608</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521958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535555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4900280</v>
      </c>
      <c r="D17" s="1688">
        <f t="shared" si="2"/>
        <v>478772</v>
      </c>
      <c r="E17" s="1688">
        <f t="shared" si="2"/>
        <v>535555</v>
      </c>
      <c r="F17" s="1688">
        <f t="shared" si="2"/>
        <v>487767</v>
      </c>
      <c r="G17" s="1688">
        <f t="shared" si="2"/>
        <v>177022</v>
      </c>
      <c r="H17" s="1688">
        <f t="shared" si="2"/>
        <v>102877</v>
      </c>
      <c r="I17" s="468"/>
      <c r="J17" s="1688">
        <f>SUM(J12:J16)</f>
        <v>161127</v>
      </c>
      <c r="K17" s="1688">
        <f>SUM(K12:K16)</f>
        <v>179608</v>
      </c>
      <c r="L17" s="347"/>
    </row>
    <row r="18" spans="1:12" ht="15" customHeight="1" thickTop="1" x14ac:dyDescent="0.2">
      <c r="A18" s="1744" t="s">
        <v>1654</v>
      </c>
      <c r="B18" s="1745">
        <v>4180</v>
      </c>
      <c r="C18" s="1742">
        <f t="shared" ref="C18:H18" si="3">C9</f>
        <v>2117725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7018005</v>
      </c>
      <c r="D19" s="1688">
        <f t="shared" si="4"/>
        <v>478772</v>
      </c>
      <c r="E19" s="1688">
        <f t="shared" si="4"/>
        <v>535555</v>
      </c>
      <c r="F19" s="1688">
        <f t="shared" si="4"/>
        <v>487767</v>
      </c>
      <c r="G19" s="1688">
        <f t="shared" si="4"/>
        <v>177022</v>
      </c>
      <c r="H19" s="1688">
        <f t="shared" si="4"/>
        <v>102877</v>
      </c>
      <c r="I19" s="468"/>
      <c r="J19" s="1688">
        <f>SUM(J17:J18)</f>
        <v>161127</v>
      </c>
      <c r="K19" s="1688">
        <f>SUM(K17:K18)</f>
        <v>179608</v>
      </c>
      <c r="L19" s="347"/>
    </row>
    <row r="20" spans="1:12" ht="16.5" thickTop="1" thickBot="1" x14ac:dyDescent="0.25">
      <c r="A20" s="2133" t="s">
        <v>1655</v>
      </c>
      <c r="B20" s="2134"/>
      <c r="C20" s="1746">
        <f>C8-C17</f>
        <v>354544</v>
      </c>
      <c r="D20" s="1746">
        <f t="shared" ref="D20:K20" si="5">D8-D17</f>
        <v>-66307</v>
      </c>
      <c r="E20" s="1746">
        <f t="shared" si="5"/>
        <v>152693</v>
      </c>
      <c r="F20" s="1746">
        <f t="shared" si="5"/>
        <v>-40576</v>
      </c>
      <c r="G20" s="1746">
        <f t="shared" si="5"/>
        <v>8754</v>
      </c>
      <c r="H20" s="1746">
        <f t="shared" si="5"/>
        <v>-102487</v>
      </c>
      <c r="I20" s="1746">
        <f t="shared" si="5"/>
        <v>39830</v>
      </c>
      <c r="J20" s="1746">
        <f t="shared" si="5"/>
        <v>70119</v>
      </c>
      <c r="K20" s="1746">
        <f t="shared" si="5"/>
        <v>-139476</v>
      </c>
      <c r="L20" s="347"/>
    </row>
    <row r="21" spans="1:12" ht="16.7" customHeight="1" thickTop="1" x14ac:dyDescent="0.2">
      <c r="A21" s="2145" t="s">
        <v>595</v>
      </c>
      <c r="B21" s="2146"/>
      <c r="C21" s="1570"/>
      <c r="D21" s="1571"/>
      <c r="E21" s="1571"/>
      <c r="F21" s="1571"/>
      <c r="G21" s="1571"/>
      <c r="H21" s="1571"/>
      <c r="I21" s="1571"/>
      <c r="J21" s="1571"/>
      <c r="K21" s="1572"/>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105000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7" t="s">
        <v>374</v>
      </c>
      <c r="B44" s="2148"/>
      <c r="C44" s="1703">
        <f>SUM(C24:C43)</f>
        <v>0</v>
      </c>
      <c r="D44" s="1703">
        <f t="shared" ref="D44:K44" si="6">SUM(D24:D43)</f>
        <v>0</v>
      </c>
      <c r="E44" s="1703">
        <f t="shared" si="6"/>
        <v>0</v>
      </c>
      <c r="F44" s="1703">
        <f t="shared" si="6"/>
        <v>0</v>
      </c>
      <c r="G44" s="1703">
        <f t="shared" si="6"/>
        <v>0</v>
      </c>
      <c r="H44" s="1703">
        <f t="shared" si="6"/>
        <v>105000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105000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3" t="s">
        <v>440</v>
      </c>
      <c r="B76" s="2124"/>
      <c r="C76" s="1703">
        <f t="shared" ref="C76:K76" si="7">SUM(C47:C75)</f>
        <v>0</v>
      </c>
      <c r="D76" s="1703">
        <f t="shared" si="7"/>
        <v>0</v>
      </c>
      <c r="E76" s="1703">
        <f t="shared" si="7"/>
        <v>0</v>
      </c>
      <c r="F76" s="1703">
        <f t="shared" si="7"/>
        <v>0</v>
      </c>
      <c r="G76" s="1703">
        <f t="shared" si="7"/>
        <v>0</v>
      </c>
      <c r="H76" s="1703">
        <f t="shared" si="7"/>
        <v>0</v>
      </c>
      <c r="I76" s="1703">
        <f t="shared" si="7"/>
        <v>105000</v>
      </c>
      <c r="J76" s="1703">
        <f t="shared" si="7"/>
        <v>0</v>
      </c>
      <c r="K76" s="1703">
        <f t="shared" si="7"/>
        <v>0</v>
      </c>
      <c r="L76" s="524"/>
    </row>
    <row r="77" spans="1:12" ht="14.25" thickTop="1" thickBot="1" x14ac:dyDescent="0.25">
      <c r="A77" s="2125" t="s">
        <v>1177</v>
      </c>
      <c r="B77" s="2126"/>
      <c r="C77" s="1703">
        <f t="shared" ref="C77:K77" si="8">C44-C76</f>
        <v>0</v>
      </c>
      <c r="D77" s="1703">
        <f t="shared" si="8"/>
        <v>0</v>
      </c>
      <c r="E77" s="1703">
        <f t="shared" si="8"/>
        <v>0</v>
      </c>
      <c r="F77" s="1703">
        <f t="shared" si="8"/>
        <v>0</v>
      </c>
      <c r="G77" s="1703">
        <f t="shared" si="8"/>
        <v>0</v>
      </c>
      <c r="H77" s="1703">
        <f t="shared" si="8"/>
        <v>105000</v>
      </c>
      <c r="I77" s="1703">
        <f t="shared" si="8"/>
        <v>-105000</v>
      </c>
      <c r="J77" s="1703">
        <f t="shared" si="8"/>
        <v>0</v>
      </c>
      <c r="K77" s="1703">
        <f t="shared" si="8"/>
        <v>0</v>
      </c>
      <c r="L77" s="347"/>
    </row>
    <row r="78" spans="1:12" ht="21.75" customHeight="1" thickTop="1" thickBot="1" x14ac:dyDescent="0.25">
      <c r="A78" s="2129" t="s">
        <v>597</v>
      </c>
      <c r="B78" s="2130"/>
      <c r="C78" s="1702">
        <f t="shared" ref="C78:K78" si="9">C20+C77</f>
        <v>354544</v>
      </c>
      <c r="D78" s="1702">
        <f t="shared" si="9"/>
        <v>-66307</v>
      </c>
      <c r="E78" s="1702">
        <f t="shared" si="9"/>
        <v>152693</v>
      </c>
      <c r="F78" s="1702">
        <f t="shared" si="9"/>
        <v>-40576</v>
      </c>
      <c r="G78" s="1702">
        <f t="shared" si="9"/>
        <v>8754</v>
      </c>
      <c r="H78" s="1702">
        <f t="shared" si="9"/>
        <v>2513</v>
      </c>
      <c r="I78" s="1702">
        <f t="shared" si="9"/>
        <v>-65170</v>
      </c>
      <c r="J78" s="1702">
        <f t="shared" si="9"/>
        <v>70119</v>
      </c>
      <c r="K78" s="1702">
        <f t="shared" si="9"/>
        <v>-139476</v>
      </c>
      <c r="L78" s="533"/>
    </row>
    <row r="79" spans="1:12" ht="13.5" thickTop="1" x14ac:dyDescent="0.2">
      <c r="A79" s="1494" t="s">
        <v>1947</v>
      </c>
      <c r="B79" s="534"/>
      <c r="C79" s="478">
        <v>1224491</v>
      </c>
      <c r="D79" s="535">
        <v>549541</v>
      </c>
      <c r="E79" s="535">
        <v>568023</v>
      </c>
      <c r="F79" s="535">
        <v>555537</v>
      </c>
      <c r="G79" s="535">
        <v>214234</v>
      </c>
      <c r="H79" s="535">
        <v>13732</v>
      </c>
      <c r="I79" s="535">
        <v>88297</v>
      </c>
      <c r="J79" s="535">
        <v>69595</v>
      </c>
      <c r="K79" s="535">
        <v>154557</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8">
        <f>(SUM(C78:C80))</f>
        <v>1579035</v>
      </c>
      <c r="D81" s="1688">
        <f>SUM(D78:D80)</f>
        <v>483234</v>
      </c>
      <c r="E81" s="1688">
        <f t="shared" ref="E81:K81" si="10">SUM(E78:E80)</f>
        <v>720716</v>
      </c>
      <c r="F81" s="1688">
        <f t="shared" si="10"/>
        <v>514961</v>
      </c>
      <c r="G81" s="1688">
        <f t="shared" si="10"/>
        <v>222988</v>
      </c>
      <c r="H81" s="1688">
        <f t="shared" si="10"/>
        <v>16245</v>
      </c>
      <c r="I81" s="1688">
        <f t="shared" si="10"/>
        <v>23127</v>
      </c>
      <c r="J81" s="1688">
        <f t="shared" si="10"/>
        <v>139714</v>
      </c>
      <c r="K81" s="1688">
        <f t="shared" si="10"/>
        <v>15081</v>
      </c>
      <c r="L81" s="347"/>
    </row>
    <row r="82" spans="1:12" ht="0.75" customHeight="1" thickTop="1" thickBot="1" x14ac:dyDescent="0.25">
      <c r="A82" s="536" t="s">
        <v>343</v>
      </c>
      <c r="B82" s="537"/>
      <c r="C82" s="538">
        <f>(C81-C79)</f>
        <v>354544</v>
      </c>
      <c r="D82" s="538">
        <f t="shared" ref="D82:K82" si="11">(D81-D79)</f>
        <v>-66307</v>
      </c>
      <c r="E82" s="538">
        <f t="shared" si="11"/>
        <v>152693</v>
      </c>
      <c r="F82" s="538">
        <f t="shared" si="11"/>
        <v>-40576</v>
      </c>
      <c r="G82" s="538">
        <f t="shared" si="11"/>
        <v>8754</v>
      </c>
      <c r="H82" s="538">
        <f t="shared" si="11"/>
        <v>2513</v>
      </c>
      <c r="I82" s="538">
        <f t="shared" si="11"/>
        <v>-65170</v>
      </c>
      <c r="J82" s="538">
        <f t="shared" si="11"/>
        <v>70119</v>
      </c>
      <c r="K82" s="538">
        <f t="shared" si="11"/>
        <v>-139476</v>
      </c>
    </row>
    <row r="83" spans="1:12" ht="14.25" hidden="1" thickTop="1" thickBot="1" x14ac:dyDescent="0.25">
      <c r="A83" s="539" t="s">
        <v>344</v>
      </c>
      <c r="B83" s="464"/>
      <c r="C83" s="540">
        <f>C82/C81</f>
        <v>0.22453207180334825</v>
      </c>
      <c r="D83" s="540">
        <f t="shared" ref="D83:K83" si="12">D82/D81</f>
        <v>-0.13721509661985704</v>
      </c>
      <c r="E83" s="540">
        <f t="shared" si="12"/>
        <v>0.21186292520216007</v>
      </c>
      <c r="F83" s="540">
        <f t="shared" si="12"/>
        <v>-7.8794316462800093E-2</v>
      </c>
      <c r="G83" s="540">
        <f t="shared" si="12"/>
        <v>3.9257717904102464E-2</v>
      </c>
      <c r="H83" s="540">
        <f t="shared" si="12"/>
        <v>0.15469375192366883</v>
      </c>
      <c r="I83" s="540">
        <f t="shared" si="12"/>
        <v>-2.8179184502961907</v>
      </c>
      <c r="J83" s="540">
        <f t="shared" si="12"/>
        <v>0.50187525945860834</v>
      </c>
      <c r="K83" s="540">
        <f t="shared" si="12"/>
        <v>-9.2484583250447585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2539403</v>
      </c>
      <c r="D5" s="481">
        <v>396785</v>
      </c>
      <c r="E5" s="466">
        <v>322663</v>
      </c>
      <c r="F5" s="548">
        <v>158714</v>
      </c>
      <c r="G5" s="466">
        <v>86580</v>
      </c>
      <c r="H5" s="466"/>
      <c r="I5" s="466">
        <v>39678</v>
      </c>
      <c r="J5" s="467">
        <v>209748</v>
      </c>
      <c r="K5" s="466">
        <v>39678</v>
      </c>
    </row>
    <row r="6" spans="1:12" ht="15" x14ac:dyDescent="0.2">
      <c r="A6" s="463" t="s">
        <v>1662</v>
      </c>
      <c r="B6" s="470">
        <v>1130</v>
      </c>
      <c r="C6" s="466">
        <v>39678</v>
      </c>
      <c r="D6" s="466"/>
      <c r="E6" s="475"/>
      <c r="F6" s="475"/>
      <c r="G6" s="468"/>
      <c r="H6" s="468"/>
      <c r="I6" s="468"/>
      <c r="J6" s="468"/>
      <c r="K6" s="468"/>
    </row>
    <row r="7" spans="1:12" x14ac:dyDescent="0.2">
      <c r="A7" s="463" t="s">
        <v>110</v>
      </c>
      <c r="B7" s="549">
        <v>1140</v>
      </c>
      <c r="C7" s="466">
        <v>31744</v>
      </c>
      <c r="D7" s="466"/>
      <c r="E7" s="468"/>
      <c r="F7" s="467"/>
      <c r="G7" s="467"/>
      <c r="H7" s="467"/>
      <c r="I7" s="468"/>
      <c r="J7" s="468"/>
      <c r="K7" s="468"/>
    </row>
    <row r="8" spans="1:12" x14ac:dyDescent="0.2">
      <c r="A8" s="463" t="s">
        <v>413</v>
      </c>
      <c r="B8" s="470">
        <v>1150</v>
      </c>
      <c r="C8" s="475"/>
      <c r="D8" s="475"/>
      <c r="E8" s="477"/>
      <c r="F8" s="477"/>
      <c r="G8" s="481">
        <v>86580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2610825</v>
      </c>
      <c r="D12" s="1707">
        <f t="shared" si="0"/>
        <v>396785</v>
      </c>
      <c r="E12" s="1707">
        <f t="shared" si="0"/>
        <v>322663</v>
      </c>
      <c r="F12" s="1707">
        <f t="shared" si="0"/>
        <v>158714</v>
      </c>
      <c r="G12" s="1707">
        <f t="shared" si="0"/>
        <v>173160</v>
      </c>
      <c r="H12" s="1707">
        <f t="shared" si="0"/>
        <v>0</v>
      </c>
      <c r="I12" s="1707">
        <f t="shared" si="0"/>
        <v>39678</v>
      </c>
      <c r="J12" s="1707">
        <f t="shared" si="0"/>
        <v>209748</v>
      </c>
      <c r="K12" s="1688">
        <f t="shared" si="0"/>
        <v>39678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349293</v>
      </c>
      <c r="D16" s="466"/>
      <c r="E16" s="466"/>
      <c r="F16" s="466"/>
      <c r="G16" s="466">
        <v>10000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349293</v>
      </c>
      <c r="D18" s="1710">
        <f t="shared" ref="D18:K18" si="1">SUM(D14:D17)</f>
        <v>0</v>
      </c>
      <c r="E18" s="1710">
        <f t="shared" si="1"/>
        <v>0</v>
      </c>
      <c r="F18" s="1710">
        <f t="shared" si="1"/>
        <v>0</v>
      </c>
      <c r="G18" s="1710">
        <f t="shared" si="1"/>
        <v>10000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41761</v>
      </c>
      <c r="D65" s="466">
        <v>4748</v>
      </c>
      <c r="E65" s="466">
        <v>5516</v>
      </c>
      <c r="F65" s="467">
        <v>11716</v>
      </c>
      <c r="G65" s="466">
        <v>2616</v>
      </c>
      <c r="H65" s="466">
        <v>390</v>
      </c>
      <c r="I65" s="466">
        <v>152</v>
      </c>
      <c r="J65" s="467">
        <v>1223</v>
      </c>
      <c r="K65" s="466">
        <v>454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41761</v>
      </c>
      <c r="D67" s="1688">
        <f t="shared" ref="D67:K67" si="2">SUM(D65:D66)</f>
        <v>4748</v>
      </c>
      <c r="E67" s="1688">
        <f t="shared" si="2"/>
        <v>5516</v>
      </c>
      <c r="F67" s="1688">
        <f t="shared" si="2"/>
        <v>11716</v>
      </c>
      <c r="G67" s="1688">
        <f t="shared" si="2"/>
        <v>2616</v>
      </c>
      <c r="H67" s="1688">
        <f t="shared" si="2"/>
        <v>390</v>
      </c>
      <c r="I67" s="1688">
        <f t="shared" si="2"/>
        <v>152</v>
      </c>
      <c r="J67" s="1688">
        <f t="shared" si="2"/>
        <v>1223</v>
      </c>
      <c r="K67" s="1688">
        <f t="shared" si="2"/>
        <v>454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74891</v>
      </c>
      <c r="D69" s="468"/>
      <c r="E69" s="468"/>
      <c r="F69" s="468"/>
      <c r="G69" s="468"/>
      <c r="H69" s="468"/>
      <c r="I69" s="468"/>
      <c r="J69" s="468"/>
      <c r="K69" s="468"/>
    </row>
    <row r="70" spans="1:11" ht="12.75" customHeight="1" x14ac:dyDescent="0.2">
      <c r="A70" s="463" t="s">
        <v>997</v>
      </c>
      <c r="B70" s="470">
        <v>1612</v>
      </c>
      <c r="C70" s="551">
        <v>5726</v>
      </c>
      <c r="D70" s="468"/>
      <c r="E70" s="468"/>
      <c r="F70" s="468"/>
      <c r="G70" s="468"/>
      <c r="H70" s="468"/>
      <c r="I70" s="468"/>
      <c r="J70" s="468"/>
      <c r="K70" s="468"/>
    </row>
    <row r="71" spans="1:11" ht="12.75" customHeight="1" x14ac:dyDescent="0.2">
      <c r="A71" s="463" t="s">
        <v>273</v>
      </c>
      <c r="B71" s="470">
        <v>1613</v>
      </c>
      <c r="C71" s="551">
        <v>7952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2858</v>
      </c>
      <c r="D73" s="468"/>
      <c r="E73" s="468"/>
      <c r="F73" s="468"/>
      <c r="G73" s="468"/>
      <c r="H73" s="468"/>
      <c r="I73" s="468"/>
      <c r="J73" s="468"/>
      <c r="K73" s="468"/>
    </row>
    <row r="74" spans="1:11" ht="12.75" customHeight="1" x14ac:dyDescent="0.2">
      <c r="A74" s="463" t="s">
        <v>25</v>
      </c>
      <c r="B74" s="470">
        <v>1690</v>
      </c>
      <c r="C74" s="551">
        <v>1900</v>
      </c>
      <c r="D74" s="468"/>
      <c r="E74" s="468"/>
      <c r="F74" s="468"/>
      <c r="G74" s="468"/>
      <c r="H74" s="468"/>
      <c r="I74" s="468"/>
      <c r="J74" s="468"/>
      <c r="K74" s="468"/>
    </row>
    <row r="75" spans="1:11" ht="12.75" customHeight="1" thickBot="1" x14ac:dyDescent="0.25">
      <c r="A75" s="1708" t="s">
        <v>548</v>
      </c>
      <c r="B75" s="1709"/>
      <c r="C75" s="1688">
        <f>SUM(C69:C74)</f>
        <v>93327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26887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26887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46264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46264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71953</v>
      </c>
      <c r="D99" s="466"/>
      <c r="E99" s="466"/>
      <c r="F99" s="466"/>
      <c r="G99" s="466"/>
      <c r="H99" s="466"/>
      <c r="I99" s="468"/>
      <c r="J99" s="467">
        <v>20275</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3670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360069</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-1081</v>
      </c>
      <c r="D107" s="466">
        <v>10932</v>
      </c>
      <c r="E107" s="466"/>
      <c r="F107" s="466">
        <v>3164</v>
      </c>
      <c r="G107" s="466"/>
      <c r="H107" s="466"/>
      <c r="I107" s="466"/>
      <c r="J107" s="467"/>
      <c r="K107" s="466"/>
    </row>
    <row r="108" spans="1:12" ht="12.75" customHeight="1" thickBot="1" x14ac:dyDescent="0.25">
      <c r="A108" s="1708" t="s">
        <v>487</v>
      </c>
      <c r="B108" s="1712"/>
      <c r="C108" s="1707">
        <f>SUM(C95:C107)</f>
        <v>74542</v>
      </c>
      <c r="D108" s="1707">
        <f t="shared" ref="D108:K108" si="3">SUM(D95:D107)</f>
        <v>10932</v>
      </c>
      <c r="E108" s="1707">
        <f t="shared" si="3"/>
        <v>360069</v>
      </c>
      <c r="F108" s="1707">
        <f t="shared" si="3"/>
        <v>3164</v>
      </c>
      <c r="G108" s="1707">
        <f t="shared" si="3"/>
        <v>0</v>
      </c>
      <c r="H108" s="1707">
        <f t="shared" si="3"/>
        <v>0</v>
      </c>
      <c r="I108" s="1707">
        <f t="shared" si="3"/>
        <v>0</v>
      </c>
      <c r="J108" s="1707">
        <f t="shared" si="3"/>
        <v>20275</v>
      </c>
      <c r="K108" s="1688">
        <f t="shared" si="3"/>
        <v>0</v>
      </c>
    </row>
    <row r="109" spans="1:12" ht="14.25" thickTop="1" thickBot="1" x14ac:dyDescent="0.25">
      <c r="A109" s="1713" t="s">
        <v>248</v>
      </c>
      <c r="B109" s="1714" t="s">
        <v>570</v>
      </c>
      <c r="C109" s="1715">
        <f t="shared" ref="C109:K109" si="4">SUM(C12,C18,C40,C63,C67,C75,C82,C93,C108,)</f>
        <v>3242899</v>
      </c>
      <c r="D109" s="1715">
        <f t="shared" si="4"/>
        <v>412465</v>
      </c>
      <c r="E109" s="1715">
        <f t="shared" si="4"/>
        <v>688248</v>
      </c>
      <c r="F109" s="1715">
        <f t="shared" si="4"/>
        <v>173594</v>
      </c>
      <c r="G109" s="1715">
        <f t="shared" si="4"/>
        <v>185776</v>
      </c>
      <c r="H109" s="1715">
        <f t="shared" si="4"/>
        <v>390</v>
      </c>
      <c r="I109" s="1715">
        <f t="shared" si="4"/>
        <v>39830</v>
      </c>
      <c r="J109" s="1715">
        <f t="shared" si="4"/>
        <v>231246</v>
      </c>
      <c r="K109" s="1702">
        <f t="shared" si="4"/>
        <v>40132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1472265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1472265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23372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3405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26777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8132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8132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1804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9158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163584</v>
      </c>
      <c r="G152" s="467"/>
      <c r="H152" s="468"/>
      <c r="I152" s="468"/>
      <c r="J152" s="468"/>
      <c r="K152" s="468"/>
    </row>
    <row r="153" spans="1:11" ht="12.75" customHeight="1" x14ac:dyDescent="0.2">
      <c r="A153" s="463" t="s">
        <v>1057</v>
      </c>
      <c r="B153" s="562">
        <v>3510</v>
      </c>
      <c r="C153" s="551"/>
      <c r="D153" s="466"/>
      <c r="E153" s="561"/>
      <c r="F153" s="466">
        <v>110013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273597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192590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7034</v>
      </c>
      <c r="D168" s="580"/>
      <c r="E168" s="580"/>
      <c r="F168" s="580"/>
      <c r="G168" s="581"/>
      <c r="H168" s="582"/>
      <c r="I168" s="581"/>
      <c r="J168" s="581"/>
      <c r="K168" s="582"/>
    </row>
    <row r="169" spans="1:11" ht="12.75" customHeight="1" thickTop="1" thickBot="1" x14ac:dyDescent="0.25">
      <c r="A169" s="2151" t="s">
        <v>398</v>
      </c>
      <c r="B169" s="2152"/>
      <c r="C169" s="1722">
        <f t="shared" ref="C169:K169" si="6">SUM(C132,C141,C145,C146:C150,C155,C156:C167,C168)</f>
        <v>245495</v>
      </c>
      <c r="D169" s="1722">
        <f t="shared" si="6"/>
        <v>0</v>
      </c>
      <c r="E169" s="1722">
        <f t="shared" si="6"/>
        <v>0</v>
      </c>
      <c r="F169" s="1722">
        <f t="shared" si="6"/>
        <v>273597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1717760</v>
      </c>
      <c r="D170" s="1715">
        <f t="shared" si="7"/>
        <v>0</v>
      </c>
      <c r="E170" s="1715">
        <f t="shared" si="7"/>
        <v>0</v>
      </c>
      <c r="F170" s="1715">
        <f t="shared" si="7"/>
        <v>273597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7" t="s">
        <v>1665</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1664</v>
      </c>
      <c r="B176" s="216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9" t="s">
        <v>785</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1803</v>
      </c>
      <c r="B182" s="215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97268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21270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118538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66058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66058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14439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14439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73230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73230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13907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7993</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294165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294165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5254824</v>
      </c>
      <c r="D268" s="1715">
        <f t="shared" si="12"/>
        <v>412465</v>
      </c>
      <c r="E268" s="1715">
        <f t="shared" si="12"/>
        <v>688248</v>
      </c>
      <c r="F268" s="1715">
        <f t="shared" si="12"/>
        <v>447191</v>
      </c>
      <c r="G268" s="1715">
        <f t="shared" si="12"/>
        <v>185776</v>
      </c>
      <c r="H268" s="1715">
        <f t="shared" si="12"/>
        <v>390</v>
      </c>
      <c r="I268" s="1715">
        <f t="shared" si="12"/>
        <v>39830</v>
      </c>
      <c r="J268" s="1715">
        <f t="shared" si="12"/>
        <v>231246</v>
      </c>
      <c r="K268" s="1702">
        <f t="shared" si="12"/>
        <v>40132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51" activePane="bottomLeft" state="frozen"/>
      <selection activeCell="C71" sqref="C71"/>
      <selection pane="bottomLeft" activeCell="C71" sqref="C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2264972</v>
      </c>
      <c r="D5" s="466">
        <v>297174</v>
      </c>
      <c r="E5" s="466">
        <v>57963</v>
      </c>
      <c r="F5" s="466">
        <v>69985</v>
      </c>
      <c r="G5" s="466">
        <v>46868</v>
      </c>
      <c r="H5" s="466">
        <v>102</v>
      </c>
      <c r="I5" s="467"/>
      <c r="J5" s="467"/>
      <c r="K5" s="1671">
        <f>SUM(C5:J5)</f>
        <v>2737064</v>
      </c>
      <c r="L5" s="466">
        <v>2893512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40347+57377</f>
        <v>97724</v>
      </c>
      <c r="D7" s="467">
        <f>1122+10945</f>
        <v>12067</v>
      </c>
      <c r="E7" s="467">
        <f>1211+650</f>
        <v>1861</v>
      </c>
      <c r="F7" s="467">
        <v>26863</v>
      </c>
      <c r="G7" s="467">
        <v>23019</v>
      </c>
      <c r="H7" s="467"/>
      <c r="I7" s="467"/>
      <c r="J7" s="467"/>
      <c r="K7" s="1671">
        <f t="shared" ref="K7:K32" si="0">SUM(C7:J7)</f>
        <v>161534</v>
      </c>
      <c r="L7" s="466">
        <v>191095</v>
      </c>
    </row>
    <row r="8" spans="1:14" x14ac:dyDescent="0.2">
      <c r="A8" s="1504" t="s">
        <v>164</v>
      </c>
      <c r="B8" s="614">
        <v>1200</v>
      </c>
      <c r="C8" s="466">
        <v>192452</v>
      </c>
      <c r="D8" s="466">
        <v>32021</v>
      </c>
      <c r="E8" s="466"/>
      <c r="F8" s="466">
        <v>187</v>
      </c>
      <c r="G8" s="466"/>
      <c r="H8" s="466"/>
      <c r="I8" s="467"/>
      <c r="J8" s="467"/>
      <c r="K8" s="1671">
        <f t="shared" si="0"/>
        <v>224660</v>
      </c>
      <c r="L8" s="466">
        <v>227973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59396</v>
      </c>
      <c r="D10" s="466">
        <v>12678</v>
      </c>
      <c r="E10" s="466">
        <v>4212</v>
      </c>
      <c r="F10" s="466">
        <v>1898</v>
      </c>
      <c r="G10" s="466">
        <v>1464</v>
      </c>
      <c r="H10" s="466"/>
      <c r="I10" s="467"/>
      <c r="J10" s="467"/>
      <c r="K10" s="1671">
        <f t="shared" si="0"/>
        <v>79648</v>
      </c>
      <c r="L10" s="466">
        <v>84222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660</v>
      </c>
      <c r="F13" s="466">
        <v>32839</v>
      </c>
      <c r="G13" s="466"/>
      <c r="H13" s="466"/>
      <c r="I13" s="467"/>
      <c r="J13" s="467"/>
      <c r="K13" s="1671">
        <f t="shared" si="0"/>
        <v>33499</v>
      </c>
      <c r="L13" s="466">
        <v>7584</v>
      </c>
    </row>
    <row r="14" spans="1:14" x14ac:dyDescent="0.2">
      <c r="A14" s="1504" t="s">
        <v>963</v>
      </c>
      <c r="B14" s="614">
        <v>1500</v>
      </c>
      <c r="C14" s="466">
        <v>127519</v>
      </c>
      <c r="D14" s="466">
        <v>1349</v>
      </c>
      <c r="E14" s="466">
        <v>28624</v>
      </c>
      <c r="F14" s="466">
        <v>10115</v>
      </c>
      <c r="G14" s="466">
        <v>5608</v>
      </c>
      <c r="H14" s="466"/>
      <c r="I14" s="467"/>
      <c r="J14" s="467"/>
      <c r="K14" s="1671">
        <f t="shared" si="0"/>
        <v>173215</v>
      </c>
      <c r="L14" s="466">
        <v>209459</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50732</v>
      </c>
      <c r="D17" s="467">
        <v>6201</v>
      </c>
      <c r="E17" s="467"/>
      <c r="F17" s="467"/>
      <c r="G17" s="467"/>
      <c r="H17" s="467"/>
      <c r="I17" s="467"/>
      <c r="J17" s="467"/>
      <c r="K17" s="1671">
        <f t="shared" si="0"/>
        <v>56933</v>
      </c>
      <c r="L17" s="466">
        <v>62910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2792795</v>
      </c>
      <c r="D33" s="1670">
        <f t="shared" ref="D33:L33" si="1">SUM(D5:D32)</f>
        <v>361490</v>
      </c>
      <c r="E33" s="1670">
        <f t="shared" si="1"/>
        <v>93320</v>
      </c>
      <c r="F33" s="1670">
        <f t="shared" si="1"/>
        <v>141887</v>
      </c>
      <c r="G33" s="1670">
        <f t="shared" si="1"/>
        <v>76959</v>
      </c>
      <c r="H33" s="1670">
        <f t="shared" si="1"/>
        <v>102</v>
      </c>
      <c r="I33" s="1670">
        <f t="shared" si="1"/>
        <v>0</v>
      </c>
      <c r="J33" s="1670">
        <f t="shared" si="1"/>
        <v>0</v>
      </c>
      <c r="K33" s="1670">
        <f t="shared" si="1"/>
        <v>3466553</v>
      </c>
      <c r="L33" s="1670">
        <f t="shared" si="1"/>
        <v>3676755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26915</v>
      </c>
      <c r="F36" s="481"/>
      <c r="G36" s="481"/>
      <c r="H36" s="481"/>
      <c r="I36" s="467"/>
      <c r="J36" s="467"/>
      <c r="K36" s="1671">
        <f t="shared" ref="K36:K41" si="2">SUM(C36:J36)</f>
        <v>26915</v>
      </c>
      <c r="L36" s="466">
        <v>29000</v>
      </c>
    </row>
    <row r="37" spans="1:14" x14ac:dyDescent="0.2">
      <c r="A37" s="1504" t="s">
        <v>1090</v>
      </c>
      <c r="B37" s="614">
        <v>2120</v>
      </c>
      <c r="C37" s="466">
        <v>55432</v>
      </c>
      <c r="D37" s="466">
        <v>6274</v>
      </c>
      <c r="E37" s="466"/>
      <c r="F37" s="466">
        <v>175</v>
      </c>
      <c r="G37" s="466"/>
      <c r="H37" s="466"/>
      <c r="I37" s="467"/>
      <c r="J37" s="467"/>
      <c r="K37" s="1671">
        <f t="shared" si="2"/>
        <v>61881</v>
      </c>
      <c r="L37" s="466">
        <v>64561</v>
      </c>
    </row>
    <row r="38" spans="1:14" x14ac:dyDescent="0.2">
      <c r="A38" s="1504" t="s">
        <v>198</v>
      </c>
      <c r="B38" s="614">
        <v>2130</v>
      </c>
      <c r="C38" s="466">
        <v>18638</v>
      </c>
      <c r="D38" s="466">
        <v>5584</v>
      </c>
      <c r="E38" s="466">
        <v>870</v>
      </c>
      <c r="F38" s="466">
        <v>101</v>
      </c>
      <c r="G38" s="466"/>
      <c r="H38" s="466"/>
      <c r="I38" s="467"/>
      <c r="J38" s="467"/>
      <c r="K38" s="1671">
        <f t="shared" si="2"/>
        <v>25193</v>
      </c>
      <c r="L38" s="466">
        <v>30081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74070</v>
      </c>
      <c r="D42" s="1670">
        <f t="shared" ref="D42:L42" si="3">SUM(D36:D41)</f>
        <v>11858</v>
      </c>
      <c r="E42" s="1670">
        <f t="shared" si="3"/>
        <v>27785</v>
      </c>
      <c r="F42" s="1670">
        <f t="shared" si="3"/>
        <v>276</v>
      </c>
      <c r="G42" s="1670">
        <f t="shared" si="3"/>
        <v>0</v>
      </c>
      <c r="H42" s="1670">
        <f t="shared" si="3"/>
        <v>0</v>
      </c>
      <c r="I42" s="1670">
        <f t="shared" si="3"/>
        <v>0</v>
      </c>
      <c r="J42" s="1670">
        <f t="shared" si="3"/>
        <v>0</v>
      </c>
      <c r="K42" s="1670">
        <f t="shared" si="3"/>
        <v>113989</v>
      </c>
      <c r="L42" s="1670">
        <f t="shared" si="3"/>
        <v>123642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48026</v>
      </c>
      <c r="D45" s="466">
        <v>6159</v>
      </c>
      <c r="E45" s="466"/>
      <c r="F45" s="466">
        <v>3435</v>
      </c>
      <c r="G45" s="466"/>
      <c r="H45" s="466"/>
      <c r="I45" s="467"/>
      <c r="J45" s="467"/>
      <c r="K45" s="1672">
        <f>SUM(C45:J45)</f>
        <v>57620</v>
      </c>
      <c r="L45" s="466">
        <v>58840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48026</v>
      </c>
      <c r="D47" s="1670">
        <f t="shared" ref="D47:K47" si="4">SUM(D44:D46)</f>
        <v>6159</v>
      </c>
      <c r="E47" s="1670">
        <f t="shared" si="4"/>
        <v>0</v>
      </c>
      <c r="F47" s="1670">
        <f t="shared" si="4"/>
        <v>3435</v>
      </c>
      <c r="G47" s="1670">
        <f t="shared" si="4"/>
        <v>0</v>
      </c>
      <c r="H47" s="1670">
        <f t="shared" si="4"/>
        <v>0</v>
      </c>
      <c r="I47" s="1670">
        <f t="shared" si="4"/>
        <v>0</v>
      </c>
      <c r="J47" s="1670">
        <f t="shared" si="4"/>
        <v>0</v>
      </c>
      <c r="K47" s="1670">
        <f t="shared" si="4"/>
        <v>57620</v>
      </c>
      <c r="L47" s="1670">
        <f>SUM(L44:L46)</f>
        <v>58840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9067</v>
      </c>
      <c r="F49" s="481">
        <v>1895</v>
      </c>
      <c r="G49" s="481"/>
      <c r="H49" s="481"/>
      <c r="I49" s="467"/>
      <c r="J49" s="467"/>
      <c r="K49" s="1672">
        <f>SUM(C49:J49)</f>
        <v>10962</v>
      </c>
      <c r="L49" s="481">
        <v>16250</v>
      </c>
    </row>
    <row r="50" spans="1:14" x14ac:dyDescent="0.2">
      <c r="A50" s="1504" t="s">
        <v>818</v>
      </c>
      <c r="B50" s="614">
        <v>2320</v>
      </c>
      <c r="C50" s="466">
        <v>175662</v>
      </c>
      <c r="D50" s="466">
        <v>12266</v>
      </c>
      <c r="E50" s="466">
        <v>8477</v>
      </c>
      <c r="F50" s="466">
        <v>5043</v>
      </c>
      <c r="G50" s="466">
        <v>5000</v>
      </c>
      <c r="H50" s="466">
        <v>5114</v>
      </c>
      <c r="I50" s="467"/>
      <c r="J50" s="467"/>
      <c r="K50" s="1672">
        <f>SUM(C50:J50)</f>
        <v>211562</v>
      </c>
      <c r="L50" s="466">
        <v>211114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175662</v>
      </c>
      <c r="D53" s="1670">
        <f t="shared" ref="D53:L53" si="5">SUM(D49:D52)</f>
        <v>12266</v>
      </c>
      <c r="E53" s="1670">
        <f t="shared" si="5"/>
        <v>17544</v>
      </c>
      <c r="F53" s="1670">
        <f t="shared" si="5"/>
        <v>6938</v>
      </c>
      <c r="G53" s="1670">
        <f t="shared" si="5"/>
        <v>5000</v>
      </c>
      <c r="H53" s="1670">
        <f t="shared" si="5"/>
        <v>5114</v>
      </c>
      <c r="I53" s="1670">
        <f t="shared" si="5"/>
        <v>0</v>
      </c>
      <c r="J53" s="1670">
        <f t="shared" si="5"/>
        <v>0</v>
      </c>
      <c r="K53" s="1670">
        <f t="shared" si="5"/>
        <v>222524</v>
      </c>
      <c r="L53" s="1670">
        <f t="shared" si="5"/>
        <v>227364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203349</v>
      </c>
      <c r="D55" s="481">
        <v>25419</v>
      </c>
      <c r="E55" s="481">
        <v>4421</v>
      </c>
      <c r="F55" s="481">
        <v>2533</v>
      </c>
      <c r="G55" s="481"/>
      <c r="H55" s="481"/>
      <c r="I55" s="467"/>
      <c r="J55" s="467"/>
      <c r="K55" s="1672">
        <f>SUM(C55:J55)</f>
        <v>235722</v>
      </c>
      <c r="L55" s="481">
        <v>238628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203349</v>
      </c>
      <c r="D57" s="1674">
        <f t="shared" ref="D57:K57" si="6">SUM(D55:D56)</f>
        <v>25419</v>
      </c>
      <c r="E57" s="1674">
        <f t="shared" si="6"/>
        <v>4421</v>
      </c>
      <c r="F57" s="1674">
        <f t="shared" si="6"/>
        <v>2533</v>
      </c>
      <c r="G57" s="1674">
        <f t="shared" si="6"/>
        <v>0</v>
      </c>
      <c r="H57" s="1674">
        <f t="shared" si="6"/>
        <v>0</v>
      </c>
      <c r="I57" s="1674">
        <f t="shared" si="6"/>
        <v>0</v>
      </c>
      <c r="J57" s="1674">
        <f t="shared" si="6"/>
        <v>0</v>
      </c>
      <c r="K57" s="1674">
        <f t="shared" si="6"/>
        <v>235722</v>
      </c>
      <c r="L57" s="1670">
        <f>SUM(L55:L56)</f>
        <v>238628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74641</v>
      </c>
      <c r="D60" s="466">
        <v>8212</v>
      </c>
      <c r="E60" s="466"/>
      <c r="F60" s="466"/>
      <c r="G60" s="466"/>
      <c r="H60" s="466"/>
      <c r="I60" s="467"/>
      <c r="J60" s="467"/>
      <c r="K60" s="1672">
        <f t="shared" si="7"/>
        <v>82853</v>
      </c>
      <c r="L60" s="466">
        <v>94882</v>
      </c>
      <c r="M60" s="609"/>
      <c r="N60" s="609"/>
    </row>
    <row r="61" spans="1:14" s="343" customFormat="1" x14ac:dyDescent="0.2">
      <c r="A61" s="1504" t="s">
        <v>197</v>
      </c>
      <c r="B61" s="614">
        <v>2540</v>
      </c>
      <c r="C61" s="466"/>
      <c r="D61" s="466"/>
      <c r="E61" s="466">
        <v>11258</v>
      </c>
      <c r="F61" s="466"/>
      <c r="G61" s="466"/>
      <c r="H61" s="466"/>
      <c r="I61" s="467"/>
      <c r="J61" s="467"/>
      <c r="K61" s="1672">
        <f t="shared" si="7"/>
        <v>11258</v>
      </c>
      <c r="L61" s="466">
        <v>12500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76518</v>
      </c>
      <c r="D63" s="466">
        <v>12822</v>
      </c>
      <c r="E63" s="466">
        <v>4671</v>
      </c>
      <c r="F63" s="466">
        <v>87108</v>
      </c>
      <c r="G63" s="466">
        <v>6684</v>
      </c>
      <c r="H63" s="466"/>
      <c r="I63" s="467"/>
      <c r="J63" s="467"/>
      <c r="K63" s="1672">
        <f t="shared" si="7"/>
        <v>187803</v>
      </c>
      <c r="L63" s="466">
        <v>219031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151159</v>
      </c>
      <c r="D65" s="1670">
        <f t="shared" ref="D65:L65" si="8">SUM(D59:D64)</f>
        <v>21034</v>
      </c>
      <c r="E65" s="1670">
        <f t="shared" si="8"/>
        <v>15929</v>
      </c>
      <c r="F65" s="1670">
        <f t="shared" si="8"/>
        <v>87108</v>
      </c>
      <c r="G65" s="1670">
        <f t="shared" si="8"/>
        <v>6684</v>
      </c>
      <c r="H65" s="1670">
        <f t="shared" si="8"/>
        <v>0</v>
      </c>
      <c r="I65" s="1670">
        <f t="shared" si="8"/>
        <v>0</v>
      </c>
      <c r="J65" s="1670">
        <f t="shared" si="8"/>
        <v>0</v>
      </c>
      <c r="K65" s="1670">
        <f t="shared" si="8"/>
        <v>281914</v>
      </c>
      <c r="L65" s="1670">
        <f t="shared" si="8"/>
        <v>326413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652266</v>
      </c>
      <c r="D74" s="1677">
        <f t="shared" ref="D74:K74" si="10">SUM(D42,D47,D53,D57,D65,D72,D73)</f>
        <v>76736</v>
      </c>
      <c r="E74" s="1677">
        <f t="shared" si="10"/>
        <v>65679</v>
      </c>
      <c r="F74" s="1677">
        <f t="shared" si="10"/>
        <v>100290</v>
      </c>
      <c r="G74" s="1677">
        <f t="shared" si="10"/>
        <v>11684</v>
      </c>
      <c r="H74" s="1677">
        <f t="shared" si="10"/>
        <v>5114</v>
      </c>
      <c r="I74" s="1677">
        <f t="shared" si="10"/>
        <v>0</v>
      </c>
      <c r="J74" s="1677">
        <f t="shared" si="10"/>
        <v>0</v>
      </c>
      <c r="K74" s="1677">
        <f t="shared" si="10"/>
        <v>911769</v>
      </c>
      <c r="L74" s="1677">
        <f>SUM(L42,L47,L53,L57,L65,L72,L73)</f>
        <v>974887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521958</v>
      </c>
      <c r="I79" s="477"/>
      <c r="J79" s="477"/>
      <c r="K79" s="1671">
        <f t="shared" si="11"/>
        <v>521958</v>
      </c>
      <c r="L79" s="466">
        <v>459424</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521958</v>
      </c>
      <c r="I84" s="477"/>
      <c r="J84" s="477"/>
      <c r="K84" s="1670">
        <f>SUM(K78:K83)</f>
        <v>521958</v>
      </c>
      <c r="L84" s="1670">
        <f>SUM(L78:L83)</f>
        <v>459424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521958</v>
      </c>
      <c r="I102" s="477"/>
      <c r="J102" s="477"/>
      <c r="K102" s="1677">
        <f>SUM(K84,K92,K100,K101)</f>
        <v>521958</v>
      </c>
      <c r="L102" s="1677">
        <f>SUM(L84,L92,L100,L101)</f>
        <v>459424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3445061</v>
      </c>
      <c r="D114" s="1670">
        <f t="shared" ref="D114:K114" si="13">SUM(D33,D74,D75,D102,D112,D113)</f>
        <v>438226</v>
      </c>
      <c r="E114" s="1670">
        <f t="shared" si="13"/>
        <v>158999</v>
      </c>
      <c r="F114" s="1670">
        <f t="shared" si="13"/>
        <v>242177</v>
      </c>
      <c r="G114" s="1670">
        <f t="shared" si="13"/>
        <v>88643</v>
      </c>
      <c r="H114" s="1670">
        <f>SUM(H33,H74,H75,H102,H112,H113)</f>
        <v>527174</v>
      </c>
      <c r="I114" s="1670">
        <f t="shared" si="13"/>
        <v>0</v>
      </c>
      <c r="J114" s="1670">
        <f t="shared" si="13"/>
        <v>0</v>
      </c>
      <c r="K114" s="1670">
        <f t="shared" si="13"/>
        <v>4900280</v>
      </c>
      <c r="L114" s="1670">
        <f>SUM(L33,L74,L75,L102,L112,L113)</f>
        <v>5111066</v>
      </c>
    </row>
    <row r="115" spans="1:14" ht="13.5" thickTop="1" x14ac:dyDescent="0.2">
      <c r="A115" s="2163" t="s">
        <v>996</v>
      </c>
      <c r="B115" s="2164"/>
      <c r="C115" s="618"/>
      <c r="D115" s="618"/>
      <c r="E115" s="618"/>
      <c r="F115" s="618"/>
      <c r="G115" s="618"/>
      <c r="H115" s="618"/>
      <c r="I115" s="618"/>
      <c r="J115" s="618"/>
      <c r="K115" s="1684">
        <f>'Revenues 9-14'!C268-'Expenditures 15-22'!K114</f>
        <v>354544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119838</v>
      </c>
      <c r="D124" s="466">
        <v>22335</v>
      </c>
      <c r="E124" s="466">
        <v>303006</v>
      </c>
      <c r="F124" s="466">
        <v>33593</v>
      </c>
      <c r="G124" s="466"/>
      <c r="H124" s="466"/>
      <c r="I124" s="467"/>
      <c r="J124" s="467"/>
      <c r="K124" s="1670">
        <f>SUM(C124:J124)</f>
        <v>478772</v>
      </c>
      <c r="L124" s="466">
        <v>525917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119838</v>
      </c>
      <c r="D127" s="1670">
        <f t="shared" ref="D127:L127" si="14">SUM(D122:D126)</f>
        <v>22335</v>
      </c>
      <c r="E127" s="1670">
        <f t="shared" si="14"/>
        <v>303006</v>
      </c>
      <c r="F127" s="1670">
        <f t="shared" si="14"/>
        <v>33593</v>
      </c>
      <c r="G127" s="1670">
        <f t="shared" si="14"/>
        <v>0</v>
      </c>
      <c r="H127" s="1670">
        <f t="shared" si="14"/>
        <v>0</v>
      </c>
      <c r="I127" s="1670">
        <f t="shared" si="14"/>
        <v>0</v>
      </c>
      <c r="J127" s="1670">
        <f t="shared" si="14"/>
        <v>0</v>
      </c>
      <c r="K127" s="1670">
        <f t="shared" si="14"/>
        <v>478772</v>
      </c>
      <c r="L127" s="1670">
        <f t="shared" si="14"/>
        <v>525917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119838</v>
      </c>
      <c r="D129" s="1677">
        <f t="shared" ref="D129:L129" si="15">SUM(D120,D127,D128)</f>
        <v>22335</v>
      </c>
      <c r="E129" s="1677">
        <f t="shared" si="15"/>
        <v>303006</v>
      </c>
      <c r="F129" s="1677">
        <f t="shared" si="15"/>
        <v>33593</v>
      </c>
      <c r="G129" s="1677">
        <f t="shared" si="15"/>
        <v>0</v>
      </c>
      <c r="H129" s="1677">
        <f t="shared" si="15"/>
        <v>0</v>
      </c>
      <c r="I129" s="1677">
        <f t="shared" si="15"/>
        <v>0</v>
      </c>
      <c r="J129" s="1677">
        <f t="shared" si="15"/>
        <v>0</v>
      </c>
      <c r="K129" s="1677">
        <f t="shared" si="15"/>
        <v>478772</v>
      </c>
      <c r="L129" s="1677">
        <f t="shared" si="15"/>
        <v>525917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0"/>
      <c r="C151" s="1670">
        <f>SUM(C129,C130,C139,C149,C150)</f>
        <v>119838</v>
      </c>
      <c r="D151" s="1670">
        <f t="shared" ref="D151:K151" si="16">SUM(D129,D130,D139,D149,D150)</f>
        <v>22335</v>
      </c>
      <c r="E151" s="1670">
        <f t="shared" si="16"/>
        <v>303006</v>
      </c>
      <c r="F151" s="1670">
        <f t="shared" si="16"/>
        <v>33593</v>
      </c>
      <c r="G151" s="1670">
        <f t="shared" si="16"/>
        <v>0</v>
      </c>
      <c r="H151" s="1670">
        <f t="shared" si="16"/>
        <v>0</v>
      </c>
      <c r="I151" s="1670">
        <f t="shared" si="16"/>
        <v>0</v>
      </c>
      <c r="J151" s="1670">
        <f t="shared" si="16"/>
        <v>0</v>
      </c>
      <c r="K151" s="1670">
        <f t="shared" si="16"/>
        <v>478772</v>
      </c>
      <c r="L151" s="1670">
        <f>SUM(L129,L130,L139,L149,L150)</f>
        <v>525917</v>
      </c>
    </row>
    <row r="152" spans="1:14" ht="12.75" customHeight="1" thickTop="1" x14ac:dyDescent="0.2">
      <c r="A152" s="2183" t="s">
        <v>1178</v>
      </c>
      <c r="B152" s="2184"/>
      <c r="C152" s="618"/>
      <c r="D152" s="618"/>
      <c r="E152" s="618"/>
      <c r="F152" s="618"/>
      <c r="G152" s="618"/>
      <c r="H152" s="618"/>
      <c r="I152" s="618"/>
      <c r="J152" s="616"/>
      <c r="K152" s="1684">
        <f>'Revenues 9-14'!D268-'Expenditures 15-22'!K151</f>
        <v>-66307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255055</v>
      </c>
      <c r="I169" s="616"/>
      <c r="J169" s="616"/>
      <c r="K169" s="1671">
        <f>SUM(C169:H169)</f>
        <v>255055</v>
      </c>
      <c r="L169" s="656">
        <v>260000</v>
      </c>
    </row>
    <row r="170" spans="1:14" ht="33.75" customHeight="1" x14ac:dyDescent="0.2">
      <c r="A170" s="669" t="s">
        <v>1670</v>
      </c>
      <c r="B170" s="671" t="s">
        <v>31</v>
      </c>
      <c r="C170" s="616"/>
      <c r="D170" s="616"/>
      <c r="E170" s="616"/>
      <c r="F170" s="616"/>
      <c r="G170" s="616"/>
      <c r="H170" s="569">
        <v>280000</v>
      </c>
      <c r="I170" s="616"/>
      <c r="J170" s="616"/>
      <c r="K170" s="1671">
        <f>SUM(C170:J170)</f>
        <v>280000</v>
      </c>
      <c r="L170" s="569">
        <v>280000</v>
      </c>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535555</v>
      </c>
      <c r="I172" s="638"/>
      <c r="J172" s="616"/>
      <c r="K172" s="1677">
        <f>SUM(K168,K169,K170,K171)</f>
        <v>535555</v>
      </c>
      <c r="L172" s="1677">
        <f>SUM(L168,L169,L170,L171)</f>
        <v>540500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535555</v>
      </c>
      <c r="I174" s="638"/>
      <c r="J174" s="616"/>
      <c r="K174" s="1677">
        <f>SUM(K160,K172,K173)</f>
        <v>535555</v>
      </c>
      <c r="L174" s="1677">
        <f>SUM(L160,L172,L173)</f>
        <v>540500</v>
      </c>
    </row>
    <row r="175" spans="1:14" ht="13.5" thickTop="1" x14ac:dyDescent="0.2">
      <c r="A175" s="2163" t="s">
        <v>996</v>
      </c>
      <c r="B175" s="2164"/>
      <c r="C175" s="616"/>
      <c r="D175" s="616"/>
      <c r="E175" s="616"/>
      <c r="F175" s="616"/>
      <c r="G175" s="616"/>
      <c r="H175" s="618"/>
      <c r="I175" s="616"/>
      <c r="J175" s="616"/>
      <c r="K175" s="1684">
        <f>'Revenues 9-14'!E268-'Expenditures 15-22'!K174</f>
        <v>152693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186012</v>
      </c>
      <c r="D182" s="466">
        <v>49570</v>
      </c>
      <c r="E182" s="466">
        <v>72210</v>
      </c>
      <c r="F182" s="466">
        <v>89972</v>
      </c>
      <c r="G182" s="466">
        <v>35003</v>
      </c>
      <c r="H182" s="466">
        <v>55000</v>
      </c>
      <c r="I182" s="467"/>
      <c r="J182" s="467"/>
      <c r="K182" s="1671">
        <f>SUM(C182:J182)</f>
        <v>487767</v>
      </c>
      <c r="L182" s="466">
        <v>433926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186012</v>
      </c>
      <c r="D184" s="1677">
        <f t="shared" ref="D184:J184" si="17">SUM(D180,D182,D183)</f>
        <v>49570</v>
      </c>
      <c r="E184" s="1677">
        <f t="shared" si="17"/>
        <v>72210</v>
      </c>
      <c r="F184" s="1677">
        <f t="shared" si="17"/>
        <v>89972</v>
      </c>
      <c r="G184" s="1677">
        <f t="shared" si="17"/>
        <v>35003</v>
      </c>
      <c r="H184" s="1677">
        <f t="shared" si="17"/>
        <v>55000</v>
      </c>
      <c r="I184" s="1677">
        <f t="shared" si="17"/>
        <v>0</v>
      </c>
      <c r="J184" s="1677">
        <f t="shared" si="17"/>
        <v>0</v>
      </c>
      <c r="K184" s="1677">
        <f>SUM(K180,K182,K183)</f>
        <v>487767</v>
      </c>
      <c r="L184" s="1677">
        <f>SUM(L180, L182:L183)</f>
        <v>433926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v>55000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55000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186012</v>
      </c>
      <c r="D210" s="1670">
        <f>SUM(D184,D185)</f>
        <v>49570</v>
      </c>
      <c r="E210" s="1670">
        <f>SUM(E184,E185,E196)</f>
        <v>72210</v>
      </c>
      <c r="F210" s="1670">
        <f>SUM(F184,F185)</f>
        <v>89972</v>
      </c>
      <c r="G210" s="1670">
        <f>SUM(G184,G185)</f>
        <v>35003</v>
      </c>
      <c r="H210" s="1670">
        <f>SUM(H184,H185,H196,H208,H209)</f>
        <v>55000</v>
      </c>
      <c r="I210" s="1670">
        <f>SUM(I184,I185)</f>
        <v>0</v>
      </c>
      <c r="J210" s="1670">
        <f>SUM(J184,J185)</f>
        <v>0</v>
      </c>
      <c r="K210" s="1671">
        <f>SUM(K184,K185,K196,K208,K209)</f>
        <v>487767</v>
      </c>
      <c r="L210" s="1670">
        <f>SUM(L184,L185,L196,L208,L209)</f>
        <v>488926</v>
      </c>
    </row>
    <row r="211" spans="1:14" ht="13.5" thickTop="1" x14ac:dyDescent="0.2">
      <c r="A211" s="2163" t="s">
        <v>996</v>
      </c>
      <c r="B211" s="2164"/>
      <c r="C211" s="618"/>
      <c r="D211" s="618"/>
      <c r="E211" s="618"/>
      <c r="F211" s="618"/>
      <c r="G211" s="618"/>
      <c r="H211" s="618"/>
      <c r="I211" s="616"/>
      <c r="J211" s="616"/>
      <c r="K211" s="1684">
        <f>'Revenues 9-14'!F268-'Expenditures 15-22'!K210</f>
        <v>-40576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37898</v>
      </c>
      <c r="E215" s="616"/>
      <c r="F215" s="616"/>
      <c r="G215" s="616"/>
      <c r="H215" s="616"/>
      <c r="I215" s="616"/>
      <c r="J215" s="616"/>
      <c r="K215" s="1671">
        <f>D215</f>
        <v>37898</v>
      </c>
      <c r="L215" s="466">
        <v>40662</v>
      </c>
    </row>
    <row r="216" spans="1:14" x14ac:dyDescent="0.2">
      <c r="A216" s="1504" t="s">
        <v>163</v>
      </c>
      <c r="B216" s="614" t="s">
        <v>967</v>
      </c>
      <c r="C216" s="616"/>
      <c r="D216" s="467">
        <v>6383</v>
      </c>
      <c r="E216" s="616"/>
      <c r="F216" s="616"/>
      <c r="G216" s="616"/>
      <c r="H216" s="616"/>
      <c r="I216" s="616"/>
      <c r="J216" s="616"/>
      <c r="K216" s="1671">
        <f t="shared" ref="K216:K228" si="19">D216</f>
        <v>6383</v>
      </c>
      <c r="L216" s="466">
        <v>10317</v>
      </c>
    </row>
    <row r="217" spans="1:14" x14ac:dyDescent="0.2">
      <c r="A217" s="1504" t="s">
        <v>164</v>
      </c>
      <c r="B217" s="614">
        <v>1200</v>
      </c>
      <c r="C217" s="616"/>
      <c r="D217" s="466">
        <v>12881</v>
      </c>
      <c r="E217" s="616"/>
      <c r="F217" s="616"/>
      <c r="G217" s="616"/>
      <c r="H217" s="616"/>
      <c r="I217" s="616"/>
      <c r="J217" s="616"/>
      <c r="K217" s="1671">
        <f t="shared" si="19"/>
        <v>12881</v>
      </c>
      <c r="L217" s="466">
        <v>12540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5984</v>
      </c>
      <c r="E219" s="616"/>
      <c r="F219" s="616"/>
      <c r="G219" s="616"/>
      <c r="H219" s="616"/>
      <c r="I219" s="616"/>
      <c r="J219" s="616"/>
      <c r="K219" s="1671">
        <f t="shared" si="19"/>
        <v>5984</v>
      </c>
      <c r="L219" s="466">
        <v>6257</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5246</v>
      </c>
      <c r="E223" s="616"/>
      <c r="F223" s="616"/>
      <c r="G223" s="616"/>
      <c r="H223" s="616"/>
      <c r="I223" s="616"/>
      <c r="J223" s="616"/>
      <c r="K223" s="1671">
        <f t="shared" si="19"/>
        <v>5246</v>
      </c>
      <c r="L223" s="466">
        <v>3498</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736</v>
      </c>
      <c r="E226" s="616"/>
      <c r="F226" s="616"/>
      <c r="G226" s="616"/>
      <c r="H226" s="616"/>
      <c r="I226" s="616"/>
      <c r="J226" s="616"/>
      <c r="K226" s="1671">
        <f t="shared" si="19"/>
        <v>736</v>
      </c>
      <c r="L226" s="466">
        <v>763</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69128</v>
      </c>
      <c r="E229" s="616"/>
      <c r="F229" s="616"/>
      <c r="G229" s="616"/>
      <c r="H229" s="616"/>
      <c r="I229" s="616"/>
      <c r="J229" s="616"/>
      <c r="K229" s="1670">
        <f>SUM(K215:K228)</f>
        <v>69128</v>
      </c>
      <c r="L229" s="1670">
        <f>SUM(L215:L228)</f>
        <v>74037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834</v>
      </c>
    </row>
    <row r="233" spans="1:12" x14ac:dyDescent="0.2">
      <c r="A233" s="1504" t="s">
        <v>1090</v>
      </c>
      <c r="B233" s="614">
        <v>2120</v>
      </c>
      <c r="C233" s="616"/>
      <c r="D233" s="466">
        <v>804</v>
      </c>
      <c r="E233" s="616"/>
      <c r="F233" s="616"/>
      <c r="G233" s="616"/>
      <c r="H233" s="616"/>
      <c r="I233" s="616"/>
      <c r="J233" s="616"/>
      <c r="K233" s="1671">
        <f t="shared" si="20"/>
        <v>804</v>
      </c>
      <c r="L233" s="466"/>
    </row>
    <row r="234" spans="1:12" x14ac:dyDescent="0.2">
      <c r="A234" s="1504" t="s">
        <v>198</v>
      </c>
      <c r="B234" s="614">
        <v>2130</v>
      </c>
      <c r="C234" s="616"/>
      <c r="D234" s="466">
        <v>3434</v>
      </c>
      <c r="E234" s="616"/>
      <c r="F234" s="616"/>
      <c r="G234" s="616"/>
      <c r="H234" s="616"/>
      <c r="I234" s="616"/>
      <c r="J234" s="616"/>
      <c r="K234" s="1671">
        <f t="shared" si="20"/>
        <v>3434</v>
      </c>
      <c r="L234" s="466">
        <v>4056</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4238</v>
      </c>
      <c r="E238" s="616"/>
      <c r="F238" s="616"/>
      <c r="G238" s="616"/>
      <c r="H238" s="616"/>
      <c r="I238" s="616"/>
      <c r="J238" s="616"/>
      <c r="K238" s="1670">
        <f>SUM(K232:K237)</f>
        <v>4238</v>
      </c>
      <c r="L238" s="1670">
        <f>SUM(L232:L237)</f>
        <v>4890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697</v>
      </c>
      <c r="E241" s="616"/>
      <c r="F241" s="616"/>
      <c r="G241" s="616"/>
      <c r="H241" s="616"/>
      <c r="I241" s="616"/>
      <c r="J241" s="616"/>
      <c r="K241" s="1672">
        <f>D241</f>
        <v>697</v>
      </c>
      <c r="L241" s="466">
        <v>722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697</v>
      </c>
      <c r="E243" s="616"/>
      <c r="F243" s="616"/>
      <c r="G243" s="616"/>
      <c r="H243" s="616"/>
      <c r="I243" s="616"/>
      <c r="J243" s="616"/>
      <c r="K243" s="1670">
        <f>SUM(K240:K242)</f>
        <v>697</v>
      </c>
      <c r="L243" s="1670">
        <f>SUM(L240:L242)</f>
        <v>722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8778</v>
      </c>
      <c r="E246" s="616"/>
      <c r="F246" s="616"/>
      <c r="G246" s="616"/>
      <c r="H246" s="616"/>
      <c r="I246" s="616"/>
      <c r="J246" s="616"/>
      <c r="K246" s="1672">
        <f t="shared" ref="K246:K256" si="21">D246</f>
        <v>8778</v>
      </c>
      <c r="L246" s="466">
        <v>9549</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8778</v>
      </c>
      <c r="E257" s="616"/>
      <c r="F257" s="616"/>
      <c r="G257" s="616"/>
      <c r="H257" s="616"/>
      <c r="I257" s="616"/>
      <c r="J257" s="616"/>
      <c r="K257" s="1670">
        <f>SUM(K245:K256)</f>
        <v>8778</v>
      </c>
      <c r="L257" s="1670">
        <f>SUM(L245:L256)</f>
        <v>9549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9426</v>
      </c>
      <c r="E259" s="616"/>
      <c r="F259" s="616"/>
      <c r="G259" s="616"/>
      <c r="H259" s="616"/>
      <c r="I259" s="616"/>
      <c r="J259" s="616"/>
      <c r="K259" s="1672">
        <f>D259</f>
        <v>9426</v>
      </c>
      <c r="L259" s="481">
        <v>10473</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9426</v>
      </c>
      <c r="E261" s="616"/>
      <c r="F261" s="616"/>
      <c r="G261" s="616"/>
      <c r="H261" s="616"/>
      <c r="I261" s="616"/>
      <c r="J261" s="616"/>
      <c r="K261" s="1670">
        <f>SUM(K259:K260)</f>
        <v>9426</v>
      </c>
      <c r="L261" s="1670">
        <f>SUM(L259:L260)</f>
        <v>10473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13590</v>
      </c>
      <c r="E264" s="616"/>
      <c r="F264" s="616"/>
      <c r="G264" s="616"/>
      <c r="H264" s="616"/>
      <c r="I264" s="616"/>
      <c r="J264" s="616"/>
      <c r="K264" s="1672">
        <f t="shared" ref="K264:K269" si="22">D264</f>
        <v>13590</v>
      </c>
      <c r="L264" s="466">
        <v>13483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22050</v>
      </c>
      <c r="E266" s="616"/>
      <c r="F266" s="616"/>
      <c r="G266" s="616"/>
      <c r="H266" s="616"/>
      <c r="I266" s="616"/>
      <c r="J266" s="616"/>
      <c r="K266" s="1672">
        <f t="shared" si="22"/>
        <v>22050</v>
      </c>
      <c r="L266" s="466">
        <v>25406</v>
      </c>
    </row>
    <row r="267" spans="1:14" x14ac:dyDescent="0.2">
      <c r="A267" s="1504" t="s">
        <v>953</v>
      </c>
      <c r="B267" s="614">
        <v>2550</v>
      </c>
      <c r="C267" s="616"/>
      <c r="D267" s="466">
        <v>35554</v>
      </c>
      <c r="E267" s="616"/>
      <c r="F267" s="616"/>
      <c r="G267" s="616"/>
      <c r="H267" s="616"/>
      <c r="I267" s="616"/>
      <c r="J267" s="616"/>
      <c r="K267" s="1672">
        <f t="shared" si="22"/>
        <v>35554</v>
      </c>
      <c r="L267" s="466">
        <v>37564</v>
      </c>
    </row>
    <row r="268" spans="1:14" x14ac:dyDescent="0.2">
      <c r="A268" s="1504" t="s">
        <v>100</v>
      </c>
      <c r="B268" s="614">
        <v>2560</v>
      </c>
      <c r="C268" s="616"/>
      <c r="D268" s="466">
        <v>13561</v>
      </c>
      <c r="E268" s="616"/>
      <c r="F268" s="616"/>
      <c r="G268" s="616"/>
      <c r="H268" s="616"/>
      <c r="I268" s="616"/>
      <c r="J268" s="616"/>
      <c r="K268" s="1672">
        <f t="shared" si="22"/>
        <v>13561</v>
      </c>
      <c r="L268" s="466">
        <v>15680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84755</v>
      </c>
      <c r="E270" s="616"/>
      <c r="F270" s="616"/>
      <c r="G270" s="616"/>
      <c r="H270" s="616"/>
      <c r="I270" s="616"/>
      <c r="J270" s="616"/>
      <c r="K270" s="1670">
        <f>SUM(K263:K269)</f>
        <v>84755</v>
      </c>
      <c r="L270" s="1670">
        <f>SUM(L263:L269)</f>
        <v>92133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107894</v>
      </c>
      <c r="E279" s="616"/>
      <c r="F279" s="616"/>
      <c r="G279" s="616"/>
      <c r="H279" s="616"/>
      <c r="I279" s="616"/>
      <c r="J279" s="616"/>
      <c r="K279" s="1677">
        <f>SUM(K238,K243,K257,K261,K270,K277,K278)</f>
        <v>107894</v>
      </c>
      <c r="L279" s="1677">
        <f>SUM(L238,L243,L257,L261,L270,L277,L278)</f>
        <v>117767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177022</v>
      </c>
      <c r="E295" s="616"/>
      <c r="F295" s="616"/>
      <c r="G295" s="616"/>
      <c r="H295" s="1670">
        <f>H293</f>
        <v>0</v>
      </c>
      <c r="I295" s="616"/>
      <c r="J295" s="616"/>
      <c r="K295" s="1670">
        <f>SUM(K229,K279,K280,K285,K293,K294)</f>
        <v>177022</v>
      </c>
      <c r="L295" s="1670">
        <f>SUM(L229,L279,L280,L285,L293,L294)</f>
        <v>191804</v>
      </c>
    </row>
    <row r="296" spans="1:14" ht="13.5" thickTop="1" x14ac:dyDescent="0.2">
      <c r="A296" s="2163" t="s">
        <v>996</v>
      </c>
      <c r="B296" s="2164"/>
      <c r="C296" s="616"/>
      <c r="D296" s="618"/>
      <c r="E296" s="616"/>
      <c r="F296" s="616"/>
      <c r="G296" s="616"/>
      <c r="H296" s="687"/>
      <c r="I296" s="616"/>
      <c r="J296" s="616"/>
      <c r="K296" s="1684">
        <f>'Revenues 9-14'!G268-'Expenditures 15-22'!K295</f>
        <v>8754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102877</v>
      </c>
      <c r="F301" s="466"/>
      <c r="G301" s="466"/>
      <c r="H301" s="466"/>
      <c r="I301" s="467"/>
      <c r="J301" s="467"/>
      <c r="K301" s="1671">
        <f>SUM(C301:J301)</f>
        <v>102877</v>
      </c>
      <c r="L301" s="467">
        <v>102786</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102877</v>
      </c>
      <c r="F303" s="1677">
        <f t="shared" si="23"/>
        <v>0</v>
      </c>
      <c r="G303" s="1677">
        <f t="shared" si="23"/>
        <v>0</v>
      </c>
      <c r="H303" s="1677">
        <f t="shared" si="23"/>
        <v>0</v>
      </c>
      <c r="I303" s="1677">
        <f t="shared" si="23"/>
        <v>0</v>
      </c>
      <c r="J303" s="1677">
        <f t="shared" si="23"/>
        <v>0</v>
      </c>
      <c r="K303" s="1677">
        <f t="shared" si="23"/>
        <v>102877</v>
      </c>
      <c r="L303" s="1677">
        <f t="shared" si="23"/>
        <v>102786</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102877</v>
      </c>
      <c r="F312" s="1670">
        <f>SUM(F303)</f>
        <v>0</v>
      </c>
      <c r="G312" s="1670">
        <f>SUM(G303)</f>
        <v>0</v>
      </c>
      <c r="H312" s="1670">
        <f>SUM(H303,H310)</f>
        <v>0</v>
      </c>
      <c r="I312" s="1670">
        <f>SUM(I303)</f>
        <v>0</v>
      </c>
      <c r="J312" s="1670">
        <f>SUM(J303)</f>
        <v>0</v>
      </c>
      <c r="K312" s="1670">
        <f>SUM(K303,K310,K311)</f>
        <v>102877</v>
      </c>
      <c r="L312" s="1670">
        <f>SUM(L303,L310,L311)</f>
        <v>102786</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-102487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30528</v>
      </c>
      <c r="F320" s="467"/>
      <c r="G320" s="467"/>
      <c r="H320" s="467"/>
      <c r="I320" s="467"/>
      <c r="J320" s="467"/>
      <c r="K320" s="1671">
        <f t="shared" ref="K320:K327" si="24">SUM(C320:J320)</f>
        <v>30528</v>
      </c>
      <c r="L320" s="467">
        <v>30528</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45540</v>
      </c>
      <c r="F325" s="467"/>
      <c r="G325" s="467"/>
      <c r="H325" s="467"/>
      <c r="I325" s="467"/>
      <c r="J325" s="467"/>
      <c r="K325" s="1671">
        <f t="shared" si="24"/>
        <v>45540</v>
      </c>
      <c r="L325" s="467">
        <v>41869</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18973</v>
      </c>
      <c r="F327" s="467"/>
      <c r="G327" s="467"/>
      <c r="H327" s="467"/>
      <c r="I327" s="467"/>
      <c r="J327" s="467"/>
      <c r="K327" s="1671">
        <f t="shared" si="24"/>
        <v>18973</v>
      </c>
      <c r="L327" s="467">
        <v>26000</v>
      </c>
      <c r="M327" s="665"/>
      <c r="N327" s="665"/>
    </row>
    <row r="328" spans="1:14" s="674" customFormat="1" x14ac:dyDescent="0.2">
      <c r="A328" s="1520" t="s">
        <v>472</v>
      </c>
      <c r="B328" s="690" t="s">
        <v>1132</v>
      </c>
      <c r="C328" s="474"/>
      <c r="D328" s="474"/>
      <c r="E328" s="474">
        <v>66086</v>
      </c>
      <c r="F328" s="474"/>
      <c r="G328" s="474"/>
      <c r="H328" s="474"/>
      <c r="I328" s="474"/>
      <c r="J328" s="474"/>
      <c r="K328" s="1699">
        <f>SUM(C328:J328)</f>
        <v>66086</v>
      </c>
      <c r="L328" s="474">
        <v>64824</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161127</v>
      </c>
      <c r="F330" s="1670">
        <f t="shared" si="25"/>
        <v>0</v>
      </c>
      <c r="G330" s="1670">
        <f t="shared" si="25"/>
        <v>0</v>
      </c>
      <c r="H330" s="1670">
        <f t="shared" si="25"/>
        <v>0</v>
      </c>
      <c r="I330" s="1670">
        <f t="shared" si="25"/>
        <v>0</v>
      </c>
      <c r="J330" s="1670">
        <f t="shared" si="25"/>
        <v>0</v>
      </c>
      <c r="K330" s="1670">
        <f>SUM(K319:K329)</f>
        <v>161127</v>
      </c>
      <c r="L330" s="1670">
        <f>SUM(L319:L329)</f>
        <v>163221</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161127</v>
      </c>
      <c r="F342" s="1670">
        <f>SUM(F330)</f>
        <v>0</v>
      </c>
      <c r="G342" s="1670">
        <f>SUM(G330)</f>
        <v>0</v>
      </c>
      <c r="H342" s="1670">
        <f>SUM(H330,H334,H340)</f>
        <v>0</v>
      </c>
      <c r="I342" s="1670">
        <f>SUM(I330)</f>
        <v>0</v>
      </c>
      <c r="J342" s="1670">
        <f>SUM(J330)</f>
        <v>0</v>
      </c>
      <c r="K342" s="1670">
        <f>SUM(K330,K334,K340)</f>
        <v>161127</v>
      </c>
      <c r="L342" s="1677">
        <f>SUM(L330,L334,L340,L341)</f>
        <v>163221</v>
      </c>
    </row>
    <row r="343" spans="1:14" ht="12.75" customHeight="1" thickTop="1" x14ac:dyDescent="0.2">
      <c r="A343" s="2176" t="s">
        <v>996</v>
      </c>
      <c r="B343" s="2177"/>
      <c r="C343" s="616"/>
      <c r="D343" s="616"/>
      <c r="E343" s="616"/>
      <c r="F343" s="616"/>
      <c r="G343" s="616"/>
      <c r="H343" s="616"/>
      <c r="I343" s="616"/>
      <c r="J343" s="616"/>
      <c r="K343" s="1684">
        <f>'Revenues 9-14'!J268-'Expenditures 15-22'!K342</f>
        <v>70119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179123</v>
      </c>
      <c r="F349" s="466">
        <v>485</v>
      </c>
      <c r="G349" s="466"/>
      <c r="H349" s="466"/>
      <c r="I349" s="467"/>
      <c r="J349" s="467"/>
      <c r="K349" s="1671">
        <f>SUM(C349:J349)</f>
        <v>179608</v>
      </c>
      <c r="L349" s="466">
        <v>179107</v>
      </c>
    </row>
    <row r="350" spans="1:14" ht="12.75" customHeight="1" thickBot="1" x14ac:dyDescent="0.25">
      <c r="A350" s="1668" t="s">
        <v>719</v>
      </c>
      <c r="B350" s="1669" t="s">
        <v>35</v>
      </c>
      <c r="C350" s="1670">
        <f>SUM(C348:C349)</f>
        <v>0</v>
      </c>
      <c r="D350" s="1670">
        <f t="shared" ref="D350:L350" si="26">SUM(D348:D349)</f>
        <v>0</v>
      </c>
      <c r="E350" s="1670">
        <f t="shared" si="26"/>
        <v>179123</v>
      </c>
      <c r="F350" s="1670">
        <f t="shared" si="26"/>
        <v>485</v>
      </c>
      <c r="G350" s="1670">
        <f t="shared" si="26"/>
        <v>0</v>
      </c>
      <c r="H350" s="1670">
        <f t="shared" si="26"/>
        <v>0</v>
      </c>
      <c r="I350" s="1670">
        <f t="shared" si="26"/>
        <v>0</v>
      </c>
      <c r="J350" s="1670">
        <f t="shared" si="26"/>
        <v>0</v>
      </c>
      <c r="K350" s="1670">
        <f t="shared" si="26"/>
        <v>179608</v>
      </c>
      <c r="L350" s="1670">
        <f t="shared" si="26"/>
        <v>179107</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179123</v>
      </c>
      <c r="F352" s="1670">
        <f t="shared" si="27"/>
        <v>485</v>
      </c>
      <c r="G352" s="1670">
        <f t="shared" si="27"/>
        <v>0</v>
      </c>
      <c r="H352" s="1670">
        <f t="shared" si="27"/>
        <v>0</v>
      </c>
      <c r="I352" s="1670">
        <f t="shared" si="27"/>
        <v>0</v>
      </c>
      <c r="J352" s="1670">
        <f t="shared" si="27"/>
        <v>0</v>
      </c>
      <c r="K352" s="1670">
        <f t="shared" si="27"/>
        <v>179608</v>
      </c>
      <c r="L352" s="1670">
        <f t="shared" si="27"/>
        <v>179107</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179123</v>
      </c>
      <c r="F367" s="1670">
        <f t="shared" si="28"/>
        <v>485</v>
      </c>
      <c r="G367" s="1670">
        <f t="shared" si="28"/>
        <v>0</v>
      </c>
      <c r="H367" s="1670">
        <f t="shared" si="28"/>
        <v>0</v>
      </c>
      <c r="I367" s="1670">
        <f t="shared" si="28"/>
        <v>0</v>
      </c>
      <c r="J367" s="1670">
        <f t="shared" si="28"/>
        <v>0</v>
      </c>
      <c r="K367" s="1670">
        <f t="shared" si="28"/>
        <v>179608</v>
      </c>
      <c r="L367" s="1670">
        <f t="shared" si="28"/>
        <v>179107</v>
      </c>
    </row>
    <row r="368" spans="1:14" ht="13.5" thickTop="1" x14ac:dyDescent="0.2">
      <c r="A368" s="2163" t="s">
        <v>996</v>
      </c>
      <c r="B368" s="2164"/>
      <c r="C368" s="654"/>
      <c r="D368" s="654"/>
      <c r="E368" s="626"/>
      <c r="F368" s="626"/>
      <c r="G368" s="626"/>
      <c r="H368" s="626"/>
      <c r="I368" s="626"/>
      <c r="J368" s="623"/>
      <c r="K368" s="1671">
        <f>'Revenues 9-14'!K268-'Expenditures 15-22'!K367</f>
        <v>-139476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sharepoint/v3"/>
    <ds:schemaRef ds:uri="http://schemas.microsoft.com/office/2006/documentManagement/types"/>
    <ds:schemaRef ds:uri="http://purl.org/dc/elements/1.1/"/>
    <ds:schemaRef ds:uri="4d435f69-8686-490b-bd6d-b153bf22ab50"/>
    <ds:schemaRef ds:uri="http://schemas.microsoft.com/office/infopath/2007/PartnerControls"/>
    <ds:schemaRef ds:uri="http://www.w3.org/XML/1998/namespace"/>
    <ds:schemaRef ds:uri="http://purl.org/dc/terms/"/>
    <ds:schemaRef ds:uri="http://schemas.openxmlformats.org/package/2006/metadata/core-properties"/>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 </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2019-10-21T14:03:11Z</cp:lastPrinted>
  <dcterms:created xsi:type="dcterms:W3CDTF">2003-10-29T19:06:34Z</dcterms:created>
  <dcterms:modified xsi:type="dcterms:W3CDTF">2019-11-25T16:54:41Z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