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chnme1" localSheetId="32">#REF!</definedName>
    <definedName name="schnme1" localSheetId="33">#REF!</definedName>
    <definedName name="schnme1">#REF!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5" l="1"/>
  <c r="I5" i="5" l="1"/>
  <c r="H169" i="29"/>
  <c r="K5" i="5"/>
  <c r="G5" i="5"/>
  <c r="E182" i="29"/>
  <c r="C182" i="29"/>
  <c r="F5" i="5"/>
  <c r="F31" i="3"/>
  <c r="J32" i="8" l="1"/>
  <c r="B4" i="184"/>
  <c r="B4" i="183"/>
  <c r="H170" i="29"/>
  <c r="E5" i="5"/>
  <c r="C200" i="5"/>
  <c r="H79"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6833" i="106" s="1"/>
  <c r="D6833" i="106" s="1"/>
  <c r="B7761" i="106"/>
  <c r="D7761" i="106" s="1"/>
  <c r="L127" i="29"/>
  <c r="L129" i="29" s="1"/>
  <c r="L139" i="29"/>
  <c r="L149" i="29"/>
  <c r="I7" i="145"/>
  <c r="I6" i="145"/>
  <c r="D78" i="36"/>
  <c r="K75" i="29"/>
  <c r="K130" i="29"/>
  <c r="K185" i="29"/>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1" i="127"/>
  <c r="B62" i="127"/>
  <c r="D26" i="108"/>
  <c r="E26" i="108"/>
  <c r="F26" i="108"/>
  <c r="G26" i="108"/>
  <c r="D27" i="108"/>
  <c r="E27" i="108"/>
  <c r="F27" i="108"/>
  <c r="G27" i="108"/>
  <c r="F37" i="108"/>
  <c r="G28" i="108"/>
  <c r="E30" i="108"/>
  <c r="D37" i="108"/>
  <c r="E31" i="108"/>
  <c r="G31"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2" i="37"/>
  <c r="J22" i="37"/>
  <c r="E33" i="108" l="1"/>
  <c r="E29" i="108"/>
  <c r="B7078" i="106"/>
  <c r="D7078" i="106" s="1"/>
  <c r="I210" i="29"/>
  <c r="B7071" i="106" s="1"/>
  <c r="D7071" i="106" s="1"/>
  <c r="B7047" i="106"/>
  <c r="D7047" i="106" s="1"/>
  <c r="K76" i="4"/>
  <c r="B3586" i="106" s="1"/>
  <c r="D3586" i="106" s="1"/>
  <c r="G14" i="4"/>
  <c r="B2609" i="106" s="1"/>
  <c r="D2609" i="106" s="1"/>
  <c r="F72" i="34"/>
  <c r="F31" i="108"/>
  <c r="C342" i="29"/>
  <c r="B7216" i="106" s="1"/>
  <c r="D7216" i="106" s="1"/>
  <c r="F77" i="4"/>
  <c r="B3255" i="106" s="1"/>
  <c r="D3255" i="106" s="1"/>
  <c r="D24" i="37"/>
  <c r="B4270" i="106" s="1"/>
  <c r="D4270" i="106" s="1"/>
  <c r="F71" i="34"/>
  <c r="K41" i="3"/>
  <c r="G29" i="108"/>
  <c r="D9" i="7"/>
  <c r="B1767" i="106" s="1"/>
  <c r="D1767" i="106" s="1"/>
  <c r="E28" i="108"/>
  <c r="J210" i="29"/>
  <c r="B7072" i="106" s="1"/>
  <c r="D7072" i="106" s="1"/>
  <c r="D6103" i="106"/>
  <c r="L5" i="11"/>
  <c r="B2056" i="106" s="1"/>
  <c r="D2056" i="106" s="1"/>
  <c r="H28" i="118"/>
  <c r="D36" i="108"/>
  <c r="D41" i="108" s="1"/>
  <c r="E43" i="108" s="1"/>
  <c r="D54" i="36"/>
  <c r="F36" i="108"/>
  <c r="H76" i="4"/>
  <c r="B3298" i="106" s="1"/>
  <c r="D3298" i="106" s="1"/>
  <c r="D11" i="37"/>
  <c r="H29" i="118"/>
  <c r="D31" i="36"/>
  <c r="L13" i="11"/>
  <c r="B2060" i="106" s="1"/>
  <c r="D2060" i="106" s="1"/>
  <c r="F28" i="108"/>
  <c r="F41" i="108" s="1"/>
  <c r="G43" i="108" s="1"/>
  <c r="G30" i="108"/>
  <c r="J367" i="29"/>
  <c r="B7245" i="106" s="1"/>
  <c r="D7245" i="106" s="1"/>
  <c r="B7235" i="106"/>
  <c r="D7235" i="106" s="1"/>
  <c r="B1308" i="106"/>
  <c r="D1308" i="106" s="1"/>
  <c r="E174" i="29"/>
  <c r="B1309" i="106" s="1"/>
  <c r="D1309" i="106" s="1"/>
  <c r="E38" i="108"/>
  <c r="B3647" i="106"/>
  <c r="D3647" i="106" s="1"/>
  <c r="F49" i="34"/>
  <c r="G34" i="108"/>
  <c r="J129" i="29"/>
  <c r="B7038" i="106" s="1"/>
  <c r="D7038" i="106" s="1"/>
  <c r="L15" i="11"/>
  <c r="B3459" i="106" s="1"/>
  <c r="D3459" i="106" s="1"/>
  <c r="C129" i="29"/>
  <c r="C151" i="29" s="1"/>
  <c r="B1226" i="106" s="1"/>
  <c r="D1226" i="106" s="1"/>
  <c r="F19" i="7"/>
  <c r="B1807" i="106" s="1"/>
  <c r="D1807" i="106" s="1"/>
  <c r="F46" i="34"/>
  <c r="F34" i="34"/>
  <c r="I129" i="29"/>
  <c r="B7037" i="106" s="1"/>
  <c r="D7037" i="106" s="1"/>
  <c r="H365" i="29"/>
  <c r="B7242" i="106" s="1"/>
  <c r="D7242" i="106" s="1"/>
  <c r="C352" i="29"/>
  <c r="B3621" i="106" s="1"/>
  <c r="D3621" i="106" s="1"/>
  <c r="G210" i="29"/>
  <c r="G15" i="145"/>
  <c r="L22" i="37"/>
  <c r="D17" i="7"/>
  <c r="B4104" i="106" s="1"/>
  <c r="D4104" i="106" s="1"/>
  <c r="L342" i="29"/>
  <c r="D69" i="36"/>
  <c r="B4087" i="106"/>
  <c r="D4087"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D7252" i="106"/>
  <c r="K28" i="118"/>
  <c r="O27" i="118" s="1"/>
  <c r="O29" i="118" s="1"/>
  <c r="B1328" i="106"/>
  <c r="D1328" i="106" s="1"/>
  <c r="B3568" i="106"/>
  <c r="D3568" i="106" s="1"/>
  <c r="D52" i="36"/>
  <c r="G6" i="4"/>
  <c r="B2604" i="106" s="1"/>
  <c r="D2604" i="106" s="1"/>
  <c r="B5527" i="106"/>
  <c r="D5527" i="106" s="1"/>
  <c r="C114" i="29"/>
  <c r="B757" i="106" s="1"/>
  <c r="D757" i="106" s="1"/>
  <c r="D44" i="36"/>
  <c r="L16" i="11"/>
  <c r="B2061" i="106" s="1"/>
  <c r="D2061" i="106" s="1"/>
  <c r="D7255" i="106"/>
  <c r="I7" i="4"/>
  <c r="B4444" i="106" s="1"/>
  <c r="D4444" i="106" s="1"/>
  <c r="D7256" i="106"/>
  <c r="D7250" i="106"/>
  <c r="J16" i="4"/>
  <c r="B6226" i="106" s="1"/>
  <c r="D6226" i="106" s="1"/>
  <c r="B1996" i="106"/>
  <c r="D1996" i="106" s="1"/>
  <c r="I26" i="12"/>
  <c r="B7741" i="106" s="1"/>
  <c r="D7741" i="106" s="1"/>
  <c r="H151" i="29"/>
  <c r="B1273" i="106" s="1"/>
  <c r="D1273" i="106" s="1"/>
  <c r="D7253" i="106"/>
  <c r="B7215" i="106"/>
  <c r="D7215" i="106" s="1"/>
  <c r="F174" i="34"/>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J19" i="4"/>
  <c r="B6229" i="106" s="1"/>
  <c r="D6229" i="106" s="1"/>
  <c r="F8" i="4"/>
  <c r="B2595" i="106" s="1"/>
  <c r="D2595" i="106" s="1"/>
  <c r="K17"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<sst xmlns="http://schemas.openxmlformats.org/spreadsheetml/2006/main" count="5212" uniqueCount="2152">
  <si>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</si>
  <si>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</si>
  <si>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</si>
  <si>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</si>
  <si>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</si>
  <si>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</si>
  <si>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</si>
  <si>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</si>
  <si>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</si>
  <si>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</si>
  <si>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</si>
  <si>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</si>
  <si>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</si>
  <si>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</si>
  <si>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</si>
  <si>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</si>
  <si>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</si>
  <si>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</si>
  <si>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</si>
  <si>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</si>
  <si>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</si>
  <si>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</si>
  <si>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</si>
  <si>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</si>
  <si>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</si>
  <si>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</si>
  <si>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</si>
  <si>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</si>
  <si>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</si>
  <si>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</si>
  <si>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</si>
  <si>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</si>
  <si>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</si>
  <si>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</si>
  <si>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</si>
  <si>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</si>
  <si>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</si>
  <si>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</si>
  <si>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</si>
  <si>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</si>
  <si>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</si>
  <si>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</si>
  <si>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</si>
  <si>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</si>
  <si>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</si>
  <si>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</si>
  <si>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</si>
  <si>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</si>
  <si>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</si>
  <si>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</si>
  <si>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</si>
  <si>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</si>
  <si>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</si>
  <si>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</si>
  <si>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</si>
  <si>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</si>
  <si>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</si>
  <si>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</si>
  <si>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</si>
  <si>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</si>
  <si>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</si>
  <si>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</si>
  <si>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</si>
  <si>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</si>
  <si>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</si>
  <si>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</si>
  <si>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</si>
  <si>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</si>
  <si>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</si>
  <si>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</si>
  <si>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</si>
  <si>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</si>
  <si>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</si>
  <si>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</si>
  <si>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</si>
  <si>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</si>
  <si>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</si>
  <si>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</si>
  <si>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</si>
  <si>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</si>
  <si>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</si>
  <si>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</si>
  <si>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</si>
  <si>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</si>
  <si>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</si>
  <si>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</si>
  <si>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</si>
  <si>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</si>
  <si>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</si>
  <si>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</si>
  <si>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</si>
  <si>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</si>
  <si>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</si>
  <si>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</si>
  <si>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</si>
  <si>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</si>
  <si>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</si>
  <si>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</si>
  <si>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</si>
  <si>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</si>
  <si>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</si>
  <si>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</si>
  <si>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</si>
  <si>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</si>
  <si>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</si>
  <si>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</si>
  <si>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</si>
  <si>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</si>
  <si>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</si>
  <si>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</si>
  <si>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</si>
  <si>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</si>
  <si>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</si>
  <si>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</si>
  <si>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</si>
  <si>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</si>
  <si>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</si>
  <si>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</si>
  <si>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</si>
  <si>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</si>
  <si>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</si>
  <si>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</si>
  <si>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</si>
  <si>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</si>
  <si>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</si>
  <si>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</si>
  <si>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</si>
  <si>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</si>
  <si>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</si>
  <si>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</si>
  <si>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</si>
  <si>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</si>
  <si>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</si>
  <si>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</si>
  <si>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</si>
  <si>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</si>
  <si>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</si>
  <si>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</si>
  <si>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</si>
  <si>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</si>
  <si>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</si>
  <si>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</si>
  <si>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</si>
  <si>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</si>
  <si>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</si>
  <si>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</si>
  <si>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</si>
  <si>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</si>
  <si>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</si>
  <si>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</si>
  <si>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</si>
  <si>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</si>
  <si>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</si>
  <si>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</si>
  <si>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</si>
  <si>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</si>
  <si>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</si>
  <si>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</si>
  <si>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</si>
  <si>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</si>
  <si>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</si>
  <si>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</si>
  <si>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</si>
  <si>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</si>
  <si>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</si>
  <si>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</si>
  <si>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</si>
  <si>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</si>
  <si>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</si>
  <si>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</si>
  <si>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</si>
  <si>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</si>
  <si>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</si>
  <si>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</si>
  <si>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</si>
  <si>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</si>
  <si>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</si>
  <si>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</si>
  <si>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</si>
  <si>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</si>
  <si>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</si>
  <si>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</si>
  <si>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</si>
  <si>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</si>
  <si>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</si>
  <si>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</si>
  <si>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</si>
  <si>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</si>
  <si>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</si>
  <si>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</si>
  <si>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</si>
  <si>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</si>
  <si>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</si>
  <si>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</si>
  <si>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</si>
  <si>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</si>
  <si>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</si>
  <si>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</si>
  <si>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</si>
  <si>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</si>
  <si>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</si>
  <si>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</si>
  <si>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</si>
  <si>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</si>
  <si>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</si>
  <si>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</si>
  <si>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</si>
  <si>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</si>
  <si>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</si>
  <si>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</si>
  <si>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</si>
  <si>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</si>
  <si>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</si>
  <si>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</si>
  <si>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</si>
  <si>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</si>
  <si>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</si>
  <si>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</si>
  <si>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</si>
  <si>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</si>
  <si>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</si>
  <si>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</si>
  <si>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</si>
  <si>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</si>
  <si>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</si>
  <si>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</si>
  <si>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</si>
  <si>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</si>
  <si>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</si>
  <si>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</si>
  <si>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</si>
  <si>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</si>
  <si>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</si>
  <si>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</si>
  <si>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</si>
  <si>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</si>
  <si>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</si>
  <si>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</si>
  <si>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</si>
  <si>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</si>
  <si>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</si>
  <si>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</si>
  <si>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</si>
  <si>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</si>
  <si>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</si>
  <si>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</si>
  <si>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</si>
  <si>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</si>
  <si>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</si>
  <si>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</si>
  <si>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</si>
  <si>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</si>
  <si>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</si>
  <si>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</si>
  <si>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</si>
  <si>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</si>
  <si>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</si>
  <si>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</si>
  <si>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</si>
  <si>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</si>
  <si>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</si>
  <si>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</si>
  <si>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</si>
  <si>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</si>
  <si>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</si>
  <si>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</si>
  <si>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</si>
  <si>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</si>
  <si>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</si>
  <si>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</si>
  <si>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</si>
  <si>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</si>
  <si>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</si>
  <si>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</si>
  <si>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</si>
  <si>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</si>
  <si>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</si>
  <si>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</si>
  <si>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</si>
  <si>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</si>
  <si>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</si>
  <si>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</si>
  <si>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</si>
  <si>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</si>
  <si>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</si>
  <si>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</si>
  <si>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</si>
  <si>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</si>
  <si>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</si>
  <si>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</si>
  <si>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</si>
  <si>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</si>
  <si>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</si>
  <si>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</si>
  <si>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</si>
  <si>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</si>
  <si>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</si>
  <si>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</si>
  <si>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</si>
  <si>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</si>
  <si>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</si>
  <si>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</si>
  <si>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</si>
  <si>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</si>
  <si>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</si>
  <si>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</si>
  <si>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</si>
  <si>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</si>
  <si>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</si>
  <si>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</si>
  <si>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</si>
  <si>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</si>
  <si>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</si>
  <si>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</si>
  <si>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</si>
  <si>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</si>
  <si>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</si>
  <si>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</si>
  <si>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</si>
  <si>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</si>
  <si>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</si>
  <si>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</si>
  <si>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</si>
  <si>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</si>
  <si>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</si>
  <si>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</si>
  <si>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</si>
  <si>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</si>
  <si>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</si>
  <si>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</si>
  <si>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</si>
  <si>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</si>
  <si>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</si>
  <si>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</si>
  <si>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</si>
  <si>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</si>
  <si>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</si>
  <si>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</si>
  <si>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</si>
  <si>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</si>
  <si>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</si>
  <si>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</si>
  <si>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</si>
  <si>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</si>
  <si>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</si>
  <si>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</si>
  <si>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</si>
  <si>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</si>
  <si>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</si>
  <si>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</si>
  <si>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</si>
  <si>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</si>
  <si>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</si>
  <si>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</si>
  <si>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</si>
  <si>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</si>
  <si>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</si>
  <si>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</si>
  <si>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</si>
  <si>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</si>
  <si>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</si>
  <si>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</si>
  <si>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</si>
  <si>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</si>
  <si>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</si>
  <si>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</si>
  <si>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</si>
  <si>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</si>
  <si>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</si>
  <si>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</si>
  <si>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</si>
  <si>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</si>
  <si>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</si>
  <si>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</si>
  <si>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</si>
  <si>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</si>
  <si>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</si>
  <si>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</si>
  <si>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</si>
  <si>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</si>
  <si>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</si>
  <si>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</si>
  <si>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</si>
  <si>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</si>
  <si>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</si>
  <si>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</si>
  <si>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</si>
  <si>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</si>
  <si>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</si>
  <si>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</si>
  <si>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</si>
  <si>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</si>
  <si>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</si>
  <si>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</si>
  <si>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</si>
  <si>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</si>
  <si>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</si>
  <si>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</si>
  <si>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</si>
  <si>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</si>
  <si>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</si>
  <si>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</si>
  <si>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</si>
  <si>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</si>
  <si>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</si>
  <si>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</si>
  <si>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</si>
  <si>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</si>
  <si>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</si>
  <si>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</si>
  <si>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</si>
  <si>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</si>
  <si>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</si>
  <si>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</si>
  <si>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</si>
  <si>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</si>
  <si>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</si>
  <si>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</si>
  <si>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</si>
  <si>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</si>
  <si>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</si>
  <si>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</si>
  <si>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</si>
  <si>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</si>
  <si>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</si>
  <si>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</si>
  <si>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</si>
  <si>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</si>
  <si>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</si>
  <si>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</si>
  <si>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</si>
  <si>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</si>
  <si>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</si>
  <si>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</si>
  <si>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</si>
  <si>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</si>
  <si>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</si>
  <si>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</si>
  <si>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</si>
  <si>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</si>
  <si>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</si>
  <si>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</si>
  <si>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</si>
  <si>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</si>
  <si>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</si>
  <si>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</si>
  <si>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</si>
  <si>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</si>
  <si>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</si>
  <si>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</si>
  <si>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</si>
  <si>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</si>
  <si>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</si>
  <si>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</si>
  <si>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</si>
  <si>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</si>
  <si>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</si>
  <si>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</si>
  <si>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</si>
  <si>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</si>
  <si>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</si>
  <si>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</si>
  <si>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</si>
  <si>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</si>
  <si>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</si>
  <si>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</si>
  <si>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</si>
  <si>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</si>
  <si>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</si>
  <si>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</si>
  <si>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</si>
  <si>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</si>
  <si>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</si>
  <si>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</si>
  <si>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</si>
  <si>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</si>
  <si>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</si>
  <si>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</si>
  <si>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</si>
  <si>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</si>
  <si>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</si>
  <si>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</si>
  <si>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</si>
  <si>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</si>
  <si>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</si>
  <si>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</si>
  <si>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</si>
  <si>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</si>
  <si>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</si>
  <si>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</si>
  <si>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</si>
  <si>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</si>
  <si>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</si>
  <si>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</si>
  <si>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</si>
  <si>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</si>
  <si>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</si>
  <si>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</si>
  <si>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</si>
  <si>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</si>
  <si>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</si>
  <si>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</si>
  <si>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</si>
  <si>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</si>
  <si>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</si>
  <si>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</si>
  <si>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</si>
  <si>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</si>
  <si>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</si>
  <si>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</si>
  <si>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</si>
  <si>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</si>
  <si>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</si>
  <si>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</si>
  <si>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</si>
  <si>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</si>
  <si>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</si>
  <si>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</si>
  <si>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</si>
  <si>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</si>
  <si>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</si>
  <si>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</si>
  <si>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</si>
  <si>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</si>
  <si>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</si>
  <si>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</si>
  <si>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</si>
  <si>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</si>
  <si>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</si>
  <si>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</si>
  <si>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</si>
  <si>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</si>
  <si>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</si>
  <si>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</si>
  <si>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</si>
  <si>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</si>
  <si>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</si>
  <si>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</si>
  <si>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</si>
  <si>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</si>
  <si>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</si>
  <si>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</si>
  <si>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</si>
  <si>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</si>
  <si>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</si>
  <si>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</si>
  <si>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</si>
  <si>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</si>
  <si>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</si>
  <si>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</si>
  <si>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</si>
  <si>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</si>
  <si>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</si>
  <si>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</si>
  <si>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</si>
  <si>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</si>
  <si>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</si>
  <si>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</si>
  <si>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</si>
  <si>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</si>
  <si>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</si>
  <si>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</si>
  <si>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</si>
  <si>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</si>
  <si>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</si>
  <si>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</si>
  <si>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</si>
  <si>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</si>
  <si>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</si>
  <si>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</si>
  <si>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</si>
  <si>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</si>
  <si>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</si>
  <si>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</si>
  <si>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</si>
  <si>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</si>
  <si>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</si>
  <si>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</si>
  <si>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</si>
  <si>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</si>
  <si>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</si>
  <si>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</si>
  <si>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</si>
  <si>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</si>
  <si>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</si>
  <si>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</si>
  <si>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</si>
  <si>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</si>
  <si>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</si>
  <si>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</si>
  <si>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</si>
  <si>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</si>
  <si>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</si>
  <si>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</si>
  <si>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</si>
  <si>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</si>
  <si>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</si>
  <si>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</si>
  <si>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</si>
  <si>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</si>
  <si>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</si>
  <si>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</si>
  <si>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</si>
  <si>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</si>
  <si>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</si>
  <si>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</si>
  <si>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</si>
  <si>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</si>
  <si>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</si>
  <si>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</si>
  <si>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</si>
  <si>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</si>
  <si>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</si>
  <si>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</si>
  <si>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</si>
  <si>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</si>
  <si>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</si>
  <si>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</si>
  <si>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</si>
  <si>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</si>
  <si>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</si>
  <si>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</si>
  <si>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</si>
  <si>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</si>
  <si>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</si>
  <si>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</si>
  <si>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</si>
  <si>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</si>
  <si>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</si>
  <si>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</si>
  <si>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</si>
  <si>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</si>
  <si>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</si>
  <si>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</si>
  <si>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</si>
  <si>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</si>
  <si>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</si>
  <si>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</si>
  <si>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</si>
  <si>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</si>
  <si>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</si>
  <si>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</si>
  <si>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</si>
  <si>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</si>
  <si>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</si>
  <si>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</si>
  <si>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</si>
  <si>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</si>
  <si>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</si>
  <si>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</si>
  <si>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</si>
  <si>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</si>
  <si>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</si>
  <si>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</si>
  <si>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</si>
  <si>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</si>
  <si>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</si>
  <si>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</si>
  <si>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</si>
  <si>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</si>
  <si>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</si>
  <si>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</si>
  <si>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</si>
  <si>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</si>
  <si>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</si>
  <si>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</si>
  <si>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</si>
  <si>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</si>
  <si>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</si>
  <si>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</si>
  <si>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</si>
  <si>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</si>
  <si>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</si>
  <si>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</si>
  <si>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</si>
  <si>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</si>
  <si>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</si>
  <si>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</si>
  <si>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</si>
  <si>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</si>
  <si>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</si>
  <si>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</si>
  <si>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</si>
  <si>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</si>
  <si>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</si>
  <si>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</si>
  <si>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</si>
  <si>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</si>
  <si>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</si>
  <si>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</si>
  <si>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</si>
  <si>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</si>
  <si>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</si>
  <si>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</si>
  <si>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</si>
  <si>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</si>
  <si>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</si>
  <si>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</si>
  <si>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</si>
  <si>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</si>
  <si>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</si>
  <si>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</si>
  <si>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</si>
  <si>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</si>
  <si>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</si>
  <si>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</si>
  <si>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</si>
  <si>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</si>
  <si>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</si>
  <si>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</si>
  <si>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</si>
  <si>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</si>
  <si>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</si>
  <si>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</si>
  <si>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</si>
  <si>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</si>
  <si>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</si>
  <si>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</si>
  <si>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</si>
  <si>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</si>
  <si>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</si>
  <si>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</si>
  <si>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</si>
  <si>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</si>
  <si>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</si>
  <si>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</si>
  <si>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</si>
  <si>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</si>
  <si>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</si>
  <si>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</si>
  <si>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</si>
  <si>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</si>
  <si>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</si>
  <si>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</si>
  <si>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</si>
  <si>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</si>
  <si>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</si>
  <si>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</si>
  <si>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</si>
  <si>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</si>
  <si>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</si>
  <si>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</si>
  <si>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</si>
  <si>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</si>
  <si>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</si>
  <si>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</si>
  <si>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</si>
  <si>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</si>
  <si>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</si>
  <si>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</si>
  <si>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</si>
  <si>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</si>
  <si>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</si>
  <si>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</si>
  <si>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</si>
  <si>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</si>
  <si>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</si>
  <si>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</si>
  <si>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</si>
  <si>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</si>
  <si>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</si>
  <si>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</si>
  <si>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</si>
  <si>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</si>
  <si>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</si>
  <si>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</si>
  <si>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</si>
  <si>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</si>
  <si>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</si>
  <si>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</si>
  <si>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</si>
  <si>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</si>
  <si>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</si>
  <si>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</si>
  <si>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</si>
  <si>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</si>
  <si>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</si>
  <si>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</si>
  <si>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</si>
  <si>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</si>
  <si>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</si>
  <si>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</si>
  <si>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</si>
  <si>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</si>
  <si>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</si>
  <si>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</si>
  <si>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</si>
  <si>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</si>
  <si>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</si>
  <si>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</si>
  <si>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</si>
  <si>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</si>
  <si>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</si>
  <si>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</si>
  <si>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</si>
  <si>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</si>
  <si>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</si>
  <si>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</si>
  <si>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</si>
  <si>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</si>
  <si>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</si>
  <si>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</si>
  <si>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</si>
  <si>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</si>
  <si>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</si>
  <si>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</si>
  <si>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</si>
  <si>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</si>
  <si>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</si>
  <si>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</si>
  <si>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</si>
  <si>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</si>
  <si>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</si>
  <si>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</si>
  <si>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</si>
  <si>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</si>
  <si>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</si>
  <si>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</si>
  <si>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</si>
  <si>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</si>
  <si>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</si>
  <si>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</si>
  <si>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</si>
  <si>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</si>
  <si>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</si>
  <si>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</si>
  <si>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</si>
  <si>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</si>
  <si>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</si>
  <si>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</si>
  <si>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</si>
  <si>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</si>
  <si>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</si>
  <si>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</si>
  <si>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</si>
  <si>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</si>
  <si>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</si>
  <si>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</si>
  <si>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</si>
  <si>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</si>
  <si>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</si>
  <si>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</si>
  <si>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</si>
  <si>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</si>
  <si>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</si>
  <si>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</si>
  <si>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</si>
  <si>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</si>
  <si>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</si>
  <si>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</si>
  <si>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</si>
  <si>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</si>
  <si>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</si>
  <si>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</si>
  <si>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</si>
  <si>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</si>
  <si>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</si>
  <si>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</si>
  <si>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</si>
  <si>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</si>
  <si>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</si>
  <si>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</si>
  <si>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</si>
  <si>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</si>
  <si>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</si>
  <si>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</si>
  <si>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</si>
  <si>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</si>
  <si>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</si>
  <si>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</si>
  <si>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</si>
  <si>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</si>
  <si>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</si>
  <si>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</si>
  <si>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</si>
  <si>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</si>
  <si>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</si>
  <si>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</si>
  <si>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</si>
  <si>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</si>
  <si>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</si>
  <si>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</si>
  <si>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</si>
  <si>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</si>
  <si>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</si>
  <si>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</si>
  <si>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</si>
  <si>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</si>
  <si>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</si>
  <si>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</si>
  <si>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</si>
  <si>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</si>
  <si>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</si>
  <si>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</si>
  <si>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</si>
  <si>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</si>
  <si>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</si>
  <si>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</si>
  <si>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</si>
  <si>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</si>
  <si>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</si>
  <si>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</si>
  <si>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</si>
  <si>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</si>
  <si>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</si>
  <si>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</si>
  <si>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</si>
  <si>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</si>
  <si>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</si>
  <si>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</si>
  <si>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</si>
  <si>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</si>
  <si>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</si>
  <si>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</si>
  <si>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</si>
  <si>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</si>
  <si>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</si>
  <si>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</si>
  <si>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</si>
  <si>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</si>
  <si>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</si>
  <si>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</si>
  <si>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</si>
  <si>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</si>
  <si>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</si>
  <si>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</si>
  <si>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</si>
  <si>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</si>
  <si>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</si>
  <si>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</si>
  <si>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</si>
  <si>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</si>
  <si>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</si>
  <si>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</si>
  <si>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</si>
  <si>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</si>
  <si>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</si>
  <si>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</si>
  <si>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</si>
  <si>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</si>
  <si>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</si>
  <si>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</si>
  <si>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</si>
  <si>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</si>
  <si>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</si>
  <si>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</si>
  <si>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</si>
  <si>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</si>
  <si>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</si>
  <si>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</si>
  <si>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</si>
  <si>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</si>
  <si>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</si>
  <si>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</si>
  <si>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</si>
  <si>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</si>
  <si>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</si>
  <si>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</si>
  <si>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</si>
  <si>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</si>
  <si>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</si>
  <si>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</si>
  <si>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</si>
  <si>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</si>
  <si>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</si>
  <si>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</si>
  <si>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</si>
  <si>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</si>
  <si>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</si>
  <si>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</si>
  <si>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</si>
  <si>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</si>
  <si>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</si>
  <si>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</si>
  <si>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</si>
  <si>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</si>
  <si>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</si>
  <si>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</si>
  <si>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</si>
  <si>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</si>
  <si>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</si>
  <si>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</si>
  <si>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</si>
  <si>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</si>
  <si>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</si>
  <si>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</si>
  <si>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</si>
  <si>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</si>
  <si>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</si>
  <si>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</si>
  <si>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</si>
  <si>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</si>
  <si>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</si>
  <si>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</si>
  <si>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</si>
  <si>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</si>
  <si>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</si>
  <si>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</si>
  <si>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</si>
  <si>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</si>
  <si>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</si>
  <si>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</si>
  <si>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</si>
  <si>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</si>
  <si>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</si>
  <si>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</si>
  <si>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</si>
  <si>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</si>
  <si>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</si>
  <si>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</si>
  <si>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</si>
  <si>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</si>
  <si>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</si>
  <si>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</si>
  <si>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</si>
  <si>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</si>
  <si>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</si>
  <si>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</si>
  <si>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</si>
  <si>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</si>
  <si>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</si>
  <si>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</si>
  <si>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</si>
  <si>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</si>
  <si>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</si>
  <si>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</si>
  <si>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</si>
  <si>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</si>
  <si>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</si>
  <si>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</si>
  <si>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</si>
  <si>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</si>
  <si>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</si>
  <si>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</si>
  <si>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</si>
  <si>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</si>
  <si>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</si>
  <si>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</si>
  <si>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</si>
  <si>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</si>
  <si>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</si>
  <si>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</si>
  <si>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</si>
  <si>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</si>
  <si>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</si>
  <si>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</si>
  <si>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</si>
  <si>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</si>
  <si>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</si>
  <si>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</si>
  <si>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</si>
  <si>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</si>
  <si>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</si>
  <si>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</si>
  <si>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</si>
  <si>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</si>
  <si>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</si>
  <si>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</si>
  <si>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</si>
  <si>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</si>
  <si>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</si>
  <si>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</si>
  <si>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</si>
  <si>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</si>
  <si>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</si>
  <si>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</si>
  <si>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</si>
  <si>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</si>
  <si>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</si>
  <si>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</si>
  <si>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</si>
  <si>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</si>
  <si>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</si>
  <si>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</si>
  <si>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</si>
  <si>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</si>
  <si>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</si>
  <si>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</si>
  <si>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</si>
  <si>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</si>
  <si>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</si>
  <si>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</si>
  <si>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</si>
  <si>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</si>
  <si>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</si>
  <si>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</si>
  <si>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</si>
  <si>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</si>
  <si>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</si>
  <si>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</si>
  <si>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</si>
  <si>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</si>
  <si>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</si>
  <si>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</si>
  <si>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</si>
  <si>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</si>
  <si>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</si>
  <si>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</si>
  <si>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</si>
  <si>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</si>
  <si>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</si>
  <si>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</si>
  <si>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</si>
  <si>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</si>
  <si>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</si>
  <si>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</si>
  <si>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</si>
  <si>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</si>
  <si>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</si>
  <si>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</si>
  <si>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</si>
  <si>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</si>
  <si>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</si>
  <si>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</si>
  <si>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</si>
  <si>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</si>
  <si>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</si>
  <si>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</si>
  <si>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</si>
  <si>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</si>
  <si>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</si>
  <si>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</si>
  <si>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</si>
  <si>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</si>
  <si>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</si>
  <si>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</si>
  <si>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</si>
  <si>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</si>
  <si>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</si>
  <si>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</si>
  <si>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</si>
  <si>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</si>
  <si>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</si>
  <si>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</si>
  <si>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</si>
  <si>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</si>
  <si>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</si>
  <si>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</si>
  <si>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</si>
  <si>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</si>
  <si>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</si>
  <si>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</si>
  <si>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</si>
  <si>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</si>
  <si>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</si>
  <si>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</si>
  <si>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</si>
  <si>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</si>
  <si>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</si>
  <si>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</si>
  <si>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</si>
  <si>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</si>
  <si>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</si>
  <si>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</si>
  <si>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</si>
  <si>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</si>
  <si>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</si>
  <si>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</si>
  <si>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</si>
  <si>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</si>
  <si>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</si>
  <si>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</si>
  <si>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</si>
  <si>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</si>
  <si>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</si>
  <si>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</si>
  <si>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</si>
  <si>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</si>
  <si>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</si>
  <si>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</si>
  <si>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</si>
  <si>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</si>
  <si>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</si>
  <si>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</si>
  <si>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</si>
  <si>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</si>
  <si>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</si>
  <si>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</si>
  <si>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</si>
  <si>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</si>
  <si>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</si>
  <si>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</si>
  <si>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</si>
  <si>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</si>
  <si>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</si>
  <si>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</si>
  <si>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</si>
  <si>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</si>
  <si>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</si>
  <si>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</si>
  <si>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</si>
  <si>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</si>
  <si>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</si>
  <si>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</si>
  <si>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</si>
  <si>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</si>
  <si>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</si>
  <si>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</si>
  <si>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</si>
  <si>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</si>
  <si>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</si>
  <si>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</si>
  <si>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</si>
  <si>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</si>
  <si>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</si>
  <si>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</si>
  <si>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</si>
  <si>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</si>
  <si>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</si>
  <si>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</si>
  <si>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</si>
  <si>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</si>
  <si>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</si>
  <si>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</si>
  <si>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</si>
  <si>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</si>
  <si>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</si>
  <si>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</si>
  <si>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</si>
  <si>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</si>
  <si>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</si>
  <si>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</si>
  <si>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</si>
  <si>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</si>
  <si>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</si>
  <si>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</si>
  <si>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</si>
  <si>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</si>
  <si>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</si>
  <si>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</si>
  <si>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</si>
  <si>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</si>
  <si>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</si>
  <si>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</si>
  <si>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</si>
  <si>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</si>
  <si>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</si>
  <si>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</si>
  <si>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</si>
  <si>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</si>
  <si>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</si>
  <si>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</si>
  <si>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</si>
  <si>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</si>
  <si>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</si>
  <si>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</si>
  <si>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</si>
  <si>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</si>
  <si>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</si>
  <si>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</si>
  <si>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</si>
  <si>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</si>
  <si>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</si>
  <si>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</si>
  <si>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</si>
  <si>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</si>
  <si>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</si>
  <si>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</si>
  <si>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</si>
  <si>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</si>
  <si>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</si>
  <si>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</si>
  <si>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</si>
  <si>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</si>
  <si>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</si>
  <si>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</si>
  <si>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</si>
  <si>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</si>
  <si>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</si>
  <si>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</si>
  <si>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</si>
  <si>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</si>
  <si>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</si>
  <si>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</si>
  <si>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</si>
  <si>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</si>
  <si>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</si>
  <si>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</si>
  <si>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</si>
  <si>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</si>
  <si>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</si>
  <si>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</si>
  <si>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</si>
  <si>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</si>
  <si>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</si>
  <si>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</si>
  <si>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</si>
  <si>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</si>
  <si>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</si>
  <si>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</si>
  <si>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</si>
  <si>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</si>
  <si>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</si>
  <si>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</si>
  <si>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</si>
  <si>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</si>
  <si>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</si>
  <si>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</si>
  <si>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</si>
  <si>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</si>
  <si>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</si>
  <si>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</si>
  <si>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</si>
  <si>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</si>
  <si>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</si>
  <si>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</si>
  <si>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</si>
  <si>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</si>
  <si>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</si>
  <si>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</si>
  <si>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</si>
  <si>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</si>
  <si>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</si>
  <si>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</si>
  <si>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</si>
  <si>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</si>
  <si>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</si>
  <si>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</si>
  <si>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</si>
  <si>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</si>
  <si>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</si>
  <si>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</si>
  <si>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</si>
  <si>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</si>
  <si>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</si>
  <si>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</si>
  <si>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</si>
  <si>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</si>
  <si>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</si>
  <si>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</si>
  <si>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</si>
  <si>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</si>
  <si>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</si>
  <si>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</si>
  <si>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</si>
  <si>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</si>
  <si>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</si>
  <si>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</si>
  <si>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</si>
  <si>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</si>
  <si>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</si>
  <si>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</si>
  <si>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</si>
  <si>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</si>
  <si>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</si>
  <si>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</si>
  <si>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</si>
  <si>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</si>
  <si>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</si>
  <si>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</si>
  <si>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</si>
  <si>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</si>
  <si>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</si>
  <si>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</si>
  <si>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</si>
  <si>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</si>
  <si>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</si>
  <si>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</si>
  <si>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</si>
  <si>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</si>
  <si>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</si>
  <si>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</si>
  <si>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</si>
  <si>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</si>
  <si>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</si>
  <si>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</si>
  <si>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</si>
  <si>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</si>
  <si>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</si>
  <si>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</si>
  <si>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</si>
  <si>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</si>
  <si>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</si>
  <si>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</si>
  <si>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</si>
  <si>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</si>
  <si>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</si>
  <si>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</si>
  <si>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</si>
  <si>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</si>
  <si>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</si>
  <si>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</si>
  <si>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</si>
  <si>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</si>
  <si>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</si>
  <si>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</si>
  <si>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</si>
  <si>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</si>
  <si>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</si>
  <si>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</si>
  <si>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</si>
  <si>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</si>
  <si>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</si>
  <si>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</si>
  <si>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</si>
  <si>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</si>
  <si>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</si>
  <si>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</si>
  <si>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</si>
  <si>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</si>
  <si>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</si>
  <si>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</si>
  <si>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</si>
  <si>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</si>
  <si>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</si>
  <si>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</si>
  <si>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</si>
  <si>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</si>
  <si>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</si>
  <si>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</si>
  <si>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</si>
  <si>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</si>
  <si>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</si>
  <si>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</si>
  <si>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</si>
  <si>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</si>
  <si>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</si>
  <si>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</si>
  <si>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</si>
  <si>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</si>
  <si>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</si>
  <si>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</si>
  <si>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</si>
  <si>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</si>
  <si>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</si>
  <si>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</si>
  <si>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</si>
  <si>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</si>
  <si>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</si>
  <si>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</si>
  <si>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</si>
  <si>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</si>
  <si>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</si>
  <si>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</si>
  <si>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</si>
  <si>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</si>
  <si>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</si>
  <si>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</si>
  <si>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</si>
  <si>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</si>
  <si>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</si>
  <si>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</si>
  <si>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</si>
  <si>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</si>
  <si>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</si>
  <si>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</si>
  <si>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</si>
  <si>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</si>
  <si>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</si>
  <si>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</si>
  <si>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</si>
  <si>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</si>
  <si>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</si>
  <si>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</si>
  <si>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</si>
  <si>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</si>
  <si>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</si>
  <si>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</si>
  <si>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</si>
  <si>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</si>
  <si>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</si>
  <si>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</si>
  <si>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</si>
  <si>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</si>
  <si>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</si>
  <si>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</si>
  <si>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</si>
  <si>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</si>
  <si>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</si>
  <si>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</si>
  <si>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</si>
  <si>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</si>
  <si>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</si>
  <si>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</si>
  <si>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</si>
  <si>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</si>
  <si>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</si>
  <si>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</si>
  <si>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</si>
  <si>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</si>
  <si>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</si>
  <si>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</si>
  <si>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</si>
  <si>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</si>
  <si>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</si>
  <si>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</si>
  <si>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</si>
  <si>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</si>
  <si>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</si>
  <si>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</si>
  <si>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</si>
  <si>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</si>
  <si>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</si>
  <si>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</si>
  <si>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</si>
  <si>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</si>
  <si>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</si>
  <si>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</si>
  <si>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</si>
  <si>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</si>
  <si>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</si>
  <si>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</si>
  <si>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</si>
  <si>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</si>
  <si>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</si>
  <si>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</si>
  <si>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</si>
  <si>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</si>
  <si>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</si>
  <si>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</si>
  <si>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</si>
  <si>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</si>
  <si>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</si>
  <si>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</si>
  <si>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</si>
  <si>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</si>
  <si>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</si>
  <si>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</si>
  <si>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</si>
  <si>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</si>
  <si>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</si>
  <si>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</si>
  <si>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</si>
  <si>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</si>
  <si>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</si>
  <si>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</si>
  <si>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</si>
  <si>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</si>
  <si>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</si>
  <si>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</si>
  <si>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</si>
  <si>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</si>
  <si>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</si>
  <si>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</si>
  <si>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</si>
  <si>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</si>
  <si>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</si>
  <si>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</si>
  <si>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</si>
  <si>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</si>
  <si>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</si>
  <si>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</si>
  <si>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</si>
  <si>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</si>
  <si>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</si>
  <si>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</si>
  <si>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</si>
  <si>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</si>
  <si>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</si>
  <si>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</si>
  <si>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</si>
  <si>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</si>
  <si>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</si>
  <si>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</si>
  <si>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</si>
  <si>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</si>
  <si>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</si>
  <si>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</si>
  <si>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</si>
  <si>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</si>
  <si>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</si>
  <si>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</si>
  <si>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</si>
  <si>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</si>
  <si>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</si>
  <si>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</si>
  <si>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</si>
  <si>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</si>
  <si>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</si>
  <si>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</si>
  <si>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</si>
  <si>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</si>
  <si>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</si>
  <si>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</si>
  <si>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</si>
  <si>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</si>
  <si>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</si>
  <si>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</si>
  <si>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</si>
  <si>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</si>
  <si>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</si>
  <si>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</si>
  <si>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</si>
  <si>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</si>
  <si>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</si>
  <si>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</si>
  <si>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</si>
  <si>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</si>
  <si>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</si>
  <si>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</si>
  <si>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</si>
  <si>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</si>
  <si>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</si>
  <si>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</si>
  <si>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</si>
  <si>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</si>
  <si>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</si>
  <si>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</si>
  <si>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</si>
  <si>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</si>
  <si>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</si>
  <si>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</si>
  <si>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</si>
  <si>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</si>
  <si>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</si>
  <si>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</si>
  <si>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</si>
  <si>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</si>
  <si>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</si>
  <si>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</si>
  <si>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</si>
  <si>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</si>
  <si>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</si>
  <si>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</si>
  <si>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</si>
  <si>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</si>
  <si>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</si>
  <si>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</si>
  <si>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</si>
  <si>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</si>
  <si>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</si>
  <si>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</si>
  <si>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</si>
  <si>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</si>
  <si>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</si>
  <si>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</si>
  <si>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</si>
  <si>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</si>
  <si>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</si>
  <si>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</si>
  <si>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</si>
  <si>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</si>
  <si>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</si>
  <si>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</si>
  <si>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</si>
  <si>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</si>
  <si>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</si>
  <si>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</si>
  <si>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</si>
  <si>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</si>
  <si>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</si>
  <si>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</si>
  <si>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</si>
  <si>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</si>
  <si>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</si>
  <si>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</si>
  <si>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</si>
  <si>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</si>
  <si>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</si>
  <si>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</si>
  <si>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</si>
  <si>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</si>
  <si>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</si>
  <si>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</si>
  <si>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</si>
  <si>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</si>
  <si>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</si>
  <si>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</si>
  <si>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</si>
  <si>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</si>
  <si>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</si>
  <si>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</si>
  <si>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</si>
  <si>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</si>
  <si>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</si>
  <si>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</si>
  <si>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</si>
  <si>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</si>
  <si>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</si>
  <si>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</si>
  <si>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</si>
  <si>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</si>
  <si>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</si>
  <si>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</si>
  <si>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</si>
  <si>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</si>
  <si>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</si>
  <si>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</si>
  <si>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</si>
  <si>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</si>
  <si>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</si>
  <si>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</si>
  <si>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</si>
  <si>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</si>
  <si>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</si>
  <si>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</si>
  <si>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</si>
  <si>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</si>
  <si>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</si>
  <si>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</si>
  <si>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</si>
  <si>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</si>
  <si>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</si>
  <si>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</si>
  <si>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</si>
  <si>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</si>
  <si>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</si>
  <si>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</si>
  <si>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</si>
  <si>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</si>
  <si>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</si>
  <si>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</si>
  <si>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</si>
  <si>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</si>
  <si>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</si>
  <si>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</si>
  <si>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</si>
  <si>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</si>
  <si>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</si>
  <si>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</si>
  <si>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</si>
  <si>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</si>
  <si>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</si>
  <si>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</si>
  <si>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</si>
  <si>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</si>
  <si>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</si>
  <si>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</si>
  <si>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</si>
  <si>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</si>
  <si>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</si>
  <si>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</si>
  <si>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</si>
  <si>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</si>
  <si>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</si>
  <si>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</si>
  <si>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</si>
  <si>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</si>
  <si>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</si>
  <si>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</si>
  <si>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</si>
  <si>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</si>
  <si>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</si>
  <si>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</si>
  <si>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</si>
  <si>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</si>
  <si>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</si>
  <si>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</si>
  <si>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</si>
  <si>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</si>
  <si>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</si>
  <si>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</si>
  <si>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</si>
  <si>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</si>
  <si>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</si>
  <si>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</si>
  <si>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</si>
  <si>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</si>
  <si>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</si>
  <si>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</si>
  <si>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</si>
  <si>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</si>
  <si>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</si>
  <si>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</si>
  <si>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</si>
  <si>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</si>
  <si>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</si>
  <si>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</si>
  <si>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</si>
  <si>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</si>
  <si>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</si>
  <si>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</si>
  <si>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</si>
  <si>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</si>
  <si>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</si>
  <si>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</si>
  <si>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</si>
  <si>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</si>
  <si>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</si>
  <si>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</si>
  <si>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</si>
  <si>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</si>
  <si>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</si>
  <si>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</si>
  <si>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</si>
  <si>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</si>
  <si>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</si>
  <si>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</si>
  <si>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</si>
  <si>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</si>
  <si>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</si>
  <si>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</si>
  <si>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</si>
  <si>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</si>
  <si>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</si>
  <si>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</si>
  <si>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</si>
  <si>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</si>
  <si>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</si>
  <si>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</si>
  <si>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</si>
  <si>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</si>
  <si>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</si>
  <si>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</si>
  <si>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</si>
  <si>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</si>
  <si>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</si>
  <si>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</si>
  <si>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</si>
  <si>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</si>
  <si>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</si>
  <si>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</si>
  <si>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</si>
  <si>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</si>
  <si>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</si>
  <si>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</si>
  <si>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</si>
  <si>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</si>
  <si>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</si>
  <si>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</si>
  <si>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</si>
  <si>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</si>
  <si>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</si>
  <si>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</si>
  <si>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</si>
  <si>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</si>
  <si>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</si>
  <si>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</si>
  <si>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</si>
  <si>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</si>
  <si>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</si>
  <si>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</si>
  <si>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</si>
  <si>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</si>
  <si>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</si>
  <si>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</si>
  <si>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</si>
  <si>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</si>
  <si>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</si>
  <si>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</si>
  <si>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</si>
  <si>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</si>
  <si>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</si>
  <si>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</si>
  <si>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</si>
  <si>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</si>
  <si>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</si>
  <si>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</si>
  <si>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</si>
  <si>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</si>
  <si>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</si>
  <si>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</si>
  <si>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</si>
  <si>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</si>
  <si>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</si>
  <si>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</si>
  <si>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</si>
  <si>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</si>
  <si>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</si>
  <si>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</si>
  <si>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</si>
  <si>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</si>
  <si>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</si>
  <si>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</si>
  <si>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</si>
  <si>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</si>
  <si>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</si>
  <si>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</si>
  <si>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</si>
  <si>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</si>
  <si>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</si>
  <si>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</si>
  <si>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</si>
  <si>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</si>
  <si>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</si>
  <si>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</si>
  <si>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</si>
  <si>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</si>
  <si>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</si>
  <si>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</si>
  <si>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</si>
  <si>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</si>
  <si>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</si>
  <si>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</si>
  <si>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</si>
  <si>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</si>
  <si>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</si>
  <si>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</si>
  <si>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</si>
  <si>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</si>
  <si>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</si>
  <si>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</si>
  <si>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</si>
  <si>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</si>
  <si>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</si>
  <si>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</si>
  <si>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</si>
  <si>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</si>
  <si>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</si>
  <si>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</si>
  <si>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</si>
  <si>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</si>
  <si>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</si>
  <si>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</si>
  <si>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</si>
  <si>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</si>
  <si>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</si>
  <si>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</si>
  <si>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</si>
  <si>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</si>
  <si>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</si>
  <si>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</si>
  <si>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</si>
  <si>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</si>
  <si>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</si>
  <si>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</si>
  <si>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</si>
  <si>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</si>
  <si>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</si>
  <si>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</si>
  <si>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</si>
  <si>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</si>
  <si>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</si>
  <si>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</si>
  <si>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</si>
  <si>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</si>
  <si>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</si>
  <si>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</si>
  <si>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</si>
  <si>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</si>
  <si>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</si>
  <si>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</si>
  <si>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</si>
  <si>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</si>
  <si>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</si>
  <si>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</si>
  <si>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</si>
  <si>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</si>
  <si>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</si>
  <si>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</si>
  <si>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</si>
  <si>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</si>
  <si>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</si>
  <si>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</si>
  <si>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</si>
  <si>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</si>
  <si>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</si>
  <si>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</si>
  <si>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</si>
  <si>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</si>
  <si>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</si>
  <si>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</si>
  <si>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</si>
  <si>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</si>
  <si>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</si>
  <si>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</si>
  <si>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</si>
  <si>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</si>
  <si>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</si>
  <si>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</si>
  <si>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</si>
  <si>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</si>
  <si>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</si>
  <si>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</si>
  <si>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</si>
  <si>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</si>
  <si>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</si>
  <si>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</si>
  <si>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</si>
  <si>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</si>
  <si>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</si>
  <si>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</si>
  <si>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</si>
  <si>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</si>
  <si>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</si>
  <si>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</si>
  <si>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</si>
  <si>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</si>
  <si>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</si>
  <si>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</si>
  <si>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</si>
  <si>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</si>
  <si>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</si>
  <si>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</si>
  <si>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</si>
  <si>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</si>
  <si>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</si>
  <si>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</si>
  <si>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</si>
  <si>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</si>
  <si>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</si>
  <si>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</si>
  <si>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</si>
  <si>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</si>
  <si>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</si>
  <si>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</si>
  <si>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</si>
  <si>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</si>
  <si>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</si>
  <si>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</si>
  <si>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</si>
  <si>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</si>
  <si>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</si>
  <si>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</si>
  <si>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</si>
  <si>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</si>
  <si>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</si>
  <si>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</si>
  <si>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</si>
  <si>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</si>
  <si>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</si>
  <si>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</si>
  <si>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</si>
  <si>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</si>
  <si>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</si>
  <si>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</si>
  <si>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</si>
  <si>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</si>
  <si>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</si>
  <si>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</si>
  <si>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</si>
  <si>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</si>
  <si>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</si>
  <si>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</si>
  <si>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</si>
  <si>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</si>
  <si>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</si>
  <si>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</si>
  <si>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</si>
  <si>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</si>
  <si>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</si>
  <si>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</si>
  <si>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</si>
  <si>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</si>
  <si>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</si>
  <si>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</si>
  <si>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</si>
  <si>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</si>
  <si>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</si>
  <si>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</si>
  <si>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</si>
  <si>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</si>
  <si>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</si>
  <si>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</si>
  <si>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</si>
  <si>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</si>
  <si>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</si>
  <si>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</si>
  <si>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</si>
  <si>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</si>
  <si>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</si>
  <si>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</si>
  <si>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</si>
  <si>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</si>
  <si>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</si>
  <si>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</si>
  <si>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</si>
  <si>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</si>
  <si>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</si>
  <si>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</si>
  <si>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</si>
  <si>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</si>
  <si>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</si>
  <si>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</si>
  <si>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</si>
  <si>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</si>
  <si>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</si>
  <si>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</si>
  <si>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</si>
  <si>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</si>
  <si>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</si>
  <si>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</si>
  <si>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</si>
  <si>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</si>
  <si>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</si>
  <si>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KNOX</t>
  </si>
  <si>
    <t>809 EAST MAIN STREET</t>
  </si>
  <si>
    <t xml:space="preserve">KNOXVILLE </t>
  </si>
  <si>
    <t>swilder@bluebullets.org</t>
  </si>
  <si>
    <t>STEPHEN WILDER</t>
  </si>
  <si>
    <t>309-289-2328</t>
  </si>
  <si>
    <t>309-289-9614</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</si>
  <si>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</si>
  <si>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</si>
  <si>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</si>
  <si>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</si>
  <si>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</si>
  <si>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</si>
  <si>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</si>
  <si>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</si>
  <si>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</si>
  <si>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</si>
  <si>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</si>
  <si>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</si>
  <si>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</si>
  <si>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The District does not have an internal control system available or the personnel with the needed expertise and knowledge to prepare the financial statements.  The auditors draft the financial staatement and notes.  The district's management reviews the draft financial statements.</t>
  </si>
  <si>
    <t>Management or employees in the normal course of performing their assigned functions may not prevent or detect financial statement misstatments in a timely manner.</t>
  </si>
  <si>
    <t>The District has no one with the necessary experise to prepare the financial statements and footnotes.</t>
  </si>
  <si>
    <t>The District should retain an employee capable of preparing the financial statements and required footnotes.</t>
  </si>
  <si>
    <t>Due to the size of the District, it is the decision of management to accept this deficiency in light of the costs and other considerations.</t>
  </si>
  <si>
    <t>Duties of the school district personnel are to be segregrated to reduce the risk of fraud so that no one individual controls all key aspects of a transaction.  By doing this, the district ensures reliable financial reporting, effective, and efficient operations, and compliance with applicable laws and regulations.</t>
  </si>
  <si>
    <t>A member of the distirct's staff has substantial control over key aspects of the transactions and events within the internal control system.  Duties have been segregated as much as possible due to the size of the available staff.  The Superintentent and the Board of Education reviews accounting processes.</t>
  </si>
  <si>
    <t>The above condition is an ongoing issue for the school district.</t>
  </si>
  <si>
    <t>Transactions could be altered by District personnel in error or in an effort to commit fraud.</t>
  </si>
  <si>
    <t xml:space="preserve"> The number of personnel performing accounting functions limit the ability of the district to have adequate segregation of duties over accounting transactions.</t>
  </si>
  <si>
    <t xml:space="preserve"> This type of weakness is common among school districts of this size and number of employees.  The findings could be elminated by hiring additional staff and separating accounting duties.  However, this is not practical under current budget constraints.</t>
  </si>
  <si>
    <t>This is a ongoing issue that will be continually monitored through review of financial information by the Superintentent and the Board of Education including development of additional segregation of duties among existing staff.</t>
  </si>
  <si>
    <t>2019-001</t>
  </si>
  <si>
    <t xml:space="preserve">Preparation of Financial Statements </t>
  </si>
  <si>
    <t>and Footnotes</t>
  </si>
  <si>
    <t>Repeating Finding- Corrective action is not practical</t>
  </si>
  <si>
    <t>in the current circumstances.</t>
  </si>
  <si>
    <t>2019-002</t>
  </si>
  <si>
    <t>Lack of Segregation of Duties</t>
  </si>
  <si>
    <t>in the current ecomonic times.</t>
  </si>
  <si>
    <t>2011 G.O. Debt Certificates</t>
  </si>
  <si>
    <t>2012 G.O. Alternative Revenue Source</t>
  </si>
  <si>
    <t>2014 G.O. Alternative Revenue Source</t>
  </si>
  <si>
    <t>2017 G.O. Refunding School Bonds</t>
  </si>
  <si>
    <t>G.O. Debt Certificates</t>
  </si>
  <si>
    <t>G.O. Alternative Revenue Source</t>
  </si>
  <si>
    <t>This amount includes $7,370,000 of General Obligation Bonds (Alternative Revenue  Bonds) debt.  These bonds will not be repaid with levied tax monies and should  not be used in calculating the District's legal debt margin.  The debt will be paid off with County School Facility Occupation Tax proceeds, not levied tax monies.</t>
  </si>
  <si>
    <t>Constellation New Energy</t>
  </si>
  <si>
    <t>Western Area Purchasing</t>
  </si>
  <si>
    <t>Prairie State Insurance Cooperative</t>
  </si>
  <si>
    <t>Knox-Warren Special Education Cooperative</t>
  </si>
  <si>
    <t>Delabar / Carl Sandburg College</t>
  </si>
  <si>
    <t>Financial Statemtns are the responsibility of the client and should be prepared by them including footnotes.</t>
  </si>
  <si>
    <t>Per Illinois Compiled Statutes, school board members, and administrators must file an economic interest statement with the county clerk.</t>
  </si>
  <si>
    <t>For the year ending June 30, 2019, two individuals did not return the required economic interest statements with the Knox County Clerks office.</t>
  </si>
  <si>
    <t>District officials did not comply with State Statutes</t>
  </si>
  <si>
    <t>District is not incompliance with the Illinois Government Ethics Act.</t>
  </si>
  <si>
    <t>Not all required individuals returned the economic interest statements as needed.</t>
  </si>
  <si>
    <t>A policy should be established where the administration follows up and ensures that the Economic Interest Statements have been submitted to the county clerk's office.</t>
  </si>
  <si>
    <t>The District will implement a better monitoring system to ensure all the required economic interest statements have been submitted.</t>
  </si>
  <si>
    <t>Per Illinois Compiled Statutes, total fund expenditures may not legally exceed the District's budgeted amounts.</t>
  </si>
  <si>
    <t>For the year ending June 30, 2019 actual expenditures for the Education, Transportation, Municipal Retirement / Social Security and Tort funds exceeded the budget.</t>
  </si>
  <si>
    <t>The approved budget establishes the authorized expenditures limitation in each fund.</t>
  </si>
  <si>
    <t>Actual expenditures exceeded the budget in the above named funds.</t>
  </si>
  <si>
    <t>Actual  expenditures exceeded the budgeted abmount for the year.</t>
  </si>
  <si>
    <t>A closer review of expenditures needs to be maintained and reflected in the amended budget.</t>
  </si>
  <si>
    <t xml:space="preserve">The District will implement a better monitoring system between the budget and actual expenditures to ensure more oversight.  </t>
  </si>
  <si>
    <t>2019-004</t>
  </si>
  <si>
    <t>Expenditures in excess of Budget amounts</t>
  </si>
  <si>
    <t xml:space="preserve">Repeat Finding - Corrective action was implemented </t>
  </si>
  <si>
    <t xml:space="preserve">and is being followed.  </t>
  </si>
  <si>
    <t>None</t>
  </si>
  <si>
    <t>Education Fund</t>
  </si>
  <si>
    <t>Page 10- Acct # 1614 - $722 is Milk Receipts</t>
  </si>
  <si>
    <t xml:space="preserve">                  Acct # 1829 - $3030 is Receipts from sale of PE uniforms</t>
  </si>
  <si>
    <t>Page 11 - Acct #1999 - $ 781 is grant funds</t>
  </si>
  <si>
    <t xml:space="preserve">Page 11 - Acct #1999 - $ 1,181 is building rental, sale of scrap </t>
  </si>
  <si>
    <t xml:space="preserve">Page 11 - Acct #1999 - $ 34,567 is Rentals </t>
  </si>
  <si>
    <t>Page 11 - Acct #3299 - $ 21,027 is ag supply funding</t>
  </si>
  <si>
    <t>Page 14 - Acct #4999 - $ 3938 Healthcare and Family Services</t>
  </si>
  <si>
    <t>Page 15 - Acct #2190 - $ 1480 Salary for Crossing Guards</t>
  </si>
  <si>
    <t>Debt Service Fund</t>
  </si>
  <si>
    <t>Operations and Maintenance Fund</t>
  </si>
  <si>
    <t xml:space="preserve">Page 18 - Acct #5400 - $ 1500 is Service Charges </t>
  </si>
  <si>
    <t>Page 25 - Schedule of Restricted Local Tax Levies and Selected Revenue Sources</t>
  </si>
  <si>
    <t xml:space="preserve">Debt Service Other - $ 1500 is debt agent fees.  </t>
  </si>
  <si>
    <t>Knoxville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</si>
</sst>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0" fontId="56" fillId="0" borderId="78" xfId="0"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948D9AE9-4DE9-4260-B7FA-C94E15DEDE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123825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64DB5EEB-10AF-4CE8-9590-FE37B3D473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A7CEBBE-E440-4790-AEE9-DC6EFEF92B7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67C8DF1-D724-43ED-837F-74C0187B3FD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33048202026</v>
      </c>
      <c r="B13" s="2019"/>
      <c r="C13" s="2019"/>
      <c r="D13" s="2019"/>
      <c r="E13" s="2019"/>
      <c r="F13" s="2019"/>
      <c r="G13" s="2019"/>
      <c r="H13" s="2020"/>
      <c r="I13" s="31"/>
      <c r="J13" s="30"/>
      <c r="K13" s="28"/>
      <c r="L13" s="30"/>
      <c r="M13" s="30"/>
      <c r="N13" s="30"/>
      <c r="O13" s="30"/>
      <c r="P13" s="30"/>
      <c r="Q13" s="30"/>
      <c r="R13" s="30"/>
      <c r="S13" s="30"/>
      <c r="T13" s="2023" t="s">
        <v>2072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2073</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2151</v>
      </c>
      <c r="B17" s="1978"/>
      <c r="C17" s="1978"/>
      <c r="D17" s="1978"/>
      <c r="E17" s="1978"/>
      <c r="F17" s="1978"/>
      <c r="G17" s="1978"/>
      <c r="H17" s="2003"/>
      <c r="T17" s="2034" t="s">
        <v>2074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2075</v>
      </c>
      <c r="U19" s="1942"/>
      <c r="V19" s="1942"/>
      <c r="W19" s="1943"/>
      <c r="X19" s="2032" t="s">
        <v>2076</v>
      </c>
      <c r="Y19" s="2033"/>
      <c r="Z19" s="2030">
        <v>61401</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2077</v>
      </c>
      <c r="U21" s="2042"/>
      <c r="V21" s="2042"/>
      <c r="W21" s="2042"/>
      <c r="X21" s="2047" t="s">
        <v>2078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2068</v>
      </c>
      <c r="B23" s="1995"/>
      <c r="C23" s="1995"/>
      <c r="D23" s="1995"/>
      <c r="E23" s="1995"/>
      <c r="F23" s="1995"/>
      <c r="G23" s="1995"/>
      <c r="H23" s="1996"/>
      <c r="T23" s="1977" t="s">
        <v>2079</v>
      </c>
      <c r="U23" s="2040"/>
      <c r="V23" s="2040"/>
      <c r="W23" s="2040"/>
      <c r="X23" s="2044">
        <v>44469</v>
      </c>
      <c r="Y23" s="2045"/>
      <c r="Z23" s="2045"/>
      <c r="AA23" s="2046"/>
    </row>
    <row r="24" spans="1:27" ht="14.1" customHeight="1" x14ac:dyDescent="0.2">
      <c r="A24" s="88" t="s">
        <v>677</v>
      </c>
      <c r="B24" s="49"/>
      <c r="C24" s="49"/>
      <c r="D24" s="49"/>
      <c r="E24" s="49"/>
      <c r="F24" s="49"/>
      <c r="G24" s="49"/>
      <c r="H24" s="61"/>
      <c r="J24" s="1964" t="str">
        <f>IF(B5="x",IF(AUDITCHECK!D29="AFR form Incomplete.","",IF(AUDITCHECK!D29="Deficit reduction plan is required.","School District must complete a deficit reduction plan in the 2019-2020 Budget",)),"")</f>
        <v>School District must complete a deficit reduction plan in the 2019-2020 Budget</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61448</v>
      </c>
      <c r="B25" s="1942"/>
      <c r="C25" s="1942"/>
      <c r="D25" s="1942"/>
      <c r="E25" s="1942"/>
      <c r="F25" s="1942"/>
      <c r="G25" s="1942"/>
      <c r="H25" s="1943"/>
      <c r="I25" s="113"/>
      <c r="J25" s="1966"/>
      <c r="K25" s="1966"/>
      <c r="L25" s="1966"/>
      <c r="M25" s="1966"/>
      <c r="N25" s="1966"/>
      <c r="O25" s="1966"/>
      <c r="P25" s="1966"/>
      <c r="Q25" s="1966"/>
      <c r="R25" s="1966"/>
      <c r="S25" s="1967"/>
      <c r="T25" s="2037" t="s">
        <v>2080</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2069</v>
      </c>
      <c r="B38" s="1978"/>
      <c r="C38" s="1978"/>
      <c r="D38" s="1978"/>
      <c r="E38" s="1978"/>
      <c r="F38" s="1942"/>
      <c r="G38" s="1942"/>
      <c r="H38" s="1943"/>
      <c r="I38" s="1970"/>
      <c r="J38" s="1971"/>
      <c r="K38" s="1971"/>
      <c r="L38" s="1971"/>
      <c r="M38" s="1971"/>
      <c r="N38" s="1971"/>
      <c r="O38" s="1971"/>
      <c r="P38" s="1972"/>
      <c r="Q38" s="1972"/>
      <c r="R38" s="1972"/>
      <c r="S38" s="1973"/>
      <c r="T38" s="2027" t="s">
        <v>2081</v>
      </c>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2068</v>
      </c>
      <c r="B40" s="1956"/>
      <c r="C40" s="1957"/>
      <c r="D40" s="1957"/>
      <c r="E40" s="1957"/>
      <c r="F40" s="1958"/>
      <c r="G40" s="1958"/>
      <c r="H40" s="1959"/>
      <c r="I40" s="1980"/>
      <c r="J40" s="1981"/>
      <c r="K40" s="1981"/>
      <c r="L40" s="1981"/>
      <c r="M40" s="1981"/>
      <c r="N40" s="1981"/>
      <c r="O40" s="1981"/>
      <c r="P40" s="1981"/>
      <c r="Q40" s="1981"/>
      <c r="R40" s="1981"/>
      <c r="S40" s="1982"/>
      <c r="T40" s="1980" t="s">
        <v>2082</v>
      </c>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2070</v>
      </c>
      <c r="B42" s="1961"/>
      <c r="C42" s="1962"/>
      <c r="D42" s="1960" t="s">
        <v>2071</v>
      </c>
      <c r="E42" s="1961"/>
      <c r="F42" s="1961"/>
      <c r="G42" s="1961"/>
      <c r="H42" s="1962"/>
      <c r="I42" s="1944"/>
      <c r="J42" s="1945"/>
      <c r="K42" s="1945"/>
      <c r="L42" s="1945"/>
      <c r="M42" s="1945"/>
      <c r="N42" s="1945"/>
      <c r="O42" s="1946"/>
      <c r="P42" s="1979"/>
      <c r="Q42" s="1945"/>
      <c r="R42" s="1945"/>
      <c r="S42" s="1946"/>
      <c r="T42" s="1944" t="s">
        <v>2083</v>
      </c>
      <c r="U42" s="1945"/>
      <c r="V42" s="1945"/>
      <c r="W42" s="1946"/>
      <c r="X42" s="1979" t="s">
        <v>2084</v>
      </c>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sqref="A1: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1603467</v>
      </c>
      <c r="C4" s="1524">
        <v>284002</v>
      </c>
      <c r="D4" s="1752">
        <f>B4-C4</f>
        <v>1319465</v>
      </c>
      <c r="E4" s="1524">
        <v>3197061</v>
      </c>
      <c r="F4" s="1752">
        <f>E4-C4</f>
        <v>2913059</v>
      </c>
    </row>
    <row r="5" spans="1:6" ht="13.7" customHeight="1" x14ac:dyDescent="0.2">
      <c r="A5" s="715" t="s">
        <v>870</v>
      </c>
      <c r="B5" s="1750">
        <f>'Revenues 9-14'!D5</f>
        <v>276461</v>
      </c>
      <c r="C5" s="585">
        <v>48966</v>
      </c>
      <c r="D5" s="1753">
        <f t="shared" ref="D5:D18" si="0">B5-C5</f>
        <v>227495</v>
      </c>
      <c r="E5" s="585">
        <v>551217</v>
      </c>
      <c r="F5" s="1753">
        <f>E5-C5</f>
        <v>502251</v>
      </c>
    </row>
    <row r="6" spans="1:6" ht="13.7" customHeight="1" x14ac:dyDescent="0.2">
      <c r="A6" s="715" t="s">
        <v>411</v>
      </c>
      <c r="B6" s="1750">
        <f>'Revenues 9-14'!E5</f>
        <v>203870</v>
      </c>
      <c r="C6" s="585">
        <v>35384</v>
      </c>
      <c r="D6" s="1753">
        <f t="shared" si="0"/>
        <v>168486</v>
      </c>
      <c r="E6" s="585">
        <v>398321</v>
      </c>
      <c r="F6" s="1753">
        <f t="shared" ref="F6:F18" si="1">E6-C6</f>
        <v>362937</v>
      </c>
    </row>
    <row r="7" spans="1:6" ht="13.7" customHeight="1" x14ac:dyDescent="0.2">
      <c r="A7" s="715" t="s">
        <v>155</v>
      </c>
      <c r="B7" s="1750">
        <f>'Revenues 9-14'!F5</f>
        <v>110585</v>
      </c>
      <c r="C7" s="585">
        <v>19586</v>
      </c>
      <c r="D7" s="1753">
        <f t="shared" si="0"/>
        <v>90999</v>
      </c>
      <c r="E7" s="585">
        <v>220487</v>
      </c>
      <c r="F7" s="1753">
        <f t="shared" si="1"/>
        <v>200901</v>
      </c>
    </row>
    <row r="8" spans="1:6" ht="13.7" customHeight="1" x14ac:dyDescent="0.2">
      <c r="A8" s="715" t="s">
        <v>1179</v>
      </c>
      <c r="B8" s="1750">
        <f>'Revenues 9-14'!G5</f>
        <v>12927</v>
      </c>
      <c r="C8" s="585">
        <v>2221</v>
      </c>
      <c r="D8" s="1753">
        <f t="shared" si="0"/>
        <v>10706</v>
      </c>
      <c r="E8" s="585">
        <v>25003</v>
      </c>
      <c r="F8" s="1753">
        <f t="shared" si="1"/>
        <v>22782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27647</v>
      </c>
      <c r="C10" s="585">
        <v>4897</v>
      </c>
      <c r="D10" s="1753">
        <f t="shared" si="0"/>
        <v>22750</v>
      </c>
      <c r="E10" s="585">
        <v>55122</v>
      </c>
      <c r="F10" s="1753">
        <f t="shared" si="1"/>
        <v>50225</v>
      </c>
    </row>
    <row r="11" spans="1:6" x14ac:dyDescent="0.2">
      <c r="A11" s="715" t="s">
        <v>409</v>
      </c>
      <c r="B11" s="1750">
        <f>'Revenues 9-14'!J5</f>
        <v>105640</v>
      </c>
      <c r="C11" s="585">
        <v>19988</v>
      </c>
      <c r="D11" s="1753">
        <f t="shared" si="0"/>
        <v>85652</v>
      </c>
      <c r="E11" s="585">
        <v>225007</v>
      </c>
      <c r="F11" s="1753">
        <f t="shared" si="1"/>
        <v>205019</v>
      </c>
    </row>
    <row r="12" spans="1:6" ht="13.7" customHeight="1" x14ac:dyDescent="0.2">
      <c r="A12" s="715" t="s">
        <v>157</v>
      </c>
      <c r="B12" s="1750">
        <f>'Revenues 9-14'!K5</f>
        <v>27646</v>
      </c>
      <c r="C12" s="585">
        <v>4897</v>
      </c>
      <c r="D12" s="1753">
        <f t="shared" si="0"/>
        <v>22749</v>
      </c>
      <c r="E12" s="585">
        <v>55122</v>
      </c>
      <c r="F12" s="1753">
        <f t="shared" si="1"/>
        <v>50225</v>
      </c>
    </row>
    <row r="13" spans="1:6" ht="13.7" customHeight="1" x14ac:dyDescent="0.2">
      <c r="A13" s="715" t="s">
        <v>936</v>
      </c>
      <c r="B13" s="1750">
        <f>SUM('Revenues 9-14'!C6:D6)</f>
        <v>27646</v>
      </c>
      <c r="C13" s="585">
        <v>4897</v>
      </c>
      <c r="D13" s="1753">
        <f t="shared" si="0"/>
        <v>22749</v>
      </c>
      <c r="E13" s="585">
        <v>55122</v>
      </c>
      <c r="F13" s="1753">
        <f t="shared" si="1"/>
        <v>50225</v>
      </c>
    </row>
    <row r="14" spans="1:6" ht="13.7" customHeight="1" x14ac:dyDescent="0.2">
      <c r="A14" s="715" t="s">
        <v>410</v>
      </c>
      <c r="B14" s="1750">
        <f>SUM('Revenues 9-14'!C7:D7,'Revenues 9-14'!F7:H7)</f>
        <v>22117</v>
      </c>
      <c r="C14" s="585">
        <v>3917</v>
      </c>
      <c r="D14" s="1753">
        <f t="shared" si="0"/>
        <v>18200</v>
      </c>
      <c r="E14" s="585">
        <v>44097</v>
      </c>
      <c r="F14" s="1753">
        <f t="shared" si="1"/>
        <v>40180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12927</v>
      </c>
      <c r="C16" s="585">
        <v>2221</v>
      </c>
      <c r="D16" s="1753">
        <f t="shared" si="0"/>
        <v>10706</v>
      </c>
      <c r="E16" s="585">
        <v>25003</v>
      </c>
      <c r="F16" s="1753">
        <f t="shared" si="1"/>
        <v>22782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2430933</v>
      </c>
      <c r="C19" s="1751">
        <f>SUM(C4:C18)</f>
        <v>430976</v>
      </c>
      <c r="D19" s="1751">
        <f>SUM(D4:D18)</f>
        <v>1999957</v>
      </c>
      <c r="E19" s="1751">
        <f>SUM(E4:E18)</f>
        <v>4851562</v>
      </c>
      <c r="F19" s="1751">
        <f>SUM(F4:F18)</f>
        <v>4420586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2105</v>
      </c>
      <c r="B31" s="733">
        <v>40725</v>
      </c>
      <c r="C31" s="734">
        <v>1500000</v>
      </c>
      <c r="D31" s="735">
        <v>7</v>
      </c>
      <c r="E31" s="734">
        <v>450000</v>
      </c>
      <c r="F31" s="734"/>
      <c r="G31" s="734"/>
      <c r="H31" s="734">
        <v>315000</v>
      </c>
      <c r="I31" s="1756">
        <f>((E31+F31)-H31)+G31</f>
        <v>135000</v>
      </c>
      <c r="J31" s="734">
        <v>135000</v>
      </c>
      <c r="K31" s="736"/>
    </row>
    <row r="32" spans="1:11" ht="12" customHeight="1" x14ac:dyDescent="0.2">
      <c r="A32" s="732" t="s">
        <v>2106</v>
      </c>
      <c r="B32" s="733">
        <v>41061</v>
      </c>
      <c r="C32" s="734">
        <v>9000000</v>
      </c>
      <c r="D32" s="735" t="s">
        <v>982</v>
      </c>
      <c r="E32" s="734">
        <v>7630000</v>
      </c>
      <c r="F32" s="734"/>
      <c r="G32" s="734"/>
      <c r="H32" s="734">
        <v>260000</v>
      </c>
      <c r="I32" s="1756">
        <f>((E32+F32)-H32)+G32</f>
        <v>7370000</v>
      </c>
      <c r="J32" s="734">
        <f>7370000-370375</f>
        <v>6999625</v>
      </c>
      <c r="K32" s="736"/>
    </row>
    <row r="33" spans="1:11" ht="12" customHeight="1" x14ac:dyDescent="0.2">
      <c r="A33" s="732" t="s">
        <v>2107</v>
      </c>
      <c r="B33" s="733">
        <v>41814</v>
      </c>
      <c r="C33" s="734">
        <v>3625000</v>
      </c>
      <c r="D33" s="735">
        <v>8</v>
      </c>
      <c r="E33" s="734">
        <v>3625000</v>
      </c>
      <c r="F33" s="734"/>
      <c r="G33" s="734"/>
      <c r="H33" s="734"/>
      <c r="I33" s="1756">
        <f t="shared" ref="I33:I48" si="1">((E33+F33)-H33)+G33</f>
        <v>3625000</v>
      </c>
      <c r="J33" s="734">
        <v>3625000</v>
      </c>
      <c r="K33" s="736"/>
    </row>
    <row r="34" spans="1:11" ht="12" customHeight="1" x14ac:dyDescent="0.2">
      <c r="A34" s="732" t="s">
        <v>2108</v>
      </c>
      <c r="B34" s="733">
        <v>42996</v>
      </c>
      <c r="C34" s="734">
        <v>1145000</v>
      </c>
      <c r="D34" s="735">
        <v>3</v>
      </c>
      <c r="E34" s="734">
        <v>1145000</v>
      </c>
      <c r="F34" s="734"/>
      <c r="G34" s="734"/>
      <c r="H34" s="734">
        <v>225000</v>
      </c>
      <c r="I34" s="1756">
        <f t="shared" si="1"/>
        <v>920000</v>
      </c>
      <c r="J34" s="734">
        <v>920000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15270000</v>
      </c>
      <c r="D49" s="745"/>
      <c r="E49" s="1756">
        <f t="shared" ref="E49:J49" si="2">SUM(E31:E48)</f>
        <v>12850000</v>
      </c>
      <c r="F49" s="1756">
        <f t="shared" si="2"/>
        <v>0</v>
      </c>
      <c r="G49" s="1756">
        <f t="shared" si="2"/>
        <v>0</v>
      </c>
      <c r="H49" s="1756">
        <f t="shared" si="2"/>
        <v>800000</v>
      </c>
      <c r="I49" s="1756">
        <f t="shared" si="2"/>
        <v>12050000</v>
      </c>
      <c r="J49" s="1756">
        <f t="shared" si="2"/>
        <v>11679625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2109</v>
      </c>
      <c r="G52" s="2188"/>
      <c r="H52" s="736"/>
      <c r="I52" s="736"/>
      <c r="J52" s="746"/>
    </row>
    <row r="53" spans="1:11" ht="11.25" customHeight="1" x14ac:dyDescent="0.2">
      <c r="A53" s="750" t="s">
        <v>913</v>
      </c>
      <c r="B53" s="751" t="s">
        <v>951</v>
      </c>
      <c r="C53" s="746"/>
      <c r="D53" s="737"/>
      <c r="E53" s="749" t="s">
        <v>497</v>
      </c>
      <c r="F53" s="2189" t="s">
        <v>2110</v>
      </c>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22117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4505</v>
      </c>
    </row>
    <row r="8" spans="1:11" x14ac:dyDescent="0.2">
      <c r="A8" s="778" t="s">
        <v>345</v>
      </c>
      <c r="B8" s="779"/>
      <c r="C8" s="779"/>
      <c r="D8" s="779"/>
      <c r="E8" s="780"/>
      <c r="F8" s="770" t="s">
        <v>851</v>
      </c>
      <c r="G8" s="782"/>
      <c r="H8" s="782"/>
      <c r="I8" s="782"/>
      <c r="J8" s="765">
        <v>650233</v>
      </c>
      <c r="K8" s="769"/>
    </row>
    <row r="9" spans="1:11" x14ac:dyDescent="0.2">
      <c r="A9" s="778" t="s">
        <v>138</v>
      </c>
      <c r="B9" s="779"/>
      <c r="C9" s="779"/>
      <c r="D9" s="779"/>
      <c r="E9" s="780"/>
      <c r="F9" s="777" t="s">
        <v>853</v>
      </c>
      <c r="G9" s="782"/>
      <c r="H9" s="771"/>
      <c r="I9" s="771"/>
      <c r="J9" s="781"/>
      <c r="K9" s="765">
        <v>10581</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22117</v>
      </c>
      <c r="I12" s="1758">
        <f>SUM(I5:I11)</f>
        <v>0</v>
      </c>
      <c r="J12" s="1758">
        <f>SUM(J5:J11)</f>
        <v>650233</v>
      </c>
      <c r="K12" s="1758">
        <f>SUM(K5:K11)</f>
        <v>15086</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423672</v>
      </c>
      <c r="I14" s="771"/>
      <c r="J14" s="773"/>
      <c r="K14" s="765">
        <v>63053</v>
      </c>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v>470560</v>
      </c>
      <c r="K18" s="795"/>
    </row>
    <row r="19" spans="1:11" ht="21.75" customHeight="1" x14ac:dyDescent="0.2">
      <c r="A19" s="2226" t="s">
        <v>1809</v>
      </c>
      <c r="B19" s="2226"/>
      <c r="C19" s="2226"/>
      <c r="D19" s="2226"/>
      <c r="E19" s="2227"/>
      <c r="F19" s="789" t="s">
        <v>933</v>
      </c>
      <c r="G19" s="782"/>
      <c r="H19" s="782"/>
      <c r="I19" s="782"/>
      <c r="J19" s="765">
        <v>800000</v>
      </c>
      <c r="K19" s="795"/>
    </row>
    <row r="20" spans="1:11" x14ac:dyDescent="0.2">
      <c r="A20" s="2228" t="s">
        <v>1814</v>
      </c>
      <c r="B20" s="2229"/>
      <c r="C20" s="2229"/>
      <c r="D20" s="2229"/>
      <c r="E20" s="2230"/>
      <c r="F20" s="789" t="s">
        <v>934</v>
      </c>
      <c r="G20" s="782"/>
      <c r="H20" s="782"/>
      <c r="I20" s="782"/>
      <c r="J20" s="765">
        <v>1500</v>
      </c>
      <c r="K20" s="795"/>
    </row>
    <row r="21" spans="1:11" ht="13.5" thickBot="1" x14ac:dyDescent="0.25">
      <c r="A21" s="2247" t="s">
        <v>638</v>
      </c>
      <c r="B21" s="2247"/>
      <c r="C21" s="2247"/>
      <c r="D21" s="2247"/>
      <c r="E21" s="2247"/>
      <c r="F21" s="1759"/>
      <c r="G21" s="792"/>
      <c r="H21" s="796"/>
      <c r="I21" s="796"/>
      <c r="J21" s="1760">
        <f>SUM(J18:J20)</f>
        <v>1272060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423672</v>
      </c>
      <c r="I23" s="1758">
        <f>SUM(I14:I16,I21,I22)</f>
        <v>0</v>
      </c>
      <c r="J23" s="1758">
        <f>SUM(J14:J16,J21,J22)</f>
        <v>1272060</v>
      </c>
      <c r="K23" s="1758">
        <f>SUM(K14:K16,K21,K22)</f>
        <v>63053</v>
      </c>
    </row>
    <row r="24" spans="1:11" ht="14.25" thickTop="1" thickBot="1" x14ac:dyDescent="0.25">
      <c r="A24" s="2248" t="s">
        <v>1965</v>
      </c>
      <c r="B24" s="2247"/>
      <c r="C24" s="2247"/>
      <c r="D24" s="2247"/>
      <c r="E24" s="2247"/>
      <c r="F24" s="1762"/>
      <c r="G24" s="1763">
        <f>SUM(G3,G12)-G23</f>
        <v>0</v>
      </c>
      <c r="H24" s="1763">
        <f>SUM(H3,H12)-H23</f>
        <v>-401555</v>
      </c>
      <c r="I24" s="1763">
        <f>SUM(I3,I12)-I23</f>
        <v>0</v>
      </c>
      <c r="J24" s="1763">
        <f>SUM(J3,J12)-J23</f>
        <v>-621827</v>
      </c>
      <c r="K24" s="1763">
        <f>SUM(K3,K12)-K23</f>
        <v>-47967</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-401555</v>
      </c>
      <c r="I26" s="1758">
        <f>I24-I25</f>
        <v>0</v>
      </c>
      <c r="J26" s="1758">
        <f>J24-J25</f>
        <v>-621827</v>
      </c>
      <c r="K26" s="1758">
        <f>K24-K25</f>
        <v>-47967</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186182</v>
      </c>
      <c r="D5" s="841"/>
      <c r="E5" s="841"/>
      <c r="F5" s="1760">
        <f>(C5+D5)-E5</f>
        <v>186182</v>
      </c>
      <c r="G5" s="837"/>
      <c r="H5" s="842"/>
      <c r="I5" s="842"/>
      <c r="J5" s="842"/>
      <c r="K5" s="793"/>
      <c r="L5" s="1769">
        <f>F5-K5</f>
        <v>186182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46310228</v>
      </c>
      <c r="D8" s="844"/>
      <c r="E8" s="844"/>
      <c r="F8" s="1760">
        <f>(C8+D8)-E8</f>
        <v>46310228</v>
      </c>
      <c r="G8" s="843">
        <v>50</v>
      </c>
      <c r="H8" s="765">
        <v>7746870</v>
      </c>
      <c r="I8" s="765">
        <v>941919</v>
      </c>
      <c r="J8" s="765"/>
      <c r="K8" s="1769">
        <f>(H8+I8)-J8</f>
        <v>8688789</v>
      </c>
      <c r="L8" s="1769">
        <f>F8-K8</f>
        <v>37621439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146372</v>
      </c>
      <c r="D10" s="846"/>
      <c r="E10" s="846"/>
      <c r="F10" s="1764">
        <f>(C10+D10)-E10</f>
        <v>146372</v>
      </c>
      <c r="G10" s="843">
        <v>20</v>
      </c>
      <c r="H10" s="847">
        <v>124371</v>
      </c>
      <c r="I10" s="847">
        <v>5388</v>
      </c>
      <c r="J10" s="847"/>
      <c r="K10" s="1769">
        <f>(H10+I10)-J10</f>
        <v>129759</v>
      </c>
      <c r="L10" s="1769">
        <f>F10-K10</f>
        <v>16613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1729819</v>
      </c>
      <c r="D12" s="844">
        <v>15569</v>
      </c>
      <c r="E12" s="844"/>
      <c r="F12" s="1760">
        <f>(C12+D12)-E12</f>
        <v>1745388</v>
      </c>
      <c r="G12" s="843">
        <v>10</v>
      </c>
      <c r="H12" s="765">
        <v>1621054</v>
      </c>
      <c r="I12" s="765">
        <v>31329</v>
      </c>
      <c r="J12" s="765"/>
      <c r="K12" s="1769">
        <f>(H12+I12)-J12</f>
        <v>1652383</v>
      </c>
      <c r="L12" s="1769">
        <f>F12-K12</f>
        <v>93005</v>
      </c>
    </row>
    <row r="13" spans="1:14" ht="14.25" thickTop="1" thickBot="1" x14ac:dyDescent="0.25">
      <c r="A13" s="848" t="s">
        <v>1122</v>
      </c>
      <c r="B13" s="840">
        <v>252</v>
      </c>
      <c r="C13" s="844">
        <v>986190</v>
      </c>
      <c r="D13" s="844"/>
      <c r="E13" s="844"/>
      <c r="F13" s="1760">
        <f>(C13+D13)-E13</f>
        <v>986190</v>
      </c>
      <c r="G13" s="843">
        <v>5</v>
      </c>
      <c r="H13" s="765">
        <v>961483</v>
      </c>
      <c r="I13" s="765">
        <v>11790</v>
      </c>
      <c r="J13" s="765"/>
      <c r="K13" s="1769">
        <f>(H13+I13)-J13</f>
        <v>973273</v>
      </c>
      <c r="L13" s="1769">
        <f>F13-K13</f>
        <v>12917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49358791</v>
      </c>
      <c r="D16" s="1760">
        <f>SUM(D3,D5:D6,D8:D10,D12:D15)</f>
        <v>15569</v>
      </c>
      <c r="E16" s="1760">
        <f>SUM(E3,E5:E6,E8:E10,E12:E15)</f>
        <v>0</v>
      </c>
      <c r="F16" s="1760">
        <f>SUM(F3,F5:F6,F8:F10,F12:F15)</f>
        <v>49374360</v>
      </c>
      <c r="G16" s="843"/>
      <c r="H16" s="1760">
        <f>SUM(H3,H6,H8:H10,H12:H14,)</f>
        <v>10453778</v>
      </c>
      <c r="I16" s="1760">
        <f>SUM(I3,I6,I8:I10,I12:I14,)</f>
        <v>990426</v>
      </c>
      <c r="J16" s="1760">
        <f>SUM(J3,J6,J8:J10,J12:J14,)</f>
        <v>0</v>
      </c>
      <c r="K16" s="1760">
        <f>(H16+I16)-J16</f>
        <v>11444204</v>
      </c>
      <c r="L16" s="1760">
        <f>F16-K16</f>
        <v>37930156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990426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8428507</v>
      </c>
      <c r="G8" s="865"/>
    </row>
    <row r="9" spans="1:7" x14ac:dyDescent="0.2">
      <c r="A9" s="869" t="s">
        <v>460</v>
      </c>
      <c r="B9" s="870" t="s">
        <v>1877</v>
      </c>
      <c r="C9" s="871"/>
      <c r="D9" s="869" t="s">
        <v>501</v>
      </c>
      <c r="E9" s="868"/>
      <c r="F9" s="1909">
        <f>'Expenditures 15-22'!K151</f>
        <v>662516</v>
      </c>
      <c r="G9" s="872"/>
    </row>
    <row r="10" spans="1:7" x14ac:dyDescent="0.2">
      <c r="A10" s="869" t="s">
        <v>499</v>
      </c>
      <c r="B10" s="870" t="s">
        <v>1878</v>
      </c>
      <c r="C10" s="871"/>
      <c r="D10" s="869" t="s">
        <v>501</v>
      </c>
      <c r="E10" s="868"/>
      <c r="F10" s="1909">
        <f>'Expenditures 15-22'!K174</f>
        <v>1272060</v>
      </c>
      <c r="G10" s="872"/>
    </row>
    <row r="11" spans="1:7" x14ac:dyDescent="0.2">
      <c r="A11" s="869" t="s">
        <v>461</v>
      </c>
      <c r="B11" s="870" t="s">
        <v>1879</v>
      </c>
      <c r="C11" s="871"/>
      <c r="D11" s="869" t="s">
        <v>501</v>
      </c>
      <c r="E11" s="868"/>
      <c r="F11" s="1909">
        <f>'Expenditures 15-22'!K210</f>
        <v>689268</v>
      </c>
      <c r="G11" s="872"/>
    </row>
    <row r="12" spans="1:7" x14ac:dyDescent="0.2">
      <c r="A12" s="869" t="s">
        <v>462</v>
      </c>
      <c r="B12" s="870" t="s">
        <v>1880</v>
      </c>
      <c r="C12" s="871"/>
      <c r="D12" s="869" t="s">
        <v>501</v>
      </c>
      <c r="E12" s="868"/>
      <c r="F12" s="1909">
        <f>'Expenditures 15-22'!K295</f>
        <v>263385</v>
      </c>
      <c r="G12" s="872"/>
    </row>
    <row r="13" spans="1:7" x14ac:dyDescent="0.2">
      <c r="A13" s="869" t="s">
        <v>106</v>
      </c>
      <c r="B13" s="870" t="s">
        <v>1881</v>
      </c>
      <c r="C13" s="871"/>
      <c r="D13" s="869" t="s">
        <v>501</v>
      </c>
      <c r="E13" s="868"/>
      <c r="F13" s="1909">
        <f>'Expenditures 15-22'!K342</f>
        <v>173453</v>
      </c>
      <c r="G13" s="873"/>
    </row>
    <row r="14" spans="1:7" ht="12" customHeight="1" thickBot="1" x14ac:dyDescent="0.25">
      <c r="A14" s="1770"/>
      <c r="B14" s="1771"/>
      <c r="C14" s="1772"/>
      <c r="D14" s="1773" t="s">
        <v>501</v>
      </c>
      <c r="E14" s="1774" t="s">
        <v>958</v>
      </c>
      <c r="F14" s="1775">
        <f>SUM(F8:F13)</f>
        <v>11489189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153344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881106</v>
      </c>
      <c r="G53" s="865"/>
    </row>
    <row r="54" spans="1:7" x14ac:dyDescent="0.2">
      <c r="A54" s="869" t="s">
        <v>459</v>
      </c>
      <c r="B54" s="869" t="s">
        <v>1476</v>
      </c>
      <c r="C54" s="889" t="s">
        <v>982</v>
      </c>
      <c r="D54" s="885" t="s">
        <v>1095</v>
      </c>
      <c r="E54" s="868"/>
      <c r="F54" s="1913">
        <f>'Expenditures 15-22'!G114</f>
        <v>95741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34165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800000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34730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203504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25087</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2227677</v>
      </c>
      <c r="G76" s="865"/>
    </row>
    <row r="77" spans="1:8" s="893" customFormat="1" ht="12" customHeight="1" thickTop="1" thickBot="1" x14ac:dyDescent="0.25">
      <c r="A77" s="1779"/>
      <c r="B77" s="1776"/>
      <c r="C77" s="1772"/>
      <c r="D77" s="1777" t="s">
        <v>1900</v>
      </c>
      <c r="E77" s="1774"/>
      <c r="F77" s="1780">
        <f>(F14-F76)</f>
        <v>9261512</v>
      </c>
      <c r="G77" s="869"/>
    </row>
    <row r="78" spans="1:8" s="893" customFormat="1" ht="12" customHeight="1" thickTop="1" x14ac:dyDescent="0.2">
      <c r="A78" s="1781"/>
      <c r="B78" s="1776"/>
      <c r="C78" s="1772"/>
      <c r="D78" s="1777" t="s">
        <v>2062</v>
      </c>
      <c r="E78" s="1774"/>
      <c r="F78" s="898">
        <v>977.28</v>
      </c>
      <c r="G78" s="899"/>
      <c r="H78" s="869"/>
    </row>
    <row r="79" spans="1:8" s="893" customFormat="1" ht="12" customHeight="1" thickBot="1" x14ac:dyDescent="0.25">
      <c r="A79" s="1782"/>
      <c r="B79" s="1776"/>
      <c r="C79" s="1772"/>
      <c r="D79" s="1777" t="s">
        <v>1901</v>
      </c>
      <c r="E79" s="1774" t="s">
        <v>958</v>
      </c>
      <c r="F79" s="1783">
        <f>IF(F78&gt;0,F77/F78," Complete Line 78")</f>
        <v>9476.8254747871651</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227125</v>
      </c>
      <c r="G94" s="912"/>
    </row>
    <row r="95" spans="1:7" x14ac:dyDescent="0.2">
      <c r="A95" s="908" t="s">
        <v>140</v>
      </c>
      <c r="B95" s="908" t="s">
        <v>175</v>
      </c>
      <c r="C95" s="910">
        <v>1700</v>
      </c>
      <c r="D95" s="918" t="str">
        <f>'Revenues 9-14'!A82</f>
        <v>Total District/School Activity Income</v>
      </c>
      <c r="E95" s="906"/>
      <c r="F95" s="1789">
        <f>SUM('Revenues 9-14'!C82,'Revenues 9-14'!D82)</f>
        <v>42882</v>
      </c>
      <c r="G95" s="912"/>
    </row>
    <row r="96" spans="1:7" x14ac:dyDescent="0.2">
      <c r="A96" s="908" t="s">
        <v>459</v>
      </c>
      <c r="B96" s="908" t="s">
        <v>176</v>
      </c>
      <c r="C96" s="910">
        <f>'Revenues 9-14'!B84</f>
        <v>1811</v>
      </c>
      <c r="D96" s="911" t="str">
        <f>'Revenues 9-14'!A84</f>
        <v>Rentals - Regular Textbooks</v>
      </c>
      <c r="E96" s="906"/>
      <c r="F96" s="1789">
        <f>'Revenues 9-14'!C84</f>
        <v>70251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3030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766</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17229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21027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4841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10581</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320187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277901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243712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145000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24238</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3938</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1412708</v>
      </c>
    </row>
    <row r="175" spans="1:7" ht="12" customHeight="1" x14ac:dyDescent="0.2">
      <c r="A175" s="1770"/>
      <c r="B175" s="1784"/>
      <c r="C175" s="1785"/>
      <c r="D175" s="1786" t="s">
        <v>2057</v>
      </c>
      <c r="E175" s="1787"/>
      <c r="F175" s="1789">
        <f>'PCTC-OEPP 27-28'!F77-F174</f>
        <v>7848804</v>
      </c>
    </row>
    <row r="176" spans="1:7" ht="12" customHeight="1" x14ac:dyDescent="0.2">
      <c r="A176" s="1770"/>
      <c r="B176" s="1784"/>
      <c r="C176" s="1785"/>
      <c r="D176" s="1786" t="s">
        <v>1817</v>
      </c>
      <c r="E176" s="1787"/>
      <c r="F176" s="1789">
        <f>'Cap Outlay Deprec 26'!I18</f>
        <v>990426</v>
      </c>
    </row>
    <row r="177" spans="1:7" ht="12" customHeight="1" x14ac:dyDescent="0.2">
      <c r="A177" s="1770"/>
      <c r="B177" s="1784"/>
      <c r="C177" s="1785"/>
      <c r="D177" s="1786" t="s">
        <v>2058</v>
      </c>
      <c r="E177" s="1787"/>
      <c r="F177" s="1789">
        <f>F175+F176</f>
        <v>8839230</v>
      </c>
    </row>
    <row r="178" spans="1:7" ht="12" customHeight="1" x14ac:dyDescent="0.2">
      <c r="A178" s="1770"/>
      <c r="B178" s="1790"/>
      <c r="C178" s="1785"/>
      <c r="D178" s="1786" t="str">
        <f>D78</f>
        <v>9 Month ADA from District Average Daily Attendance/Prior General State Aid Inquiry 2018-2019</v>
      </c>
      <c r="E178" s="1787"/>
      <c r="F178" s="1791">
        <f>'PCTC-OEPP 27-28'!F78</f>
        <v>977.28</v>
      </c>
      <c r="G178" s="930"/>
    </row>
    <row r="179" spans="1:7" ht="12" customHeight="1" thickBot="1" x14ac:dyDescent="0.25">
      <c r="A179" s="1770"/>
      <c r="B179" s="1790"/>
      <c r="C179" s="1785"/>
      <c r="D179" s="1786" t="s">
        <v>2059</v>
      </c>
      <c r="E179" s="1787" t="s">
        <v>1545</v>
      </c>
      <c r="F179" s="1792">
        <f>F177/F178</f>
        <v>9044.7261787819261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2136</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oddFooter>&amp;RThe notes to the financial statements are an integral part of this statment.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F79" sqref="F7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364006</v>
      </c>
      <c r="F10" s="974"/>
      <c r="G10" s="975"/>
      <c r="H10" s="162"/>
      <c r="I10" s="162"/>
    </row>
    <row r="11" spans="1:9" s="668" customFormat="1" ht="22.5" customHeight="1" x14ac:dyDescent="0.2">
      <c r="A11" s="2287" t="s">
        <v>1977</v>
      </c>
      <c r="B11" s="2288"/>
      <c r="C11" s="2288"/>
      <c r="D11" s="2289"/>
      <c r="E11" s="977">
        <v>45624.03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5137499</v>
      </c>
      <c r="F19" s="1799"/>
      <c r="G19" s="1801">
        <f>'Expenditures 15-22'!K33-SUM('Expenditures 15-22'!G33,'Expenditures 15-22'!I33)+'Expenditures 15-22'!D229</f>
        <v>5137499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305781</v>
      </c>
      <c r="F21" s="1802"/>
      <c r="G21" s="1805">
        <f>'Expenditures 15-22'!K42-SUM('Expenditures 15-22'!G42,'Expenditures 15-22'!I42)+'Expenditures 15-22'!K120-SUM('Expenditures 15-22'!G120,'Expenditures 15-22'!I120)+'Expenditures 15-22'!K180-SUM('Expenditures 15-22'!G180,'Expenditures 15-22'!I180)+'Expenditures 15-22'!D238</f>
        <v>305781</v>
      </c>
      <c r="H21" s="987"/>
      <c r="I21" s="162"/>
    </row>
    <row r="22" spans="1:9" s="668" customFormat="1" ht="12" customHeight="1" x14ac:dyDescent="0.2">
      <c r="A22" s="994" t="s">
        <v>564</v>
      </c>
      <c r="B22" s="995"/>
      <c r="C22" s="993">
        <v>2200</v>
      </c>
      <c r="D22" s="1802"/>
      <c r="E22" s="1804">
        <f>'Expenditures 15-22'!K47-SUM('Expenditures 15-22'!G47,'Expenditures 15-22'!I47)+'Expenditures 15-22'!D243</f>
        <v>243392</v>
      </c>
      <c r="F22" s="1802"/>
      <c r="G22" s="1805">
        <f>'Expenditures 15-22'!K47-SUM('Expenditures 15-22'!G47,'Expenditures 15-22'!I47)+'Expenditures 15-22'!D243</f>
        <v>243392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658446</v>
      </c>
      <c r="F23" s="1802"/>
      <c r="G23" s="1804">
        <f>'Expenditures 15-22'!K53-SUM('Expenditures 15-22'!G53,'Expenditures 15-22'!I53)+'Expenditures 15-22'!D257+'Expenditures 15-22'!K330-SUM('Expenditures 15-22'!G330,'Expenditures 15-22'!I330)</f>
        <v>658446</v>
      </c>
      <c r="H23" s="987"/>
      <c r="I23" s="162"/>
    </row>
    <row r="24" spans="1:9" s="668" customFormat="1" ht="12" customHeight="1" x14ac:dyDescent="0.2">
      <c r="A24" s="994" t="s">
        <v>566</v>
      </c>
      <c r="B24" s="995"/>
      <c r="C24" s="993">
        <v>2400</v>
      </c>
      <c r="D24" s="1802"/>
      <c r="E24" s="1804">
        <f>'Expenditures 15-22'!K57-SUM('Expenditures 15-22'!G57,'Expenditures 15-22'!I57)+'Expenditures 15-22'!D261</f>
        <v>517018</v>
      </c>
      <c r="F24" s="1802"/>
      <c r="G24" s="1805">
        <f>'Expenditures 15-22'!K57-SUM('Expenditures 15-22'!G57,'Expenditures 15-22'!I57)+'Expenditures 15-22'!D261</f>
        <v>517018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51714</v>
      </c>
      <c r="E27" s="1804">
        <f>E8</f>
        <v>0</v>
      </c>
      <c r="F27" s="1804">
        <f>'Expenditures 15-22'!K60-SUM('Expenditures 15-22'!G60,'Expenditures 15-22'!I60)+'Expenditures 15-22'!D264-E8</f>
        <v>51714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987686</v>
      </c>
      <c r="F28" s="1806">
        <f>'Expenditures 15-22'!K61-SUM('Expenditures 15-22'!G61,'Expenditures 15-22'!I61)+'Expenditures 15-22'!K124-SUM('Expenditures 15-22'!G124,'Expenditures 15-22'!I124)+'Expenditures 15-22'!D266-E9</f>
        <v>987686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465250</v>
      </c>
      <c r="F29" s="1802"/>
      <c r="G29" s="1805">
        <f>'Expenditures 15-22'!K62-SUM('Expenditures 15-22'!G62,'Expenditures 15-22'!I62)+'Expenditures 15-22'!K125-SUM('Expenditures 15-22'!G125,'Expenditures 15-22'!I125)+'Expenditures 15-22'!K182-SUM('Expenditures 15-22'!G182,'Expenditures 15-22'!I182)+'Expenditures 15-22'!D267</f>
        <v>465250</v>
      </c>
      <c r="H29" s="985"/>
    </row>
    <row r="30" spans="1:9" ht="12" customHeight="1" x14ac:dyDescent="0.2">
      <c r="A30" s="994" t="s">
        <v>100</v>
      </c>
      <c r="B30" s="997"/>
      <c r="C30" s="993">
        <v>2560</v>
      </c>
      <c r="D30" s="1802"/>
      <c r="E30" s="1804">
        <f>'Expenditures 15-22'!K63-SUM('Expenditures 15-22'!G63,'Expenditures 15-22'!I63)+'Expenditures 15-22'!D268-E10</f>
        <v>212004</v>
      </c>
      <c r="F30" s="1802"/>
      <c r="G30" s="1804">
        <f>'Expenditures 15-22'!K63-SUM('Expenditures 15-22'!G63,'Expenditures 15-22'!I63)+'Expenditures 15-22'!D268-E10</f>
        <v>212004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51714</v>
      </c>
      <c r="E41" s="1806">
        <f>SUM(E19:E40)</f>
        <v>8527076</v>
      </c>
      <c r="F41" s="1806">
        <f>SUM(F19:F39)</f>
        <v>1039400</v>
      </c>
      <c r="G41" s="1806">
        <f>SUM(G19:G40)</f>
        <v>7539390</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51714</v>
      </c>
      <c r="F43" s="1807" t="s">
        <v>473</v>
      </c>
      <c r="G43" s="1808">
        <f>F41</f>
        <v>1039400</v>
      </c>
    </row>
    <row r="44" spans="1:7" ht="12" customHeight="1" x14ac:dyDescent="0.2">
      <c r="A44" s="987"/>
      <c r="B44" s="162"/>
      <c r="C44" s="1001"/>
      <c r="D44" s="1807" t="s">
        <v>474</v>
      </c>
      <c r="E44" s="1808">
        <f>E41</f>
        <v>8527076</v>
      </c>
      <c r="F44" s="1807" t="s">
        <v>474</v>
      </c>
      <c r="G44" s="1808">
        <f>G41</f>
        <v>7539390</v>
      </c>
    </row>
    <row r="45" spans="1:7" ht="12" customHeight="1" x14ac:dyDescent="0.2">
      <c r="A45" s="987"/>
      <c r="B45" s="162"/>
      <c r="C45" s="162"/>
      <c r="D45" s="1809" t="s">
        <v>1006</v>
      </c>
      <c r="E45" s="1810">
        <f>(E43/E44)</f>
        <v>6.064681492225471E-3</v>
      </c>
      <c r="F45" s="1809" t="s">
        <v>1006</v>
      </c>
      <c r="G45" s="1810">
        <f>(G43/G44)</f>
        <v>0.13786261222724916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F79" sqref="F79"/>
      <selection pane="bottomLeft" activeCell="F79" sqref="F7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Knoxville CUSD 202</v>
      </c>
      <c r="D6" s="2308"/>
      <c r="E6" s="2308"/>
      <c r="F6" s="1852"/>
    </row>
    <row r="7" spans="1:10" ht="11.25" customHeight="1" thickBot="1" x14ac:dyDescent="0.3">
      <c r="A7" s="1850"/>
      <c r="B7" s="1851"/>
      <c r="C7" s="2309">
        <f>COVER!A13</f>
        <v>33048202026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2064</v>
      </c>
      <c r="D15" s="1865" t="s">
        <v>2064</v>
      </c>
      <c r="E15" s="1868" t="s">
        <v>2064</v>
      </c>
      <c r="F15" s="1867" t="s">
        <v>2112</v>
      </c>
      <c r="H15" s="1878">
        <f t="shared" si="0"/>
        <v>5</v>
      </c>
      <c r="I15" s="1878">
        <f t="shared" si="1"/>
        <v>5</v>
      </c>
      <c r="J15" s="1878">
        <f t="shared" si="2"/>
        <v>5</v>
      </c>
    </row>
    <row r="16" spans="1:10" ht="12" customHeight="1" x14ac:dyDescent="0.2">
      <c r="A16" s="1863" t="s">
        <v>1388</v>
      </c>
      <c r="B16" s="1864"/>
      <c r="C16" s="1865" t="s">
        <v>2064</v>
      </c>
      <c r="D16" s="1865" t="s">
        <v>2064</v>
      </c>
      <c r="E16" s="1868" t="s">
        <v>2064</v>
      </c>
      <c r="F16" s="1867" t="s">
        <v>2113</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2114</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2115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2116</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3" colorId="8" zoomScale="110" zoomScaleNormal="110" workbookViewId="0">
      <selection activeCell="F79" sqref="F7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Knoxville CUSD 202</v>
      </c>
      <c r="J6" s="2318"/>
      <c r="Q6" s="1664"/>
    </row>
    <row r="7" spans="1:17" x14ac:dyDescent="0.2">
      <c r="A7" s="2319" t="s">
        <v>869</v>
      </c>
      <c r="B7" s="2320"/>
      <c r="C7" s="2320"/>
      <c r="D7" s="2320"/>
      <c r="E7" s="2321"/>
      <c r="F7" s="1017"/>
      <c r="G7" s="1009"/>
      <c r="H7" s="1016" t="s">
        <v>372</v>
      </c>
      <c r="I7" s="2322">
        <f>COVER!A13</f>
        <v>33048202026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204513</v>
      </c>
      <c r="F12" s="1039"/>
      <c r="G12" s="1811">
        <f t="shared" ref="G12:G18" si="0">SUM(E12:F12)</f>
        <v>204513</v>
      </c>
      <c r="H12" s="1040">
        <v>214550</v>
      </c>
      <c r="I12" s="1039"/>
      <c r="J12" s="1811">
        <f t="shared" ref="J12:J18" si="1">SUM(H12:I12)</f>
        <v>214550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204513</v>
      </c>
      <c r="F19" s="1813">
        <f t="shared" si="2"/>
        <v>0</v>
      </c>
      <c r="G19" s="1813">
        <f t="shared" si="2"/>
        <v>204513</v>
      </c>
      <c r="H19" s="1813">
        <f t="shared" si="2"/>
        <v>214550</v>
      </c>
      <c r="I19" s="1813">
        <f t="shared" si="2"/>
        <v>0</v>
      </c>
      <c r="J19" s="1813">
        <f t="shared" si="2"/>
        <v>214550</v>
      </c>
    </row>
    <row r="20" spans="1:10" ht="13.5" thickTop="1" x14ac:dyDescent="0.2">
      <c r="A20" s="1035">
        <v>9</v>
      </c>
      <c r="B20" s="2329" t="s">
        <v>1981</v>
      </c>
      <c r="C20" s="2329"/>
      <c r="D20" s="2330"/>
      <c r="E20" s="1046"/>
      <c r="F20" s="1046"/>
      <c r="G20" s="1046"/>
      <c r="H20" s="1046"/>
      <c r="I20" s="1046"/>
      <c r="J20" s="1814">
        <f>IF(AND(G19&gt;0,J19&gt;0),(((J19-G19)/G19)),"Enter Budget Data")</f>
        <v>4.9077564751385E-2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2"/>
  <sheetViews>
    <sheetView showGridLines="0" zoomScale="110" zoomScaleNormal="110" workbookViewId="0">
      <selection activeCell="B24" sqref="B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40" t="s">
        <v>2137</v>
      </c>
    </row>
    <row r="5" spans="1:2" x14ac:dyDescent="0.2">
      <c r="A5" s="1068">
        <v>1</v>
      </c>
      <c r="B5" s="329" t="s">
        <v>2138</v>
      </c>
    </row>
    <row r="6" spans="1:2" x14ac:dyDescent="0.2">
      <c r="B6" s="329" t="s">
        <v>2139</v>
      </c>
    </row>
    <row r="7" spans="1:2" x14ac:dyDescent="0.2">
      <c r="A7" s="1068">
        <v>2</v>
      </c>
      <c r="B7" s="329" t="s">
        <v>2140</v>
      </c>
    </row>
    <row r="8" spans="1:2" x14ac:dyDescent="0.2">
      <c r="A8" s="1068">
        <v>3</v>
      </c>
      <c r="B8" s="329" t="s">
        <v>2143</v>
      </c>
    </row>
    <row r="9" spans="1:2" x14ac:dyDescent="0.2">
      <c r="A9" s="1068">
        <v>4</v>
      </c>
      <c r="B9" s="329" t="s">
        <v>2144</v>
      </c>
    </row>
    <row r="10" spans="1:2" x14ac:dyDescent="0.2">
      <c r="A10" s="1069">
        <v>5</v>
      </c>
      <c r="B10" s="329" t="s">
        <v>2145</v>
      </c>
    </row>
    <row r="11" spans="1:2" x14ac:dyDescent="0.2">
      <c r="A11" s="1069"/>
    </row>
    <row r="12" spans="1:2" x14ac:dyDescent="0.2">
      <c r="A12" s="1069"/>
      <c r="B12" s="1940" t="s">
        <v>2147</v>
      </c>
    </row>
    <row r="13" spans="1:2" x14ac:dyDescent="0.2">
      <c r="A13" s="1069">
        <v>6</v>
      </c>
      <c r="B13" s="329" t="s">
        <v>2141</v>
      </c>
    </row>
    <row r="14" spans="1:2" x14ac:dyDescent="0.2">
      <c r="A14" s="1069"/>
    </row>
    <row r="15" spans="1:2" x14ac:dyDescent="0.2">
      <c r="A15" s="1069"/>
      <c r="B15" s="1940" t="s">
        <v>2146</v>
      </c>
    </row>
    <row r="16" spans="1:2" x14ac:dyDescent="0.2">
      <c r="A16" s="1069">
        <v>7</v>
      </c>
      <c r="B16" s="329" t="s">
        <v>2148</v>
      </c>
    </row>
    <row r="17" spans="1:2" x14ac:dyDescent="0.2">
      <c r="A17" s="1069"/>
    </row>
    <row r="18" spans="1:2" x14ac:dyDescent="0.2">
      <c r="A18" s="1069"/>
      <c r="B18" s="1940" t="s">
        <v>341</v>
      </c>
    </row>
    <row r="19" spans="1:2" x14ac:dyDescent="0.2">
      <c r="A19" s="1069">
        <v>8</v>
      </c>
      <c r="B19" s="329" t="s">
        <v>2142</v>
      </c>
    </row>
    <row r="20" spans="1:2" x14ac:dyDescent="0.2">
      <c r="A20" s="1069"/>
    </row>
    <row r="21" spans="1:2" x14ac:dyDescent="0.2">
      <c r="A21" s="1069"/>
      <c r="B21" s="1940" t="s">
        <v>2149</v>
      </c>
    </row>
    <row r="22" spans="1:2" x14ac:dyDescent="0.2">
      <c r="A22" s="1069">
        <v>9</v>
      </c>
      <c r="B22" s="329" t="s">
        <v>2150</v>
      </c>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Knoxville CUSD 202</v>
      </c>
    </row>
    <row r="62" spans="1:2" x14ac:dyDescent="0.2">
      <c r="B62" s="1070">
        <f>COVER!A13</f>
        <v>33048202026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70" zoomScale="110" zoomScaleNormal="110" workbookViewId="0">
      <selection activeCell="X43" sqref="X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B5" sqref="B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0</xdr:colOff>
                <xdr:row>8</xdr:row>
                <xdr:rowOff>0</xdr:rowOff>
              </from>
              <to>
                <xdr:col>1</xdr:col>
                <xdr:colOff>914400</xdr:colOff>
                <xdr:row>12</xdr:row>
                <xdr:rowOff>123825</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7038264</v>
      </c>
      <c r="C8" s="1815">
        <f>'Acct Summary 7-8'!D8</f>
        <v>278788</v>
      </c>
      <c r="D8" s="1815">
        <f>'Acct Summary 7-8'!F8</f>
        <v>568633</v>
      </c>
      <c r="E8" s="1815">
        <f>'Acct Summary 7-8'!I8</f>
        <v>27683</v>
      </c>
      <c r="F8" s="1815">
        <f>SUM(B8:E8)</f>
        <v>7913368</v>
      </c>
    </row>
    <row r="9" spans="1:8" s="1079" customFormat="1" ht="14.25" customHeight="1" thickBot="1" x14ac:dyDescent="0.25">
      <c r="A9" s="1078" t="s">
        <v>1369</v>
      </c>
      <c r="B9" s="1816">
        <f>'Acct Summary 7-8'!C17</f>
        <v>8428507</v>
      </c>
      <c r="C9" s="1816">
        <f>'Acct Summary 7-8'!D17</f>
        <v>662516</v>
      </c>
      <c r="D9" s="1816">
        <f>'Acct Summary 7-8'!F17</f>
        <v>689268</v>
      </c>
      <c r="E9" s="1815"/>
      <c r="F9" s="1815">
        <f>SUM(B9:E9)</f>
        <v>9780291</v>
      </c>
    </row>
    <row r="10" spans="1:8" s="1079" customFormat="1" ht="14.25" thickTop="1" thickBot="1" x14ac:dyDescent="0.25">
      <c r="A10" s="1080" t="s">
        <v>1370</v>
      </c>
      <c r="B10" s="1817">
        <f>(B8-B9)</f>
        <v>-1390243</v>
      </c>
      <c r="C10" s="1817">
        <f>(C8-C9)</f>
        <v>-383728</v>
      </c>
      <c r="D10" s="1817">
        <f>(D8-D9)</f>
        <v>-120635</v>
      </c>
      <c r="E10" s="1816">
        <f>(E8-E9)</f>
        <v>27683</v>
      </c>
      <c r="F10" s="1818">
        <f>SUM(F8-F9)</f>
        <v>-1866923</v>
      </c>
    </row>
    <row r="11" spans="1:8" s="1079" customFormat="1" ht="14.25" thickTop="1" thickBot="1" x14ac:dyDescent="0.25">
      <c r="A11" s="1081" t="s">
        <v>1985</v>
      </c>
      <c r="B11" s="1819">
        <f>'Acct Summary 7-8'!C81</f>
        <v>2276310</v>
      </c>
      <c r="C11" s="1819">
        <f>'Acct Summary 7-8'!D81</f>
        <v>-44269</v>
      </c>
      <c r="D11" s="1819">
        <f>'Acct Summary 7-8'!F81</f>
        <v>200718</v>
      </c>
      <c r="E11" s="1819">
        <f>'Acct Summary 7-8'!I81</f>
        <v>141650</v>
      </c>
      <c r="F11" s="1820">
        <f>SUM(B11:E11)</f>
        <v>2574409</v>
      </c>
    </row>
    <row r="12" spans="1:8" ht="16.5" customHeight="1" thickTop="1" x14ac:dyDescent="0.2">
      <c r="A12" s="1082"/>
      <c r="B12" s="1083"/>
      <c r="C12" s="234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6"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33048202026</v>
      </c>
    </row>
    <row r="3" spans="1:2" x14ac:dyDescent="0.2">
      <c r="A3" t="s">
        <v>956</v>
      </c>
      <c r="B3" s="138" t="str">
        <f>COVER!A15</f>
        <v>KNOX</v>
      </c>
    </row>
    <row r="4" spans="1:2" x14ac:dyDescent="0.2">
      <c r="A4" t="s">
        <v>1007</v>
      </c>
      <c r="B4" s="138" t="str">
        <f>COVER!A17</f>
        <v>Knoxville CUSD 202</v>
      </c>
    </row>
    <row r="5" spans="1:2" x14ac:dyDescent="0.2">
      <c r="A5" t="s">
        <v>704</v>
      </c>
      <c r="B5" s="138" t="str">
        <f>COVER!A38</f>
        <v>STEPHEN WILDER</v>
      </c>
    </row>
    <row r="6" spans="1:2" x14ac:dyDescent="0.2">
      <c r="A6" t="s">
        <v>709</v>
      </c>
      <c r="B6" s="138">
        <f>COVER!P35</f>
        <v>0</v>
      </c>
    </row>
    <row r="7" spans="1:2" x14ac:dyDescent="0.2">
      <c r="A7" t="s">
        <v>705</v>
      </c>
      <c r="B7" s="138">
        <f>COVER!I38</f>
        <v>0</v>
      </c>
    </row>
    <row r="8" spans="1:2" x14ac:dyDescent="0.2">
      <c r="A8" t="s">
        <v>706</v>
      </c>
      <c r="B8" s="138" t="str">
        <f>COVER!T38</f>
        <v>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065-024137</v>
      </c>
    </row>
    <row r="16" spans="1:2" x14ac:dyDescent="0.2">
      <c r="A16" t="s">
        <v>422</v>
      </c>
      <c r="B16" s="138" t="str">
        <f>COVER!T13</f>
        <v>BLUCKER, KNEER &amp; ASSOCIATES, LTD</v>
      </c>
    </row>
    <row r="17" spans="1:2" x14ac:dyDescent="0.2">
      <c r="A17" t="s">
        <v>884</v>
      </c>
      <c r="B17" s="138" t="str">
        <f>COVER!T15</f>
        <v>TERESA A. WELCH</v>
      </c>
    </row>
    <row r="18" spans="1:2" x14ac:dyDescent="0.2">
      <c r="A18" t="s">
        <v>1150</v>
      </c>
      <c r="B18" s="138" t="str">
        <f>COVER!T17</f>
        <v>P.O. BOX 1464</v>
      </c>
    </row>
    <row r="19" spans="1:2" x14ac:dyDescent="0.2">
      <c r="A19" t="s">
        <v>886</v>
      </c>
      <c r="B19" s="138" t="str">
        <f>COVER!T25</f>
        <v>teresabka@gmailcom</v>
      </c>
    </row>
    <row r="20" spans="1:2" x14ac:dyDescent="0.2">
      <c r="A20" t="s">
        <v>887</v>
      </c>
      <c r="B20" s="138" t="str">
        <f>COVER!T19</f>
        <v>GALESBURG</v>
      </c>
    </row>
    <row r="21" spans="1:2" x14ac:dyDescent="0.2">
      <c r="A21" t="s">
        <v>479</v>
      </c>
      <c r="B21" s="138" t="str">
        <f>COVER!X19</f>
        <v>IL</v>
      </c>
    </row>
    <row r="22" spans="1:2" x14ac:dyDescent="0.2">
      <c r="A22" t="s">
        <v>888</v>
      </c>
      <c r="B22" s="138">
        <f>COVER!Z19</f>
        <v>61401</v>
      </c>
    </row>
    <row r="23" spans="1:2" x14ac:dyDescent="0.2">
      <c r="A23" t="s">
        <v>1152</v>
      </c>
      <c r="B23" s="138" t="str">
        <f>COVER!T21</f>
        <v>309-343-4156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t="str">
        <f>IF('FP Info 3'!B51="X","Yes",0)</f>
        <v>Yes</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484698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2269072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-7238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-7238</v>
      </c>
      <c r="C91" s="2" t="s">
        <v>573</v>
      </c>
      <c r="D91" s="2" t="str">
        <f t="shared" si="0"/>
        <v>Error?</v>
      </c>
    </row>
    <row r="92" spans="1:4" x14ac:dyDescent="0.2">
      <c r="A92" s="5">
        <v>31</v>
      </c>
      <c r="B92" s="138">
        <f>'Assets-Liab 5-6'!C39</f>
        <v>2276310</v>
      </c>
      <c r="D92" s="2" t="str">
        <f t="shared" si="0"/>
        <v>Error?</v>
      </c>
    </row>
    <row r="93" spans="1:4" x14ac:dyDescent="0.2">
      <c r="A93" s="5">
        <v>32</v>
      </c>
      <c r="B93" s="138">
        <f>'Assets-Liab 5-6'!C41</f>
        <v>2269072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31191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31191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4998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75460</v>
      </c>
      <c r="C122" s="2" t="s">
        <v>573</v>
      </c>
      <c r="D122" s="2" t="str">
        <f t="shared" si="0"/>
        <v>Error?</v>
      </c>
    </row>
    <row r="123" spans="1:4" x14ac:dyDescent="0.2">
      <c r="A123" s="5">
        <v>62</v>
      </c>
      <c r="B123" s="138">
        <f>'Assets-Liab 5-6'!D39</f>
        <v>-44269</v>
      </c>
      <c r="D123" s="2" t="str">
        <f t="shared" si="0"/>
        <v>Error?</v>
      </c>
    </row>
    <row r="124" spans="1:4" x14ac:dyDescent="0.2">
      <c r="A124" s="5">
        <v>63</v>
      </c>
      <c r="B124" s="138">
        <f>'Assets-Liab 5-6'!D41</f>
        <v>31191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12367</v>
      </c>
      <c r="D129" s="2" t="str">
        <f t="shared" si="1"/>
        <v>Error?</v>
      </c>
    </row>
    <row r="130" spans="1:4" x14ac:dyDescent="0.2">
      <c r="A130" s="5">
        <v>69</v>
      </c>
      <c r="B130" s="138">
        <f>'Assets-Liab 5-6'!E12</f>
        <v>0</v>
      </c>
      <c r="D130" s="2" t="str">
        <f t="shared" si="1"/>
        <v>Error?</v>
      </c>
    </row>
    <row r="131" spans="1:4" x14ac:dyDescent="0.2">
      <c r="A131" s="5">
        <v>70</v>
      </c>
      <c r="B131" s="138">
        <f>'Assets-Liab 5-6'!E13</f>
        <v>12367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370375</v>
      </c>
      <c r="C139" s="2" t="s">
        <v>573</v>
      </c>
      <c r="D139" s="2" t="str">
        <f t="shared" si="1"/>
        <v>Error?</v>
      </c>
    </row>
    <row r="140" spans="1:4" x14ac:dyDescent="0.2">
      <c r="A140" s="5">
        <v>79</v>
      </c>
      <c r="B140" s="138">
        <f>'Assets-Liab 5-6'!E39</f>
        <v>-358008</v>
      </c>
      <c r="D140" s="2" t="str">
        <f t="shared" si="1"/>
        <v>Error?</v>
      </c>
    </row>
    <row r="141" spans="1:4" x14ac:dyDescent="0.2">
      <c r="A141" s="5">
        <v>80</v>
      </c>
      <c r="B141" s="138">
        <f>'Assets-Liab 5-6'!E41</f>
        <v>12367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255827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255827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13333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55109</v>
      </c>
      <c r="C169" s="2" t="s">
        <v>573</v>
      </c>
      <c r="D169" s="2" t="str">
        <f t="shared" si="1"/>
        <v>Error?</v>
      </c>
    </row>
    <row r="170" spans="1:4" x14ac:dyDescent="0.2">
      <c r="A170" s="5">
        <v>109</v>
      </c>
      <c r="B170" s="138">
        <f>'Assets-Liab 5-6'!F39</f>
        <v>200718</v>
      </c>
      <c r="D170" s="2" t="str">
        <f t="shared" si="1"/>
        <v>Error?</v>
      </c>
    </row>
    <row r="171" spans="1:4" x14ac:dyDescent="0.2">
      <c r="A171" s="5">
        <v>110</v>
      </c>
      <c r="B171" s="138">
        <f>'Assets-Liab 5-6'!F41</f>
        <v>255827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102980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308887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308887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186182</v>
      </c>
      <c r="D273" s="2" t="str">
        <f t="shared" si="3"/>
        <v>Error?</v>
      </c>
    </row>
    <row r="274" spans="1:4" x14ac:dyDescent="0.2">
      <c r="A274" s="5">
        <v>213</v>
      </c>
      <c r="B274" s="138">
        <f>'Assets-Liab 5-6'!M17</f>
        <v>46456600</v>
      </c>
      <c r="D274" s="2" t="str">
        <f t="shared" si="3"/>
        <v>Error?</v>
      </c>
    </row>
    <row r="275" spans="1:4" x14ac:dyDescent="0.2">
      <c r="A275" s="5">
        <v>214</v>
      </c>
      <c r="B275" s="138">
        <f>'Assets-Liab 5-6'!M18</f>
        <v>0</v>
      </c>
      <c r="D275" s="2" t="str">
        <f t="shared" si="3"/>
        <v>Error?</v>
      </c>
    </row>
    <row r="276" spans="1:4" x14ac:dyDescent="0.2">
      <c r="A276" s="5">
        <v>215</v>
      </c>
      <c r="B276" s="138">
        <f>'Assets-Liab 5-6'!M19</f>
        <v>2731578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49374360</v>
      </c>
      <c r="C279" s="2" t="s">
        <v>573</v>
      </c>
      <c r="D279" s="2" t="str">
        <f t="shared" si="3"/>
        <v>Error?</v>
      </c>
    </row>
    <row r="280" spans="1:4" x14ac:dyDescent="0.2">
      <c r="A280" s="5">
        <v>219</v>
      </c>
      <c r="B280" s="138">
        <f>'Assets-Liab 5-6'!M40</f>
        <v>49374360</v>
      </c>
      <c r="D280" s="2" t="str">
        <f t="shared" si="3"/>
        <v>Error?</v>
      </c>
    </row>
    <row r="281" spans="1:4" x14ac:dyDescent="0.2">
      <c r="A281" s="5">
        <v>220</v>
      </c>
      <c r="B281" s="138">
        <f>'Assets-Liab 5-6'!M41</f>
        <v>49374360</v>
      </c>
      <c r="C281" s="2" t="s">
        <v>573</v>
      </c>
      <c r="D281" s="2" t="str">
        <f t="shared" si="3"/>
        <v>Error?</v>
      </c>
    </row>
    <row r="282" spans="1:4" x14ac:dyDescent="0.2">
      <c r="A282" s="5">
        <v>221</v>
      </c>
      <c r="B282" s="138">
        <f>'Assets-Liab 5-6'!N21</f>
        <v>370375</v>
      </c>
      <c r="D282" s="2" t="str">
        <f t="shared" si="3"/>
        <v>Error?</v>
      </c>
    </row>
    <row r="283" spans="1:4" x14ac:dyDescent="0.2">
      <c r="A283" s="5">
        <v>222</v>
      </c>
      <c r="B283" s="138">
        <f>'Assets-Liab 5-6'!N22</f>
        <v>11679625</v>
      </c>
      <c r="D283" s="2" t="str">
        <f t="shared" si="3"/>
        <v>Error?</v>
      </c>
    </row>
    <row r="284" spans="1:4" x14ac:dyDescent="0.2">
      <c r="A284" s="5">
        <v>223</v>
      </c>
      <c r="B284" s="138">
        <f>'Assets-Liab 5-6'!N23</f>
        <v>12050000</v>
      </c>
      <c r="C284" s="2" t="s">
        <v>573</v>
      </c>
      <c r="D284" s="2" t="str">
        <f t="shared" si="3"/>
        <v>Error?</v>
      </c>
    </row>
    <row r="285" spans="1:4" x14ac:dyDescent="0.2">
      <c r="A285" s="5">
        <v>224</v>
      </c>
      <c r="B285" s="138">
        <f>'Assets-Liab 5-6'!N36</f>
        <v>12050000</v>
      </c>
      <c r="D285" s="2" t="str">
        <f t="shared" si="3"/>
        <v>Error?</v>
      </c>
    </row>
    <row r="286" spans="1:4" x14ac:dyDescent="0.2">
      <c r="A286" s="10">
        <v>225</v>
      </c>
      <c r="D286" s="2" t="str">
        <f t="shared" si="3"/>
        <v>OK</v>
      </c>
    </row>
    <row r="287" spans="1:4" x14ac:dyDescent="0.2">
      <c r="A287" s="5">
        <v>226</v>
      </c>
      <c r="B287" s="138">
        <f>'Assets-Liab 5-6'!N37</f>
        <v>12050000</v>
      </c>
      <c r="C287" s="2" t="s">
        <v>573</v>
      </c>
      <c r="D287" s="2" t="str">
        <f t="shared" si="3"/>
        <v>Error?</v>
      </c>
    </row>
    <row r="288" spans="1:4" x14ac:dyDescent="0.2">
      <c r="A288" s="5">
        <v>227</v>
      </c>
      <c r="B288" s="138">
        <f>'Assets-Liab 5-6'!N41</f>
        <v>12050000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3209108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218097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4055202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192360</v>
      </c>
      <c r="D722" s="2" t="str">
        <f t="shared" si="10"/>
        <v>Error?</v>
      </c>
    </row>
    <row r="723" spans="1:4" x14ac:dyDescent="0.2">
      <c r="A723" s="5">
        <v>662</v>
      </c>
      <c r="B723" s="138">
        <f>'Expenditures 15-22'!C38</f>
        <v>56871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1480</v>
      </c>
      <c r="D726" s="2" t="str">
        <f t="shared" si="10"/>
        <v>Error?</v>
      </c>
    </row>
    <row r="727" spans="1:4" x14ac:dyDescent="0.2">
      <c r="A727" s="5">
        <v>666</v>
      </c>
      <c r="B727" s="138">
        <f>'Expenditures 15-22'!C42</f>
        <v>250711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98676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98676</v>
      </c>
      <c r="C731" s="2" t="s">
        <v>573</v>
      </c>
      <c r="D731" s="2" t="str">
        <f t="shared" si="10"/>
        <v>Error?</v>
      </c>
    </row>
    <row r="732" spans="1:4" x14ac:dyDescent="0.2">
      <c r="A732" s="5">
        <v>671</v>
      </c>
      <c r="B732" s="138">
        <f>'Expenditures 15-22'!C49</f>
        <v>3554</v>
      </c>
      <c r="D732" s="2" t="str">
        <f t="shared" si="10"/>
        <v>Error?</v>
      </c>
    </row>
    <row r="733" spans="1:4" x14ac:dyDescent="0.2">
      <c r="A733" s="5">
        <v>672</v>
      </c>
      <c r="B733" s="138">
        <f>'Expenditures 15-22'!C50</f>
        <v>172465</v>
      </c>
      <c r="D733" s="2" t="str">
        <f t="shared" si="10"/>
        <v>Error?</v>
      </c>
    </row>
    <row r="734" spans="1:4" x14ac:dyDescent="0.2">
      <c r="A734" s="5">
        <v>673</v>
      </c>
      <c r="B734" s="138">
        <f>'Expenditures 15-22'!C53</f>
        <v>176019</v>
      </c>
      <c r="C734" s="2" t="s">
        <v>573</v>
      </c>
      <c r="D734" s="2" t="str">
        <f t="shared" si="10"/>
        <v>Error?</v>
      </c>
    </row>
    <row r="735" spans="1:4" x14ac:dyDescent="0.2">
      <c r="A735" s="5">
        <v>674</v>
      </c>
      <c r="B735" s="138">
        <f>'Expenditures 15-22'!C55</f>
        <v>424662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424662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49377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181354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230731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1180799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5236001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469179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579972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39598</v>
      </c>
      <c r="D780" s="2" t="str">
        <f t="shared" si="11"/>
        <v>Error?</v>
      </c>
    </row>
    <row r="781" spans="1:4" x14ac:dyDescent="0.2">
      <c r="A781" s="5">
        <v>720</v>
      </c>
      <c r="B781" s="138">
        <f>'Expenditures 15-22'!D38</f>
        <v>7722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47320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15443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15443</v>
      </c>
      <c r="C789" s="2" t="s">
        <v>573</v>
      </c>
      <c r="D789" s="2" t="str">
        <f t="shared" si="11"/>
        <v>Error?</v>
      </c>
    </row>
    <row r="790" spans="1:4" x14ac:dyDescent="0.2">
      <c r="A790" s="5">
        <v>729</v>
      </c>
      <c r="B790" s="138">
        <f>'Expenditures 15-22'!D49</f>
        <v>64889</v>
      </c>
      <c r="D790" s="2" t="str">
        <f t="shared" si="11"/>
        <v>Error?</v>
      </c>
    </row>
    <row r="791" spans="1:4" x14ac:dyDescent="0.2">
      <c r="A791" s="5">
        <v>730</v>
      </c>
      <c r="B791" s="138">
        <f>'Expenditures 15-22'!D50</f>
        <v>26589</v>
      </c>
      <c r="D791" s="2" t="str">
        <f t="shared" si="11"/>
        <v>Error?</v>
      </c>
    </row>
    <row r="792" spans="1:4" x14ac:dyDescent="0.2">
      <c r="A792" s="5">
        <v>731</v>
      </c>
      <c r="B792" s="138">
        <f>'Expenditures 15-22'!D53</f>
        <v>91478</v>
      </c>
      <c r="C792" s="2" t="s">
        <v>573</v>
      </c>
      <c r="D792" s="2" t="str">
        <f t="shared" si="11"/>
        <v>Error?</v>
      </c>
    </row>
    <row r="793" spans="1:4" x14ac:dyDescent="0.2">
      <c r="A793" s="5">
        <v>732</v>
      </c>
      <c r="B793" s="138">
        <f>'Expenditures 15-22'!D55</f>
        <v>88262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88262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15821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16087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258590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838562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1230</v>
      </c>
      <c r="D833" s="2" t="str">
        <f t="shared" si="12"/>
        <v>Error?</v>
      </c>
    </row>
    <row r="834" spans="1:4" x14ac:dyDescent="0.2">
      <c r="A834" s="5">
        <v>773</v>
      </c>
      <c r="B834" s="138">
        <f>'Expenditures 15-22'!E14</f>
        <v>41966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67332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3978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3978</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88418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88418</v>
      </c>
      <c r="C847" s="2" t="s">
        <v>573</v>
      </c>
      <c r="D847" s="2" t="str">
        <f t="shared" si="12"/>
        <v>Error?</v>
      </c>
    </row>
    <row r="848" spans="1:4" x14ac:dyDescent="0.2">
      <c r="A848" s="5">
        <v>787</v>
      </c>
      <c r="B848" s="138">
        <f>'Expenditures 15-22'!E49</f>
        <v>130666</v>
      </c>
      <c r="D848" s="2" t="str">
        <f t="shared" si="12"/>
        <v>Error?</v>
      </c>
    </row>
    <row r="849" spans="1:4" x14ac:dyDescent="0.2">
      <c r="A849" s="5">
        <v>788</v>
      </c>
      <c r="B849" s="138">
        <f>'Expenditures 15-22'!E50</f>
        <v>1814</v>
      </c>
      <c r="D849" s="2" t="str">
        <f t="shared" si="12"/>
        <v>Error?</v>
      </c>
    </row>
    <row r="850" spans="1:4" x14ac:dyDescent="0.2">
      <c r="A850" s="5">
        <v>789</v>
      </c>
      <c r="B850" s="138">
        <f>'Expenditures 15-22'!E53</f>
        <v>132480</v>
      </c>
      <c r="C850" s="2" t="s">
        <v>573</v>
      </c>
      <c r="D850" s="2" t="str">
        <f t="shared" si="12"/>
        <v>Error?</v>
      </c>
    </row>
    <row r="851" spans="1:4" x14ac:dyDescent="0.2">
      <c r="A851" s="5">
        <v>790</v>
      </c>
      <c r="B851" s="138">
        <f>'Expenditures 15-22'!E55</f>
        <v>1361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1361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64364</v>
      </c>
      <c r="D856" s="2" t="str">
        <f t="shared" si="12"/>
        <v>Error?</v>
      </c>
    </row>
    <row r="857" spans="1:4" x14ac:dyDescent="0.2">
      <c r="A857" s="5">
        <v>796</v>
      </c>
      <c r="B857" s="138">
        <f>'Expenditures 15-22'!E62</f>
        <v>1209</v>
      </c>
      <c r="D857" s="2" t="str">
        <f t="shared" si="12"/>
        <v>Error?</v>
      </c>
    </row>
    <row r="858" spans="1:4" x14ac:dyDescent="0.2">
      <c r="A858" s="5">
        <v>797</v>
      </c>
      <c r="B858" s="138">
        <f>'Expenditures 15-22'!E63</f>
        <v>5428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71001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297238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423181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76251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29650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224436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937</v>
      </c>
      <c r="D896" s="2" t="str">
        <f t="shared" si="13"/>
        <v>Error?</v>
      </c>
    </row>
    <row r="897" spans="1:4" x14ac:dyDescent="0.2">
      <c r="A897" s="5">
        <v>836</v>
      </c>
      <c r="B897" s="138">
        <f>'Expenditures 15-22'!F38</f>
        <v>2835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3772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40855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40855</v>
      </c>
      <c r="C905" s="2" t="s">
        <v>573</v>
      </c>
      <c r="D905" s="2" t="str">
        <f t="shared" si="13"/>
        <v>Error?</v>
      </c>
    </row>
    <row r="906" spans="1:4" x14ac:dyDescent="0.2">
      <c r="A906" s="5">
        <v>845</v>
      </c>
      <c r="B906" s="138">
        <f>'Expenditures 15-22'!F49</f>
        <v>46865</v>
      </c>
      <c r="D906" s="2" t="str">
        <f t="shared" si="13"/>
        <v>Error?</v>
      </c>
    </row>
    <row r="907" spans="1:4" x14ac:dyDescent="0.2">
      <c r="A907" s="5">
        <v>846</v>
      </c>
      <c r="B907" s="138">
        <f>'Expenditures 15-22'!F50</f>
        <v>370</v>
      </c>
      <c r="D907" s="2" t="str">
        <f t="shared" si="13"/>
        <v>Error?</v>
      </c>
    </row>
    <row r="908" spans="1:4" x14ac:dyDescent="0.2">
      <c r="A908" s="5">
        <v>847</v>
      </c>
      <c r="B908" s="138">
        <f>'Expenditures 15-22'!F53</f>
        <v>47235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2071</v>
      </c>
      <c r="D913" s="2" t="str">
        <f t="shared" si="13"/>
        <v>Error?</v>
      </c>
    </row>
    <row r="914" spans="1:4" x14ac:dyDescent="0.2">
      <c r="A914" s="5">
        <v>853</v>
      </c>
      <c r="B914" s="138">
        <f>'Expenditures 15-22'!F61</f>
        <v>251210</v>
      </c>
      <c r="D914" s="2" t="str">
        <f t="shared" si="13"/>
        <v>Error?</v>
      </c>
    </row>
    <row r="915" spans="1:4" x14ac:dyDescent="0.2">
      <c r="A915" s="5">
        <v>854</v>
      </c>
      <c r="B915" s="138">
        <f>'Expenditures 15-22'!F62</f>
        <v>8277</v>
      </c>
      <c r="D915" s="2" t="str">
        <f t="shared" si="13"/>
        <v>Error?</v>
      </c>
    </row>
    <row r="916" spans="1:4" x14ac:dyDescent="0.2">
      <c r="A916" s="5">
        <v>855</v>
      </c>
      <c r="B916" s="138">
        <f>'Expenditures 15-22'!F63</f>
        <v>372665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634223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726085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950521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3066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1774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1774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90901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90901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92675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95741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20750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20750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34506</v>
      </c>
      <c r="D1022" s="2" t="str">
        <f t="shared" si="14"/>
        <v>Error?</v>
      </c>
    </row>
    <row r="1023" spans="1:4" x14ac:dyDescent="0.2">
      <c r="A1023" s="5">
        <v>962</v>
      </c>
      <c r="B1023" s="138">
        <f>'Expenditures 15-22'!H50</f>
        <v>3275</v>
      </c>
      <c r="D1023" s="2" t="str">
        <f t="shared" ref="D1023:D1086" si="15">IF(ISBLANK(B1023),"OK",IF(A1023-B1023=0,"OK","Error?"))</f>
        <v>Error?</v>
      </c>
    </row>
    <row r="1024" spans="1:4" x14ac:dyDescent="0.2">
      <c r="A1024" s="5">
        <v>963</v>
      </c>
      <c r="B1024" s="138">
        <f>'Expenditures 15-22'!H53</f>
        <v>37781</v>
      </c>
      <c r="C1024" s="2" t="s">
        <v>573</v>
      </c>
      <c r="D1024" s="2" t="str">
        <f t="shared" si="15"/>
        <v>Error?</v>
      </c>
    </row>
    <row r="1025" spans="1:4" x14ac:dyDescent="0.2">
      <c r="A1025" s="5">
        <v>964</v>
      </c>
      <c r="B1025" s="138">
        <f>'Expenditures 15-22'!H55</f>
        <v>2733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2733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742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742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41256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822495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884501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3762201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1230</v>
      </c>
      <c r="C1105" s="2" t="s">
        <v>573</v>
      </c>
      <c r="D1105" s="2" t="str">
        <f t="shared" si="16"/>
        <v>Error?</v>
      </c>
    </row>
    <row r="1106" spans="1:4" x14ac:dyDescent="0.2">
      <c r="A1106" s="5">
        <v>1045</v>
      </c>
      <c r="B1106" s="138">
        <f>'Expenditures 15-22'!K14</f>
        <v>310463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4950758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232895</v>
      </c>
      <c r="C1110" s="2" t="s">
        <v>573</v>
      </c>
      <c r="D1110" s="2" t="str">
        <f t="shared" si="16"/>
        <v>Error?</v>
      </c>
    </row>
    <row r="1111" spans="1:4" x14ac:dyDescent="0.2">
      <c r="A1111" s="5">
        <v>1050</v>
      </c>
      <c r="B1111" s="138">
        <f>'Expenditures 15-22'!K38</f>
        <v>73180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1480</v>
      </c>
      <c r="C1114" s="2" t="s">
        <v>573</v>
      </c>
      <c r="D1114" s="2" t="str">
        <f t="shared" si="16"/>
        <v>Error?</v>
      </c>
    </row>
    <row r="1115" spans="1:4" x14ac:dyDescent="0.2">
      <c r="A1115" s="5">
        <v>1054</v>
      </c>
      <c r="B1115" s="138">
        <f>'Expenditures 15-22'!K42</f>
        <v>307555</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334293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334293</v>
      </c>
      <c r="C1119" s="2" t="s">
        <v>573</v>
      </c>
      <c r="D1119" s="2" t="str">
        <f t="shared" si="16"/>
        <v>Error?</v>
      </c>
    </row>
    <row r="1120" spans="1:4" x14ac:dyDescent="0.2">
      <c r="A1120" s="5">
        <v>1059</v>
      </c>
      <c r="B1120" s="138">
        <f>'Expenditures 15-22'!K49</f>
        <v>280480</v>
      </c>
      <c r="C1120" s="2" t="s">
        <v>573</v>
      </c>
      <c r="D1120" s="2" t="str">
        <f t="shared" si="16"/>
        <v>Error?</v>
      </c>
    </row>
    <row r="1121" spans="1:4" x14ac:dyDescent="0.2">
      <c r="A1121" s="5">
        <v>1060</v>
      </c>
      <c r="B1121" s="138">
        <f>'Expenditures 15-22'!K50</f>
        <v>204513</v>
      </c>
      <c r="C1121" s="2" t="s">
        <v>573</v>
      </c>
      <c r="D1121" s="2" t="str">
        <f t="shared" si="16"/>
        <v>Error?</v>
      </c>
    </row>
    <row r="1122" spans="1:4" x14ac:dyDescent="0.2">
      <c r="A1122" s="5">
        <v>1061</v>
      </c>
      <c r="B1122" s="138">
        <f>'Expenditures 15-22'!K53</f>
        <v>484993</v>
      </c>
      <c r="C1122" s="2" t="s">
        <v>573</v>
      </c>
      <c r="D1122" s="2" t="str">
        <f t="shared" si="16"/>
        <v>Error?</v>
      </c>
    </row>
    <row r="1123" spans="1:4" x14ac:dyDescent="0.2">
      <c r="A1123" s="5">
        <v>1062</v>
      </c>
      <c r="B1123" s="138">
        <f>'Expenditures 15-22'!K55</f>
        <v>517018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517018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51714</v>
      </c>
      <c r="C1127" s="2" t="s">
        <v>573</v>
      </c>
      <c r="D1127" s="2" t="str">
        <f t="shared" si="16"/>
        <v>Error?</v>
      </c>
    </row>
    <row r="1128" spans="1:4" x14ac:dyDescent="0.2">
      <c r="A1128" s="5">
        <v>1067</v>
      </c>
      <c r="B1128" s="138">
        <f>'Expenditures 15-22'!K61</f>
        <v>315574</v>
      </c>
      <c r="C1128" s="2" t="s">
        <v>573</v>
      </c>
      <c r="D1128" s="2" t="str">
        <f t="shared" si="16"/>
        <v>Error?</v>
      </c>
    </row>
    <row r="1129" spans="1:4" x14ac:dyDescent="0.2">
      <c r="A1129" s="5">
        <v>1068</v>
      </c>
      <c r="B1129" s="138">
        <f>'Expenditures 15-22'!K62</f>
        <v>9486</v>
      </c>
      <c r="C1129" s="2" t="s">
        <v>573</v>
      </c>
      <c r="D1129" s="2" t="str">
        <f t="shared" si="16"/>
        <v>Error?</v>
      </c>
    </row>
    <row r="1130" spans="1:4" x14ac:dyDescent="0.2">
      <c r="A1130" s="5">
        <v>1069</v>
      </c>
      <c r="B1130" s="138">
        <f>'Expenditures 15-22'!K63</f>
        <v>576010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952784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2596643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881106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8428507</v>
      </c>
      <c r="C1152" s="2" t="s">
        <v>573</v>
      </c>
      <c r="D1152" s="2" t="str">
        <f t="shared" si="17"/>
        <v>Error?</v>
      </c>
    </row>
    <row r="1153" spans="1:4" x14ac:dyDescent="0.2">
      <c r="A1153" s="5">
        <v>1092</v>
      </c>
      <c r="B1153" s="138">
        <f>'Expenditures 15-22'!K115</f>
        <v>-1390243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360614</v>
      </c>
      <c r="D1221" s="2" t="str">
        <f t="shared" si="18"/>
        <v>Error?</v>
      </c>
    </row>
    <row r="1222" spans="1:4" x14ac:dyDescent="0.2">
      <c r="A1222" s="10">
        <v>1161</v>
      </c>
      <c r="D1222" s="2" t="str">
        <f t="shared" si="18"/>
        <v>OK</v>
      </c>
    </row>
    <row r="1223" spans="1:4" x14ac:dyDescent="0.2">
      <c r="A1223" s="5">
        <v>1162</v>
      </c>
      <c r="B1223" s="138">
        <f>'Expenditures 15-22'!C127</f>
        <v>360614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360614</v>
      </c>
      <c r="C1225" s="2" t="s">
        <v>573</v>
      </c>
      <c r="D1225" s="2" t="str">
        <f t="shared" si="18"/>
        <v>Error?</v>
      </c>
    </row>
    <row r="1226" spans="1:4" x14ac:dyDescent="0.2">
      <c r="A1226" s="5">
        <v>1165</v>
      </c>
      <c r="B1226" s="138">
        <f>'Expenditures 15-22'!C151</f>
        <v>360614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69427</v>
      </c>
      <c r="D1229" s="2" t="str">
        <f t="shared" si="18"/>
        <v>Error?</v>
      </c>
    </row>
    <row r="1230" spans="1:4" x14ac:dyDescent="0.2">
      <c r="A1230" s="10">
        <v>1169</v>
      </c>
      <c r="D1230" s="2" t="str">
        <f t="shared" si="18"/>
        <v>OK</v>
      </c>
    </row>
    <row r="1231" spans="1:4" x14ac:dyDescent="0.2">
      <c r="A1231" s="5">
        <v>1170</v>
      </c>
      <c r="B1231" s="138">
        <f>'Expenditures 15-22'!D127</f>
        <v>69427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69427</v>
      </c>
      <c r="C1233" s="2" t="s">
        <v>573</v>
      </c>
      <c r="D1233" s="2" t="str">
        <f t="shared" si="18"/>
        <v>Error?</v>
      </c>
    </row>
    <row r="1234" spans="1:4" x14ac:dyDescent="0.2">
      <c r="A1234" s="5">
        <v>1173</v>
      </c>
      <c r="B1234" s="138">
        <f>'Expenditures 15-22'!D151</f>
        <v>69427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97148</v>
      </c>
      <c r="D1237" s="2" t="str">
        <f t="shared" si="18"/>
        <v>Error?</v>
      </c>
    </row>
    <row r="1238" spans="1:4" x14ac:dyDescent="0.2">
      <c r="A1238" s="10">
        <v>1177</v>
      </c>
      <c r="D1238" s="2" t="str">
        <f t="shared" si="18"/>
        <v>OK</v>
      </c>
    </row>
    <row r="1239" spans="1:4" x14ac:dyDescent="0.2">
      <c r="A1239" s="5">
        <v>1178</v>
      </c>
      <c r="B1239" s="138">
        <f>'Expenditures 15-22'!E127</f>
        <v>97148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97148</v>
      </c>
      <c r="C1241" s="2" t="s">
        <v>573</v>
      </c>
      <c r="D1241" s="2" t="str">
        <f t="shared" si="18"/>
        <v>Error?</v>
      </c>
    </row>
    <row r="1242" spans="1:4" x14ac:dyDescent="0.2">
      <c r="A1242" s="5">
        <v>1181</v>
      </c>
      <c r="B1242" s="138">
        <f>'Expenditures 15-22'!E151</f>
        <v>97148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101162</v>
      </c>
      <c r="D1245" s="2" t="str">
        <f t="shared" si="18"/>
        <v>Error?</v>
      </c>
    </row>
    <row r="1246" spans="1:4" x14ac:dyDescent="0.2">
      <c r="A1246" s="10">
        <v>1185</v>
      </c>
      <c r="D1246" s="2" t="str">
        <f t="shared" si="18"/>
        <v>OK</v>
      </c>
    </row>
    <row r="1247" spans="1:4" x14ac:dyDescent="0.2">
      <c r="A1247" s="5">
        <v>1186</v>
      </c>
      <c r="B1247" s="138">
        <f>'Expenditures 15-22'!F127</f>
        <v>101162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101162</v>
      </c>
      <c r="C1249" s="2" t="s">
        <v>573</v>
      </c>
      <c r="D1249" s="2" t="str">
        <f t="shared" si="18"/>
        <v>Error?</v>
      </c>
    </row>
    <row r="1250" spans="1:4" x14ac:dyDescent="0.2">
      <c r="A1250" s="5">
        <v>1189</v>
      </c>
      <c r="B1250" s="138">
        <f>'Expenditures 15-22'!F151</f>
        <v>101162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34165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34165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34165</v>
      </c>
      <c r="C1258" s="2" t="s">
        <v>573</v>
      </c>
      <c r="D1258" s="2" t="str">
        <f t="shared" si="18"/>
        <v>Error?</v>
      </c>
    </row>
    <row r="1259" spans="1:4" x14ac:dyDescent="0.2">
      <c r="A1259" s="5">
        <v>1198</v>
      </c>
      <c r="B1259" s="138">
        <f>'Expenditures 15-22'!G151</f>
        <v>34165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662516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662516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662516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662516</v>
      </c>
      <c r="C1288" s="2" t="s">
        <v>573</v>
      </c>
      <c r="D1288" s="2" t="str">
        <f t="shared" si="19"/>
        <v>Error?</v>
      </c>
    </row>
    <row r="1289" spans="1:4" x14ac:dyDescent="0.2">
      <c r="A1289" s="5">
        <v>1228</v>
      </c>
      <c r="B1289" s="138">
        <f>'Expenditures 15-22'!K152</f>
        <v>-383728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470560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800000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1272060</v>
      </c>
      <c r="C1317" s="2" t="s">
        <v>573</v>
      </c>
      <c r="D1317" s="2" t="str">
        <f t="shared" si="19"/>
        <v>Error?</v>
      </c>
    </row>
    <row r="1318" spans="1:4" x14ac:dyDescent="0.2">
      <c r="A1318" s="5">
        <v>1257</v>
      </c>
      <c r="B1318" s="138">
        <f>'Expenditures 15-22'!H174</f>
        <v>1272060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470560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800000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1272060</v>
      </c>
      <c r="C1331" s="2" t="s">
        <v>573</v>
      </c>
      <c r="D1331" s="2" t="str">
        <f t="shared" si="19"/>
        <v>Error?</v>
      </c>
    </row>
    <row r="1332" spans="1:4" x14ac:dyDescent="0.2">
      <c r="A1332" s="5">
        <v>1271</v>
      </c>
      <c r="B1332" s="138">
        <f>'Expenditures 15-22'!K174</f>
        <v>1272060</v>
      </c>
      <c r="C1332" s="2" t="s">
        <v>573</v>
      </c>
      <c r="D1332" s="2" t="str">
        <f t="shared" si="19"/>
        <v>Error?</v>
      </c>
    </row>
    <row r="1333" spans="1:4" x14ac:dyDescent="0.2">
      <c r="A1333" s="5">
        <v>1272</v>
      </c>
      <c r="B1333" s="138">
        <f>'Expenditures 15-22'!K175</f>
        <v>-417812</v>
      </c>
      <c r="C1333" s="2" t="s">
        <v>573</v>
      </c>
      <c r="D1333" s="2" t="str">
        <f t="shared" si="19"/>
        <v>Error?</v>
      </c>
    </row>
    <row r="1334" spans="1:4" x14ac:dyDescent="0.2">
      <c r="A1334" s="10">
        <v>1273</v>
      </c>
      <c r="D1334" s="2" t="str">
        <f t="shared" si="19"/>
        <v>OK</v>
      </c>
    </row>
    <row r="1335" spans="1:4" x14ac:dyDescent="0.2">
      <c r="A1335" s="5">
        <v>1274</v>
      </c>
      <c r="B1335" s="138">
        <f>'Expenditures 15-22'!C182</f>
        <v>319652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319652</v>
      </c>
      <c r="C1339" s="2" t="s">
        <v>573</v>
      </c>
      <c r="D1339" s="2" t="str">
        <f t="shared" si="19"/>
        <v>Error?</v>
      </c>
    </row>
    <row r="1340" spans="1:4" x14ac:dyDescent="0.2">
      <c r="A1340" s="5">
        <v>1279</v>
      </c>
      <c r="B1340" s="138">
        <f>'Expenditures 15-22'!C210</f>
        <v>319652</v>
      </c>
      <c r="C1340" s="2" t="s">
        <v>573</v>
      </c>
      <c r="D1340" s="2" t="str">
        <f t="shared" si="19"/>
        <v>Error?</v>
      </c>
    </row>
    <row r="1341" spans="1:4" x14ac:dyDescent="0.2">
      <c r="A1341" s="5">
        <v>1280</v>
      </c>
      <c r="B1341" s="138">
        <f>'Expenditures 15-22'!D182</f>
        <v>7732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7732</v>
      </c>
      <c r="C1345" s="2" t="s">
        <v>573</v>
      </c>
      <c r="D1345" s="2" t="str">
        <f t="shared" si="20"/>
        <v>Error?</v>
      </c>
    </row>
    <row r="1346" spans="1:4" x14ac:dyDescent="0.2">
      <c r="A1346" s="5">
        <v>1285</v>
      </c>
      <c r="B1346" s="138">
        <f>'Expenditures 15-22'!D210</f>
        <v>7732</v>
      </c>
      <c r="C1346" s="2" t="s">
        <v>573</v>
      </c>
      <c r="D1346" s="2" t="str">
        <f t="shared" si="20"/>
        <v>Error?</v>
      </c>
    </row>
    <row r="1347" spans="1:4" x14ac:dyDescent="0.2">
      <c r="A1347" s="5">
        <v>1286</v>
      </c>
      <c r="B1347" s="138">
        <f>'Expenditures 15-22'!E182</f>
        <v>17236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17236</v>
      </c>
      <c r="C1351" s="2" t="s">
        <v>573</v>
      </c>
      <c r="D1351" s="2" t="str">
        <f t="shared" si="20"/>
        <v>Error?</v>
      </c>
    </row>
    <row r="1352" spans="1:4" x14ac:dyDescent="0.2">
      <c r="A1352" s="5">
        <v>1291</v>
      </c>
      <c r="B1352" s="138">
        <f>'Expenditures 15-22'!E196</f>
        <v>34730</v>
      </c>
      <c r="C1352" s="2" t="s">
        <v>573</v>
      </c>
      <c r="D1352" s="2" t="str">
        <f t="shared" si="20"/>
        <v>Error?</v>
      </c>
    </row>
    <row r="1353" spans="1:4" x14ac:dyDescent="0.2">
      <c r="A1353" s="5">
        <v>1292</v>
      </c>
      <c r="B1353" s="138">
        <f>'Expenditures 15-22'!E210</f>
        <v>51966</v>
      </c>
      <c r="C1353" s="2" t="s">
        <v>573</v>
      </c>
      <c r="D1353" s="2" t="str">
        <f t="shared" si="20"/>
        <v>Error?</v>
      </c>
    </row>
    <row r="1354" spans="1:4" x14ac:dyDescent="0.2">
      <c r="A1354" s="5">
        <v>1293</v>
      </c>
      <c r="B1354" s="138">
        <f>'Expenditures 15-22'!F182</f>
        <v>106414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106414</v>
      </c>
      <c r="C1358" s="2" t="s">
        <v>573</v>
      </c>
      <c r="D1358" s="2" t="str">
        <f t="shared" si="20"/>
        <v>Error?</v>
      </c>
    </row>
    <row r="1359" spans="1:4" x14ac:dyDescent="0.2">
      <c r="A1359" s="5">
        <v>1298</v>
      </c>
      <c r="B1359" s="138">
        <f>'Expenditures 15-22'!F210</f>
        <v>106414</v>
      </c>
      <c r="C1359" s="2" t="s">
        <v>573</v>
      </c>
      <c r="D1359" s="2" t="str">
        <f t="shared" si="20"/>
        <v>Error?</v>
      </c>
    </row>
    <row r="1360" spans="1:4" x14ac:dyDescent="0.2">
      <c r="A1360" s="5">
        <v>1299</v>
      </c>
      <c r="B1360" s="138">
        <f>'Expenditures 15-22'!G182</f>
        <v>203504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203504</v>
      </c>
      <c r="C1364" s="2" t="s">
        <v>573</v>
      </c>
      <c r="D1364" s="2" t="str">
        <f t="shared" si="20"/>
        <v>Error?</v>
      </c>
    </row>
    <row r="1365" spans="1:4" x14ac:dyDescent="0.2">
      <c r="A1365" s="5">
        <v>1304</v>
      </c>
      <c r="B1365" s="138">
        <f>'Expenditures 15-22'!G210</f>
        <v>203504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654538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654538</v>
      </c>
      <c r="C1381" s="2" t="s">
        <v>573</v>
      </c>
      <c r="D1381" s="2" t="str">
        <f t="shared" si="20"/>
        <v>Error?</v>
      </c>
    </row>
    <row r="1382" spans="1:4" x14ac:dyDescent="0.2">
      <c r="A1382" s="5">
        <v>1321</v>
      </c>
      <c r="B1382" s="138">
        <f>'Expenditures 15-22'!K196</f>
        <v>34730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689268</v>
      </c>
      <c r="C1388" s="2" t="s">
        <v>573</v>
      </c>
      <c r="D1388" s="2" t="str">
        <f t="shared" si="20"/>
        <v>Error?</v>
      </c>
    </row>
    <row r="1389" spans="1:4" x14ac:dyDescent="0.2">
      <c r="A1389" s="5">
        <v>1328</v>
      </c>
      <c r="B1389" s="138">
        <f>'Expenditures 15-22'!K211</f>
        <v>-120635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189807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43761</v>
      </c>
      <c r="D1431" s="2" t="str">
        <f t="shared" si="21"/>
        <v>Error?</v>
      </c>
    </row>
    <row r="1432" spans="1:4" x14ac:dyDescent="0.2">
      <c r="A1432" s="5">
        <v>1371</v>
      </c>
      <c r="B1432" s="138">
        <f>'Expenditures 15-22'!D267</f>
        <v>4730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48491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48491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263385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189807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43761</v>
      </c>
      <c r="C1495" s="2" t="s">
        <v>573</v>
      </c>
      <c r="D1495" s="2" t="str">
        <f t="shared" si="22"/>
        <v>Error?</v>
      </c>
    </row>
    <row r="1496" spans="1:4" x14ac:dyDescent="0.2">
      <c r="A1496" s="5">
        <v>1435</v>
      </c>
      <c r="B1496" s="138">
        <f>'Expenditures 15-22'!K267</f>
        <v>4730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48491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48491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263385</v>
      </c>
      <c r="C1517" s="2" t="s">
        <v>573</v>
      </c>
      <c r="D1517" s="2" t="str">
        <f t="shared" si="22"/>
        <v>Error?</v>
      </c>
    </row>
    <row r="1518" spans="1:4" x14ac:dyDescent="0.2">
      <c r="A1518" s="5">
        <v>1457</v>
      </c>
      <c r="B1518" s="138">
        <f>'Expenditures 15-22'!K296</f>
        <v>-31663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3666553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2276310</v>
      </c>
      <c r="C1630" s="2" t="s">
        <v>573</v>
      </c>
      <c r="D1630" s="2" t="str">
        <f t="shared" si="24"/>
        <v>Error?</v>
      </c>
    </row>
    <row r="1631" spans="1:4" x14ac:dyDescent="0.2">
      <c r="A1631" s="5">
        <v>1570</v>
      </c>
      <c r="B1631" s="138">
        <f>'Acct Summary 7-8'!D79</f>
        <v>339459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-44269</v>
      </c>
      <c r="C1644" s="2" t="s">
        <v>573</v>
      </c>
      <c r="D1644" s="2" t="str">
        <f t="shared" si="24"/>
        <v>Error?</v>
      </c>
    </row>
    <row r="1645" spans="1:4" x14ac:dyDescent="0.2">
      <c r="A1645" s="5">
        <v>1584</v>
      </c>
      <c r="B1645" s="138">
        <f>'Acct Summary 7-8'!E79</f>
        <v>59804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-358008</v>
      </c>
      <c r="C1658" s="2" t="s">
        <v>573</v>
      </c>
      <c r="D1658" s="2" t="str">
        <f t="shared" si="24"/>
        <v>Error?</v>
      </c>
    </row>
    <row r="1659" spans="1:4" x14ac:dyDescent="0.2">
      <c r="A1659" s="5">
        <v>1598</v>
      </c>
      <c r="B1659" s="138">
        <f>'Acct Summary 7-8'!F79</f>
        <v>321353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200718</v>
      </c>
      <c r="C1672" s="2" t="s">
        <v>573</v>
      </c>
      <c r="D1672" s="2" t="str">
        <f t="shared" si="25"/>
        <v>Error?</v>
      </c>
    </row>
    <row r="1673" spans="1:4" x14ac:dyDescent="0.2">
      <c r="A1673" s="5">
        <v>1612</v>
      </c>
      <c r="B1673" s="138">
        <f>'Acct Summary 7-8'!G79</f>
        <v>340550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308887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1603467</v>
      </c>
      <c r="C1744" s="2" t="s">
        <v>573</v>
      </c>
      <c r="D1744" s="2" t="str">
        <f t="shared" si="26"/>
        <v>Error?</v>
      </c>
    </row>
    <row r="1745" spans="1:5" x14ac:dyDescent="0.2">
      <c r="A1745" s="5">
        <v>1684</v>
      </c>
      <c r="B1745" s="138">
        <f>'Tax Sched 23'!B5</f>
        <v>276461</v>
      </c>
      <c r="C1745" s="2" t="s">
        <v>573</v>
      </c>
      <c r="D1745" s="2" t="str">
        <f t="shared" si="26"/>
        <v>Error?</v>
      </c>
    </row>
    <row r="1746" spans="1:5" x14ac:dyDescent="0.2">
      <c r="A1746" s="5">
        <v>1685</v>
      </c>
      <c r="B1746" s="138">
        <f>'Tax Sched 23'!B6</f>
        <v>203870</v>
      </c>
      <c r="C1746" s="2" t="s">
        <v>573</v>
      </c>
      <c r="D1746" s="2" t="str">
        <f t="shared" si="26"/>
        <v>Error?</v>
      </c>
    </row>
    <row r="1747" spans="1:5" x14ac:dyDescent="0.2">
      <c r="A1747" s="5">
        <v>1686</v>
      </c>
      <c r="B1747" s="138">
        <f>'Tax Sched 23'!B7</f>
        <v>110585</v>
      </c>
      <c r="C1747" s="2" t="s">
        <v>573</v>
      </c>
      <c r="D1747" s="2" t="str">
        <f t="shared" si="26"/>
        <v>Error?</v>
      </c>
    </row>
    <row r="1748" spans="1:5" x14ac:dyDescent="0.2">
      <c r="A1748" s="5">
        <v>1687</v>
      </c>
      <c r="B1748" s="138">
        <f>'Tax Sched 23'!B8</f>
        <v>12927</v>
      </c>
      <c r="C1748" s="2" t="s">
        <v>573</v>
      </c>
      <c r="D1748" s="2" t="str">
        <f t="shared" si="26"/>
        <v>Error?</v>
      </c>
    </row>
    <row r="1749" spans="1:5" x14ac:dyDescent="0.2">
      <c r="A1749" s="5">
        <v>1688</v>
      </c>
      <c r="B1749" s="138">
        <f>'Tax Sched 23'!B10</f>
        <v>27647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105640</v>
      </c>
      <c r="C1752" s="2" t="s">
        <v>573</v>
      </c>
      <c r="D1752" s="2" t="str">
        <f t="shared" si="26"/>
        <v>Error?</v>
      </c>
    </row>
    <row r="1753" spans="1:5" x14ac:dyDescent="0.2">
      <c r="A1753" s="5">
        <v>1692</v>
      </c>
      <c r="B1753" s="138">
        <f>'Tax Sched 23'!B12</f>
        <v>27646</v>
      </c>
      <c r="C1753" s="2" t="s">
        <v>573</v>
      </c>
      <c r="D1753" s="2" t="str">
        <f t="shared" si="26"/>
        <v>Error?</v>
      </c>
    </row>
    <row r="1754" spans="1:5" x14ac:dyDescent="0.2">
      <c r="A1754" s="5">
        <v>1693</v>
      </c>
      <c r="B1754" s="138">
        <f>'Tax Sched 23'!B14</f>
        <v>22117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2430933</v>
      </c>
      <c r="C1759" s="2" t="s">
        <v>573</v>
      </c>
      <c r="D1759" s="2" t="str">
        <f t="shared" si="26"/>
        <v>Error?</v>
      </c>
    </row>
    <row r="1760" spans="1:5" x14ac:dyDescent="0.2">
      <c r="A1760" s="5">
        <v>1699</v>
      </c>
      <c r="B1760" s="138">
        <f>'Tax Sched 23'!D4</f>
        <v>1319465</v>
      </c>
      <c r="C1760" s="2" t="s">
        <v>573</v>
      </c>
      <c r="D1760" s="2" t="str">
        <f t="shared" si="26"/>
        <v>Error?</v>
      </c>
    </row>
    <row r="1761" spans="1:5" x14ac:dyDescent="0.2">
      <c r="A1761" s="5">
        <v>1700</v>
      </c>
      <c r="B1761" s="138">
        <f>'Tax Sched 23'!D5</f>
        <v>227495</v>
      </c>
      <c r="C1761" s="2" t="s">
        <v>573</v>
      </c>
      <c r="D1761" s="2" t="str">
        <f t="shared" si="26"/>
        <v>Error?</v>
      </c>
    </row>
    <row r="1762" spans="1:5" s="8" customFormat="1" x14ac:dyDescent="0.2">
      <c r="A1762" s="5">
        <v>1701</v>
      </c>
      <c r="B1762" s="138">
        <f>'Tax Sched 23'!D6</f>
        <v>168486</v>
      </c>
      <c r="C1762" s="2" t="s">
        <v>573</v>
      </c>
      <c r="D1762" s="2" t="str">
        <f t="shared" si="26"/>
        <v>Error?</v>
      </c>
      <c r="E1762" s="9"/>
    </row>
    <row r="1763" spans="1:5" x14ac:dyDescent="0.2">
      <c r="A1763" s="5">
        <v>1702</v>
      </c>
      <c r="B1763" s="138">
        <f>'Tax Sched 23'!D7</f>
        <v>90999</v>
      </c>
      <c r="C1763" s="2" t="s">
        <v>573</v>
      </c>
      <c r="D1763" s="2" t="str">
        <f t="shared" si="26"/>
        <v>Error?</v>
      </c>
    </row>
    <row r="1764" spans="1:5" x14ac:dyDescent="0.2">
      <c r="A1764" s="5">
        <v>1703</v>
      </c>
      <c r="B1764" s="138">
        <f>'Tax Sched 23'!D8</f>
        <v>10706</v>
      </c>
      <c r="C1764" s="2" t="s">
        <v>573</v>
      </c>
      <c r="D1764" s="2" t="str">
        <f t="shared" si="26"/>
        <v>Error?</v>
      </c>
    </row>
    <row r="1765" spans="1:5" x14ac:dyDescent="0.2">
      <c r="A1765" s="5">
        <v>1704</v>
      </c>
      <c r="B1765" s="138">
        <f>'Tax Sched 23'!D10</f>
        <v>22750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85652</v>
      </c>
      <c r="C1768" s="2" t="s">
        <v>573</v>
      </c>
      <c r="D1768" s="2" t="str">
        <f t="shared" si="26"/>
        <v>Error?</v>
      </c>
    </row>
    <row r="1769" spans="1:5" x14ac:dyDescent="0.2">
      <c r="A1769" s="5">
        <v>1708</v>
      </c>
      <c r="B1769" s="138">
        <f>'Tax Sched 23'!D12</f>
        <v>22749</v>
      </c>
      <c r="C1769" s="2" t="s">
        <v>573</v>
      </c>
      <c r="D1769" s="2" t="str">
        <f t="shared" si="26"/>
        <v>Error?</v>
      </c>
    </row>
    <row r="1770" spans="1:5" x14ac:dyDescent="0.2">
      <c r="A1770" s="5">
        <v>1709</v>
      </c>
      <c r="B1770" s="138">
        <f>'Tax Sched 23'!D14</f>
        <v>18200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1999957</v>
      </c>
      <c r="C1775" s="2" t="s">
        <v>573</v>
      </c>
      <c r="D1775" s="2" t="str">
        <f t="shared" si="26"/>
        <v>Error?</v>
      </c>
    </row>
    <row r="1776" spans="1:5" x14ac:dyDescent="0.2">
      <c r="A1776" s="5">
        <v>1715</v>
      </c>
      <c r="B1776" s="138">
        <f>'Tax Sched 23'!C4</f>
        <v>284002</v>
      </c>
      <c r="D1776" s="2" t="str">
        <f t="shared" si="26"/>
        <v>Error?</v>
      </c>
    </row>
    <row r="1777" spans="1:4" x14ac:dyDescent="0.2">
      <c r="A1777" s="5">
        <v>1716</v>
      </c>
      <c r="B1777" s="138">
        <f>'Tax Sched 23'!C5</f>
        <v>48966</v>
      </c>
      <c r="D1777" s="2" t="str">
        <f t="shared" si="26"/>
        <v>Error?</v>
      </c>
    </row>
    <row r="1778" spans="1:4" x14ac:dyDescent="0.2">
      <c r="A1778" s="5">
        <v>1717</v>
      </c>
      <c r="B1778" s="138">
        <f>'Tax Sched 23'!C6</f>
        <v>35384</v>
      </c>
      <c r="D1778" s="2" t="str">
        <f t="shared" si="26"/>
        <v>Error?</v>
      </c>
    </row>
    <row r="1779" spans="1:4" x14ac:dyDescent="0.2">
      <c r="A1779" s="5">
        <v>1718</v>
      </c>
      <c r="B1779" s="138">
        <f>'Tax Sched 23'!C7</f>
        <v>19586</v>
      </c>
      <c r="D1779" s="2" t="str">
        <f t="shared" si="26"/>
        <v>Error?</v>
      </c>
    </row>
    <row r="1780" spans="1:4" x14ac:dyDescent="0.2">
      <c r="A1780" s="5">
        <v>1719</v>
      </c>
      <c r="B1780" s="138">
        <f>'Tax Sched 23'!C8</f>
        <v>2221</v>
      </c>
      <c r="D1780" s="2" t="str">
        <f t="shared" si="26"/>
        <v>Error?</v>
      </c>
    </row>
    <row r="1781" spans="1:4" x14ac:dyDescent="0.2">
      <c r="A1781" s="5">
        <v>1720</v>
      </c>
      <c r="B1781" s="138">
        <f>'Tax Sched 23'!C10</f>
        <v>4897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19988</v>
      </c>
      <c r="D1784" s="2" t="str">
        <f t="shared" si="26"/>
        <v>Error?</v>
      </c>
    </row>
    <row r="1785" spans="1:4" x14ac:dyDescent="0.2">
      <c r="A1785" s="5">
        <v>1724</v>
      </c>
      <c r="B1785" s="138">
        <f>'Tax Sched 23'!C12</f>
        <v>4897</v>
      </c>
      <c r="D1785" s="2" t="str">
        <f t="shared" si="26"/>
        <v>Error?</v>
      </c>
    </row>
    <row r="1786" spans="1:4" x14ac:dyDescent="0.2">
      <c r="A1786" s="5">
        <v>1725</v>
      </c>
      <c r="B1786" s="138">
        <f>'Tax Sched 23'!C14</f>
        <v>3917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430976</v>
      </c>
      <c r="C1791" s="2" t="s">
        <v>573</v>
      </c>
      <c r="D1791" s="2" t="str">
        <f t="shared" ref="D1791:D1854" si="27">IF(ISBLANK(B1791),"OK",IF(A1791-B1791=0,"OK","Error?"))</f>
        <v>Error?</v>
      </c>
    </row>
    <row r="1792" spans="1:4" x14ac:dyDescent="0.2">
      <c r="A1792" s="5">
        <v>1731</v>
      </c>
      <c r="B1792" s="138">
        <f>'Tax Sched 23'!F4</f>
        <v>2913059</v>
      </c>
      <c r="C1792" s="2" t="s">
        <v>573</v>
      </c>
      <c r="D1792" s="2" t="str">
        <f t="shared" si="27"/>
        <v>Error?</v>
      </c>
    </row>
    <row r="1793" spans="1:4" x14ac:dyDescent="0.2">
      <c r="A1793" s="5">
        <v>1732</v>
      </c>
      <c r="B1793" s="138">
        <f>'Tax Sched 23'!F5</f>
        <v>502251</v>
      </c>
      <c r="C1793" s="2" t="s">
        <v>573</v>
      </c>
      <c r="D1793" s="2" t="str">
        <f t="shared" si="27"/>
        <v>Error?</v>
      </c>
    </row>
    <row r="1794" spans="1:4" x14ac:dyDescent="0.2">
      <c r="A1794" s="5">
        <v>1733</v>
      </c>
      <c r="B1794" s="138">
        <f>'Tax Sched 23'!F6</f>
        <v>362937</v>
      </c>
      <c r="C1794" s="2" t="s">
        <v>573</v>
      </c>
      <c r="D1794" s="2" t="str">
        <f t="shared" si="27"/>
        <v>Error?</v>
      </c>
    </row>
    <row r="1795" spans="1:4" x14ac:dyDescent="0.2">
      <c r="A1795" s="5">
        <v>1734</v>
      </c>
      <c r="B1795" s="138">
        <f>'Tax Sched 23'!F7</f>
        <v>200901</v>
      </c>
      <c r="C1795" s="2" t="s">
        <v>573</v>
      </c>
      <c r="D1795" s="2" t="str">
        <f t="shared" si="27"/>
        <v>Error?</v>
      </c>
    </row>
    <row r="1796" spans="1:4" x14ac:dyDescent="0.2">
      <c r="A1796" s="5">
        <v>1735</v>
      </c>
      <c r="B1796" s="138">
        <f>'Tax Sched 23'!F8</f>
        <v>22782</v>
      </c>
      <c r="C1796" s="2" t="s">
        <v>573</v>
      </c>
      <c r="D1796" s="2" t="str">
        <f t="shared" si="27"/>
        <v>Error?</v>
      </c>
    </row>
    <row r="1797" spans="1:4" x14ac:dyDescent="0.2">
      <c r="A1797" s="5">
        <v>1736</v>
      </c>
      <c r="B1797" s="138">
        <f>'Tax Sched 23'!F10</f>
        <v>50225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205019</v>
      </c>
      <c r="C1800" s="2" t="s">
        <v>573</v>
      </c>
      <c r="D1800" s="2" t="str">
        <f t="shared" si="27"/>
        <v>Error?</v>
      </c>
    </row>
    <row r="1801" spans="1:4" x14ac:dyDescent="0.2">
      <c r="A1801" s="5">
        <v>1740</v>
      </c>
      <c r="B1801" s="138">
        <f>'Tax Sched 23'!F12</f>
        <v>50225</v>
      </c>
      <c r="C1801" s="2" t="s">
        <v>573</v>
      </c>
      <c r="D1801" s="2" t="str">
        <f t="shared" si="27"/>
        <v>Error?</v>
      </c>
    </row>
    <row r="1802" spans="1:4" x14ac:dyDescent="0.2">
      <c r="A1802" s="5">
        <v>1741</v>
      </c>
      <c r="B1802" s="138">
        <f>'Tax Sched 23'!F14</f>
        <v>40180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4420586</v>
      </c>
      <c r="C1807" s="2" t="s">
        <v>573</v>
      </c>
      <c r="D1807" s="2" t="str">
        <f t="shared" si="27"/>
        <v>Error?</v>
      </c>
    </row>
    <row r="1808" spans="1:4" x14ac:dyDescent="0.2">
      <c r="A1808" s="5">
        <v>1747</v>
      </c>
      <c r="B1808" s="138">
        <f>'Tax Sched 23'!E4</f>
        <v>3197061</v>
      </c>
      <c r="D1808" s="2" t="str">
        <f t="shared" si="27"/>
        <v>Error?</v>
      </c>
    </row>
    <row r="1809" spans="1:4" x14ac:dyDescent="0.2">
      <c r="A1809" s="5">
        <v>1748</v>
      </c>
      <c r="B1809" s="138">
        <f>'Tax Sched 23'!E5</f>
        <v>551217</v>
      </c>
      <c r="D1809" s="2" t="str">
        <f t="shared" si="27"/>
        <v>Error?</v>
      </c>
    </row>
    <row r="1810" spans="1:4" x14ac:dyDescent="0.2">
      <c r="A1810" s="5">
        <v>1749</v>
      </c>
      <c r="B1810" s="138">
        <f>'Tax Sched 23'!E6</f>
        <v>398321</v>
      </c>
      <c r="D1810" s="2" t="str">
        <f t="shared" si="27"/>
        <v>Error?</v>
      </c>
    </row>
    <row r="1811" spans="1:4" x14ac:dyDescent="0.2">
      <c r="A1811" s="5">
        <v>1750</v>
      </c>
      <c r="B1811" s="138">
        <f>'Tax Sched 23'!E7</f>
        <v>220487</v>
      </c>
      <c r="D1811" s="2" t="str">
        <f t="shared" si="27"/>
        <v>Error?</v>
      </c>
    </row>
    <row r="1812" spans="1:4" x14ac:dyDescent="0.2">
      <c r="A1812" s="5">
        <v>1751</v>
      </c>
      <c r="B1812" s="138">
        <f>'Tax Sched 23'!E8</f>
        <v>25003</v>
      </c>
      <c r="D1812" s="2" t="str">
        <f t="shared" si="27"/>
        <v>Error?</v>
      </c>
    </row>
    <row r="1813" spans="1:4" x14ac:dyDescent="0.2">
      <c r="A1813" s="5">
        <v>1752</v>
      </c>
      <c r="B1813" s="138">
        <f>'Tax Sched 23'!E10</f>
        <v>55122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225007</v>
      </c>
      <c r="D1816" s="2" t="str">
        <f t="shared" si="27"/>
        <v>Error?</v>
      </c>
    </row>
    <row r="1817" spans="1:4" x14ac:dyDescent="0.2">
      <c r="A1817" s="5">
        <v>1756</v>
      </c>
      <c r="B1817" s="138">
        <f>'Tax Sched 23'!E12</f>
        <v>55122</v>
      </c>
      <c r="D1817" s="2" t="str">
        <f t="shared" si="27"/>
        <v>Error?</v>
      </c>
    </row>
    <row r="1818" spans="1:4" x14ac:dyDescent="0.2">
      <c r="A1818" s="5">
        <v>1757</v>
      </c>
      <c r="B1818" s="138">
        <f>'Tax Sched 23'!E14</f>
        <v>44097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4851562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12850000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22117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22117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423672</v>
      </c>
      <c r="C1982" s="2" t="s">
        <v>573</v>
      </c>
      <c r="D1982" s="2" t="str">
        <f t="shared" si="29"/>
        <v>Error?</v>
      </c>
    </row>
    <row r="1983" spans="1:5" x14ac:dyDescent="0.2">
      <c r="A1983" s="5">
        <v>1922</v>
      </c>
      <c r="B1983" s="138">
        <f>'Rest Tax Levies-Tort Im 25'!H24</f>
        <v>-401555</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186182</v>
      </c>
      <c r="D2008" s="2" t="str">
        <f t="shared" si="30"/>
        <v>Error?</v>
      </c>
    </row>
    <row r="2009" spans="1:4" x14ac:dyDescent="0.2">
      <c r="A2009" s="5">
        <v>1948</v>
      </c>
      <c r="B2009" s="138">
        <f>'Cap Outlay Deprec 26'!C8</f>
        <v>46310228</v>
      </c>
      <c r="D2009" s="2" t="str">
        <f t="shared" si="30"/>
        <v>Error?</v>
      </c>
    </row>
    <row r="2010" spans="1:4" x14ac:dyDescent="0.2">
      <c r="A2010" s="5">
        <v>1949</v>
      </c>
      <c r="B2010" s="138">
        <f>'Cap Outlay Deprec 26'!C10</f>
        <v>146372</v>
      </c>
      <c r="D2010" s="2" t="str">
        <f t="shared" si="30"/>
        <v>Error?</v>
      </c>
    </row>
    <row r="2011" spans="1:4" x14ac:dyDescent="0.2">
      <c r="A2011" s="5">
        <v>1950</v>
      </c>
      <c r="B2011" s="138">
        <f>'Cap Outlay Deprec 26'!C12</f>
        <v>1729819</v>
      </c>
      <c r="D2011" s="2" t="str">
        <f t="shared" si="30"/>
        <v>Error?</v>
      </c>
    </row>
    <row r="2012" spans="1:4" x14ac:dyDescent="0.2">
      <c r="A2012" s="5">
        <v>1951</v>
      </c>
      <c r="B2012" s="138">
        <f>'Cap Outlay Deprec 26'!C13</f>
        <v>986190</v>
      </c>
      <c r="D2012" s="2" t="str">
        <f t="shared" si="30"/>
        <v>Error?</v>
      </c>
    </row>
    <row r="2013" spans="1:4" x14ac:dyDescent="0.2">
      <c r="A2013" s="5">
        <v>1952</v>
      </c>
      <c r="B2013" s="138">
        <f>'Cap Outlay Deprec 26'!C16</f>
        <v>49358791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15569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186182</v>
      </c>
      <c r="C2026" s="2" t="s">
        <v>573</v>
      </c>
      <c r="D2026" s="2" t="str">
        <f t="shared" si="30"/>
        <v>Error?</v>
      </c>
    </row>
    <row r="2027" spans="1:4" x14ac:dyDescent="0.2">
      <c r="A2027" s="5">
        <v>1966</v>
      </c>
      <c r="B2027" s="138">
        <f>'Cap Outlay Deprec 26'!F8</f>
        <v>46310228</v>
      </c>
      <c r="C2027" s="2" t="s">
        <v>573</v>
      </c>
      <c r="D2027" s="2" t="str">
        <f t="shared" si="30"/>
        <v>Error?</v>
      </c>
    </row>
    <row r="2028" spans="1:4" x14ac:dyDescent="0.2">
      <c r="A2028" s="5">
        <v>1967</v>
      </c>
      <c r="B2028" s="138">
        <f>'Cap Outlay Deprec 26'!F10</f>
        <v>146372</v>
      </c>
      <c r="C2028" s="2" t="s">
        <v>573</v>
      </c>
      <c r="D2028" s="2" t="str">
        <f t="shared" si="30"/>
        <v>Error?</v>
      </c>
    </row>
    <row r="2029" spans="1:4" x14ac:dyDescent="0.2">
      <c r="A2029" s="5">
        <v>1968</v>
      </c>
      <c r="B2029" s="138">
        <f>'Cap Outlay Deprec 26'!F12</f>
        <v>1745388</v>
      </c>
      <c r="C2029" s="2" t="s">
        <v>573</v>
      </c>
      <c r="D2029" s="2" t="str">
        <f t="shared" si="30"/>
        <v>Error?</v>
      </c>
    </row>
    <row r="2030" spans="1:4" x14ac:dyDescent="0.2">
      <c r="A2030" s="5">
        <v>1969</v>
      </c>
      <c r="B2030" s="138">
        <f>'Cap Outlay Deprec 26'!F13</f>
        <v>986190</v>
      </c>
      <c r="C2030" s="2" t="s">
        <v>573</v>
      </c>
      <c r="D2030" s="2" t="str">
        <f t="shared" si="30"/>
        <v>Error?</v>
      </c>
    </row>
    <row r="2031" spans="1:4" x14ac:dyDescent="0.2">
      <c r="A2031" s="5">
        <v>1970</v>
      </c>
      <c r="B2031" s="138">
        <f>'Cap Outlay Deprec 26'!F16</f>
        <v>49374360</v>
      </c>
      <c r="C2031" s="2" t="s">
        <v>573</v>
      </c>
      <c r="D2031" s="2" t="str">
        <f t="shared" si="30"/>
        <v>Error?</v>
      </c>
    </row>
    <row r="2032" spans="1:4" x14ac:dyDescent="0.2">
      <c r="A2032" s="10">
        <v>1971</v>
      </c>
      <c r="D2032" s="2" t="str">
        <f t="shared" si="30"/>
        <v>OK</v>
      </c>
    </row>
    <row r="2033" spans="1:4" x14ac:dyDescent="0.2">
      <c r="A2033" s="5">
        <v>1972</v>
      </c>
      <c r="B2033" s="138">
        <f>'Cap Outlay Deprec 26'!H8</f>
        <v>7746870</v>
      </c>
      <c r="D2033" s="2" t="str">
        <f t="shared" si="30"/>
        <v>Error?</v>
      </c>
    </row>
    <row r="2034" spans="1:4" x14ac:dyDescent="0.2">
      <c r="A2034" s="5">
        <v>1973</v>
      </c>
      <c r="B2034" s="138">
        <f>'Cap Outlay Deprec 26'!H10</f>
        <v>124371</v>
      </c>
      <c r="D2034" s="2" t="str">
        <f t="shared" si="30"/>
        <v>Error?</v>
      </c>
    </row>
    <row r="2035" spans="1:4" x14ac:dyDescent="0.2">
      <c r="A2035" s="5">
        <v>1974</v>
      </c>
      <c r="B2035" s="138">
        <f>'Cap Outlay Deprec 26'!H12</f>
        <v>1621054</v>
      </c>
      <c r="D2035" s="2" t="str">
        <f t="shared" si="30"/>
        <v>Error?</v>
      </c>
    </row>
    <row r="2036" spans="1:4" x14ac:dyDescent="0.2">
      <c r="A2036" s="5">
        <v>1975</v>
      </c>
      <c r="B2036" s="138">
        <f>'Cap Outlay Deprec 26'!H13</f>
        <v>961483</v>
      </c>
      <c r="D2036" s="2" t="str">
        <f t="shared" si="30"/>
        <v>Error?</v>
      </c>
    </row>
    <row r="2037" spans="1:4" x14ac:dyDescent="0.2">
      <c r="A2037" s="5">
        <v>1976</v>
      </c>
      <c r="B2037" s="138">
        <f>'Cap Outlay Deprec 26'!H16</f>
        <v>10453778</v>
      </c>
      <c r="C2037" s="2" t="s">
        <v>573</v>
      </c>
      <c r="D2037" s="2" t="str">
        <f t="shared" si="30"/>
        <v>Error?</v>
      </c>
    </row>
    <row r="2038" spans="1:4" x14ac:dyDescent="0.2">
      <c r="A2038" s="10">
        <v>1977</v>
      </c>
      <c r="D2038" s="2" t="str">
        <f t="shared" si="30"/>
        <v>OK</v>
      </c>
    </row>
    <row r="2039" spans="1:4" x14ac:dyDescent="0.2">
      <c r="A2039" s="5">
        <v>1978</v>
      </c>
      <c r="B2039" s="138">
        <f>'Cap Outlay Deprec 26'!I8</f>
        <v>941919</v>
      </c>
      <c r="D2039" s="2" t="str">
        <f t="shared" si="30"/>
        <v>Error?</v>
      </c>
    </row>
    <row r="2040" spans="1:4" x14ac:dyDescent="0.2">
      <c r="A2040" s="5">
        <v>1979</v>
      </c>
      <c r="B2040" s="138">
        <f>'Cap Outlay Deprec 26'!I10</f>
        <v>5388</v>
      </c>
      <c r="D2040" s="2" t="str">
        <f t="shared" si="30"/>
        <v>Error?</v>
      </c>
    </row>
    <row r="2041" spans="1:4" x14ac:dyDescent="0.2">
      <c r="A2041" s="5">
        <v>1980</v>
      </c>
      <c r="B2041" s="138">
        <f>'Cap Outlay Deprec 26'!I12</f>
        <v>31329</v>
      </c>
      <c r="D2041" s="2" t="str">
        <f t="shared" si="30"/>
        <v>Error?</v>
      </c>
    </row>
    <row r="2042" spans="1:4" x14ac:dyDescent="0.2">
      <c r="A2042" s="5">
        <v>1981</v>
      </c>
      <c r="B2042" s="138">
        <f>'Cap Outlay Deprec 26'!I13</f>
        <v>11790</v>
      </c>
      <c r="D2042" s="2" t="str">
        <f t="shared" si="30"/>
        <v>Error?</v>
      </c>
    </row>
    <row r="2043" spans="1:4" x14ac:dyDescent="0.2">
      <c r="A2043" s="5">
        <v>1982</v>
      </c>
      <c r="B2043" s="138">
        <f>'Cap Outlay Deprec 26'!I16</f>
        <v>990426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8688789</v>
      </c>
      <c r="C2051" s="2" t="s">
        <v>573</v>
      </c>
      <c r="D2051" s="2" t="str">
        <f t="shared" si="31"/>
        <v>Error?</v>
      </c>
    </row>
    <row r="2052" spans="1:4" x14ac:dyDescent="0.2">
      <c r="A2052" s="5">
        <v>1991</v>
      </c>
      <c r="B2052" s="138">
        <f>'Cap Outlay Deprec 26'!K10</f>
        <v>129759</v>
      </c>
      <c r="C2052" s="2" t="s">
        <v>573</v>
      </c>
      <c r="D2052" s="2" t="str">
        <f t="shared" si="31"/>
        <v>Error?</v>
      </c>
    </row>
    <row r="2053" spans="1:4" x14ac:dyDescent="0.2">
      <c r="A2053" s="5">
        <v>1992</v>
      </c>
      <c r="B2053" s="138">
        <f>'Cap Outlay Deprec 26'!K12</f>
        <v>1652383</v>
      </c>
      <c r="C2053" s="2" t="s">
        <v>573</v>
      </c>
      <c r="D2053" s="2" t="str">
        <f t="shared" si="31"/>
        <v>Error?</v>
      </c>
    </row>
    <row r="2054" spans="1:4" x14ac:dyDescent="0.2">
      <c r="A2054" s="5">
        <v>1993</v>
      </c>
      <c r="B2054" s="138">
        <f>'Cap Outlay Deprec 26'!K13</f>
        <v>973273</v>
      </c>
      <c r="C2054" s="2" t="s">
        <v>573</v>
      </c>
      <c r="D2054" s="2" t="str">
        <f t="shared" si="31"/>
        <v>Error?</v>
      </c>
    </row>
    <row r="2055" spans="1:4" x14ac:dyDescent="0.2">
      <c r="A2055" s="5">
        <v>1994</v>
      </c>
      <c r="B2055" s="138">
        <f>'Cap Outlay Deprec 26'!K16</f>
        <v>11444204</v>
      </c>
      <c r="C2055" s="2" t="s">
        <v>573</v>
      </c>
      <c r="D2055" s="2" t="str">
        <f t="shared" si="31"/>
        <v>Error?</v>
      </c>
    </row>
    <row r="2056" spans="1:4" x14ac:dyDescent="0.2">
      <c r="A2056" s="5">
        <v>1995</v>
      </c>
      <c r="B2056" s="138">
        <f>'Cap Outlay Deprec 26'!L5</f>
        <v>186182</v>
      </c>
      <c r="C2056" s="2" t="s">
        <v>573</v>
      </c>
      <c r="D2056" s="2" t="str">
        <f t="shared" si="31"/>
        <v>Error?</v>
      </c>
    </row>
    <row r="2057" spans="1:4" x14ac:dyDescent="0.2">
      <c r="A2057" s="5">
        <v>1996</v>
      </c>
      <c r="B2057" s="138">
        <f>'Cap Outlay Deprec 26'!L8</f>
        <v>37621439</v>
      </c>
      <c r="C2057" s="2" t="s">
        <v>573</v>
      </c>
      <c r="D2057" s="2" t="str">
        <f t="shared" si="31"/>
        <v>Error?</v>
      </c>
    </row>
    <row r="2058" spans="1:4" x14ac:dyDescent="0.2">
      <c r="A2058" s="5">
        <v>1997</v>
      </c>
      <c r="B2058" s="138">
        <f>'Cap Outlay Deprec 26'!L10</f>
        <v>16613</v>
      </c>
      <c r="C2058" s="2" t="s">
        <v>573</v>
      </c>
      <c r="D2058" s="2" t="str">
        <f t="shared" si="31"/>
        <v>Error?</v>
      </c>
    </row>
    <row r="2059" spans="1:4" x14ac:dyDescent="0.2">
      <c r="A2059" s="5">
        <v>1998</v>
      </c>
      <c r="B2059" s="138">
        <f>'Cap Outlay Deprec 26'!L12</f>
        <v>93005</v>
      </c>
      <c r="C2059" s="2" t="s">
        <v>573</v>
      </c>
      <c r="D2059" s="2" t="str">
        <f t="shared" si="31"/>
        <v>Error?</v>
      </c>
    </row>
    <row r="2060" spans="1:4" x14ac:dyDescent="0.2">
      <c r="A2060" s="5">
        <v>1999</v>
      </c>
      <c r="B2060" s="138">
        <f>'Cap Outlay Deprec 26'!L13</f>
        <v>12917</v>
      </c>
      <c r="C2060" s="2" t="s">
        <v>573</v>
      </c>
      <c r="D2060" s="2" t="str">
        <f t="shared" si="31"/>
        <v>Error?</v>
      </c>
    </row>
    <row r="2061" spans="1:4" x14ac:dyDescent="0.2">
      <c r="A2061" s="5">
        <v>2000</v>
      </c>
      <c r="B2061" s="138">
        <f>'Cap Outlay Deprec 26'!L16</f>
        <v>37930156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822495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881106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308887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2032962</v>
      </c>
      <c r="C2551" s="2" t="s">
        <v>573</v>
      </c>
      <c r="D2551" s="2" t="str">
        <f t="shared" si="38"/>
        <v>Error?</v>
      </c>
    </row>
    <row r="2552" spans="1:4" x14ac:dyDescent="0.2">
      <c r="A2552" s="10">
        <v>2491</v>
      </c>
      <c r="D2552" s="2" t="str">
        <f t="shared" si="38"/>
        <v>OK</v>
      </c>
    </row>
    <row r="2553" spans="1:4" x14ac:dyDescent="0.2">
      <c r="A2553" s="5">
        <v>2492</v>
      </c>
      <c r="B2553" s="138">
        <f>'Acct Summary 7-8'!C6</f>
        <v>4310513</v>
      </c>
      <c r="C2553" s="2" t="s">
        <v>573</v>
      </c>
      <c r="D2553" s="2" t="str">
        <f t="shared" si="38"/>
        <v>Error?</v>
      </c>
    </row>
    <row r="2554" spans="1:4" x14ac:dyDescent="0.2">
      <c r="A2554" s="5">
        <v>2493</v>
      </c>
      <c r="B2554" s="138">
        <f>'Acct Summary 7-8'!C7</f>
        <v>694789</v>
      </c>
      <c r="C2554" s="2" t="s">
        <v>573</v>
      </c>
      <c r="D2554" s="2" t="str">
        <f t="shared" si="38"/>
        <v>Error?</v>
      </c>
    </row>
    <row r="2555" spans="1:4" x14ac:dyDescent="0.2">
      <c r="A2555" s="5">
        <v>2494</v>
      </c>
      <c r="B2555" s="138">
        <f>'Acct Summary 7-8'!C8</f>
        <v>7038264</v>
      </c>
      <c r="C2555" s="2" t="s">
        <v>573</v>
      </c>
      <c r="D2555" s="2" t="str">
        <f t="shared" si="38"/>
        <v>Error?</v>
      </c>
    </row>
    <row r="2556" spans="1:4" x14ac:dyDescent="0.2">
      <c r="A2556" s="5">
        <v>2495</v>
      </c>
      <c r="B2556" s="138">
        <f>'Acct Summary 7-8'!C12</f>
        <v>4950758</v>
      </c>
      <c r="C2556" s="2" t="s">
        <v>573</v>
      </c>
      <c r="D2556" s="2" t="str">
        <f t="shared" si="38"/>
        <v>Error?</v>
      </c>
    </row>
    <row r="2557" spans="1:4" x14ac:dyDescent="0.2">
      <c r="A2557" s="5">
        <v>2496</v>
      </c>
      <c r="B2557" s="138">
        <f>'Acct Summary 7-8'!C13</f>
        <v>2596643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881106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8428507</v>
      </c>
      <c r="C2561" s="2" t="s">
        <v>573</v>
      </c>
      <c r="D2561" s="2" t="str">
        <f t="shared" si="39"/>
        <v>Error?</v>
      </c>
    </row>
    <row r="2562" spans="1:4" x14ac:dyDescent="0.2">
      <c r="A2562" s="5">
        <v>2501</v>
      </c>
      <c r="B2562" s="138">
        <f>'Acct Summary 7-8'!C20</f>
        <v>-1390243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278788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278788</v>
      </c>
      <c r="C2568" s="2" t="s">
        <v>573</v>
      </c>
      <c r="D2568" s="2" t="str">
        <f t="shared" si="39"/>
        <v>Error?</v>
      </c>
    </row>
    <row r="2569" spans="1:4" x14ac:dyDescent="0.2">
      <c r="A2569" s="5">
        <v>2508</v>
      </c>
      <c r="B2569" s="138">
        <f>'Acct Summary 7-8'!D13</f>
        <v>662516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662516</v>
      </c>
      <c r="C2573" s="2" t="s">
        <v>573</v>
      </c>
      <c r="D2573" s="2" t="str">
        <f t="shared" si="39"/>
        <v>Error?</v>
      </c>
    </row>
    <row r="2574" spans="1:4" x14ac:dyDescent="0.2">
      <c r="A2574" s="5">
        <v>2513</v>
      </c>
      <c r="B2574" s="138">
        <f>'Acct Summary 7-8'!D20</f>
        <v>-383728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148446</v>
      </c>
      <c r="C2591" s="2" t="s">
        <v>573</v>
      </c>
      <c r="D2591" s="2" t="str">
        <f t="shared" si="39"/>
        <v>Error?</v>
      </c>
    </row>
    <row r="2592" spans="1:4" x14ac:dyDescent="0.2">
      <c r="A2592" s="10">
        <v>2531</v>
      </c>
      <c r="D2592" s="2" t="str">
        <f t="shared" si="39"/>
        <v>OK</v>
      </c>
    </row>
    <row r="2593" spans="1:4" x14ac:dyDescent="0.2">
      <c r="A2593" s="5">
        <v>2532</v>
      </c>
      <c r="B2593" s="138">
        <f>'Acct Summary 7-8'!F6</f>
        <v>420187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568633</v>
      </c>
      <c r="C2595" s="2" t="s">
        <v>573</v>
      </c>
      <c r="D2595" s="2" t="str">
        <f t="shared" si="39"/>
        <v>Error?</v>
      </c>
    </row>
    <row r="2596" spans="1:4" x14ac:dyDescent="0.2">
      <c r="A2596" s="5">
        <v>2535</v>
      </c>
      <c r="B2596" s="138">
        <f>'Acct Summary 7-8'!F13</f>
        <v>654538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34730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689268</v>
      </c>
      <c r="C2600" s="2" t="s">
        <v>573</v>
      </c>
      <c r="D2600" s="2" t="str">
        <f t="shared" si="39"/>
        <v>Error?</v>
      </c>
    </row>
    <row r="2601" spans="1:4" x14ac:dyDescent="0.2">
      <c r="A2601" s="5">
        <v>2540</v>
      </c>
      <c r="B2601" s="138">
        <f>'Acct Summary 7-8'!F20</f>
        <v>-120635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231722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231722</v>
      </c>
      <c r="C2606" s="2" t="s">
        <v>573</v>
      </c>
      <c r="D2606" s="2" t="str">
        <f t="shared" si="39"/>
        <v>Error?</v>
      </c>
    </row>
    <row r="2607" spans="1:4" x14ac:dyDescent="0.2">
      <c r="A2607" s="5">
        <v>2546</v>
      </c>
      <c r="B2607" s="138">
        <f>'Acct Summary 7-8'!G12</f>
        <v>189807</v>
      </c>
      <c r="C2607" s="2" t="s">
        <v>573</v>
      </c>
      <c r="D2607" s="2" t="str">
        <f t="shared" si="39"/>
        <v>Error?</v>
      </c>
    </row>
    <row r="2608" spans="1:4" x14ac:dyDescent="0.2">
      <c r="A2608" s="5">
        <v>2547</v>
      </c>
      <c r="B2608" s="138">
        <f>'Acct Summary 7-8'!G13</f>
        <v>48491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263385</v>
      </c>
      <c r="C2612" s="2" t="s">
        <v>573</v>
      </c>
      <c r="D2612" s="2" t="str">
        <f t="shared" si="39"/>
        <v>Error?</v>
      </c>
    </row>
    <row r="2613" spans="1:4" x14ac:dyDescent="0.2">
      <c r="A2613" s="5">
        <v>2552</v>
      </c>
      <c r="B2613" s="138">
        <f>'Acct Summary 7-8'!G20</f>
        <v>-31663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854248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854248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1272060</v>
      </c>
      <c r="C2634" s="2" t="s">
        <v>573</v>
      </c>
      <c r="D2634" s="2" t="str">
        <f t="shared" si="40"/>
        <v>Error?</v>
      </c>
    </row>
    <row r="2635" spans="1:4" x14ac:dyDescent="0.2">
      <c r="A2635" s="5">
        <v>2574</v>
      </c>
      <c r="B2635" s="138">
        <f>'Acct Summary 7-8'!E17</f>
        <v>1272060</v>
      </c>
      <c r="C2635" s="2" t="s">
        <v>573</v>
      </c>
      <c r="D2635" s="2" t="str">
        <f t="shared" si="40"/>
        <v>Error?</v>
      </c>
    </row>
    <row r="2636" spans="1:4" x14ac:dyDescent="0.2">
      <c r="A2636" s="5">
        <v>2575</v>
      </c>
      <c r="B2636" s="138">
        <f>'Acct Summary 7-8'!E20</f>
        <v>-417812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58611</v>
      </c>
      <c r="C2789" s="2" t="s">
        <v>573</v>
      </c>
      <c r="D2789" s="2" t="str">
        <f t="shared" si="42"/>
        <v>Error?</v>
      </c>
    </row>
    <row r="2790" spans="1:4" x14ac:dyDescent="0.2">
      <c r="A2790" s="5">
        <v>2729</v>
      </c>
      <c r="B2790" s="138">
        <f>'Expenditures 15-22'!E102</f>
        <v>58611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34730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34730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141650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22702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191396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141650</v>
      </c>
      <c r="D2912" s="2" t="str">
        <f t="shared" si="44"/>
        <v>Error?</v>
      </c>
    </row>
    <row r="2913" spans="1:4" x14ac:dyDescent="0.2">
      <c r="A2913" s="5">
        <v>2852</v>
      </c>
      <c r="B2913" s="138">
        <f>'Assets-Liab 5-6'!I41</f>
        <v>141650</v>
      </c>
      <c r="C2913" s="2" t="s">
        <v>573</v>
      </c>
      <c r="D2913" s="2" t="str">
        <f t="shared" si="44"/>
        <v>Error?</v>
      </c>
    </row>
    <row r="2914" spans="1:4" x14ac:dyDescent="0.2">
      <c r="A2914" s="5">
        <v>2853</v>
      </c>
      <c r="B2914" s="138">
        <f>'Assets-Liab 5-6'!L33</f>
        <v>191396</v>
      </c>
      <c r="D2914" s="2" t="str">
        <f t="shared" si="44"/>
        <v>Error?</v>
      </c>
    </row>
    <row r="2915" spans="1:4" x14ac:dyDescent="0.2">
      <c r="A2915" s="10">
        <v>2854</v>
      </c>
      <c r="D2915" s="2" t="str">
        <f t="shared" si="44"/>
        <v>OK</v>
      </c>
    </row>
    <row r="2916" spans="1:4" x14ac:dyDescent="0.2">
      <c r="A2916" s="5">
        <v>2855</v>
      </c>
      <c r="B2916" s="138">
        <f>'Assets-Liab 5-6'!L34</f>
        <v>191396</v>
      </c>
      <c r="C2916" s="2" t="s">
        <v>573</v>
      </c>
      <c r="D2916" s="2" t="str">
        <f t="shared" si="44"/>
        <v>Error?</v>
      </c>
    </row>
    <row r="2917" spans="1:4" x14ac:dyDescent="0.2">
      <c r="A2917" s="5">
        <v>2856</v>
      </c>
      <c r="B2917" s="138">
        <f>'Assets-Liab 5-6'!L41</f>
        <v>191396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58611</v>
      </c>
      <c r="D2949" s="2" t="str">
        <f t="shared" si="45"/>
        <v>Error?</v>
      </c>
    </row>
    <row r="2950" spans="1:4" x14ac:dyDescent="0.2">
      <c r="A2950" s="5">
        <v>2889</v>
      </c>
      <c r="B2950" s="138" t="str">
        <f>'Expenditures 15-22'!E79</f>
        <v xml:space="preserve"> </v>
      </c>
      <c r="D2950" s="2" t="e">
        <f t="shared" si="45"/>
        <v>#VALUE!</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779900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42595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58611</v>
      </c>
      <c r="C2973" s="2" t="s">
        <v>573</v>
      </c>
      <c r="D2973" s="2" t="str">
        <f t="shared" si="45"/>
        <v>Error?</v>
      </c>
    </row>
    <row r="2974" spans="1:4" x14ac:dyDescent="0.2">
      <c r="A2974" s="5">
        <v>2913</v>
      </c>
      <c r="B2974" s="138">
        <f>'Expenditures 15-22'!K79</f>
        <v>779900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42595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34730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34730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101828</v>
      </c>
      <c r="D3055" s="2" t="str">
        <f t="shared" si="46"/>
        <v>Error?</v>
      </c>
    </row>
    <row r="3056" spans="1:4" x14ac:dyDescent="0.2">
      <c r="A3056" s="5">
        <v>2995</v>
      </c>
      <c r="B3056" s="138">
        <f>'Expenditures 15-22'!D10</f>
        <v>17843</v>
      </c>
      <c r="D3056" s="2" t="str">
        <f t="shared" si="46"/>
        <v>Error?</v>
      </c>
    </row>
    <row r="3057" spans="1:4" x14ac:dyDescent="0.2">
      <c r="A3057" s="5">
        <v>2996</v>
      </c>
      <c r="B3057" s="138">
        <f>'Expenditures 15-22'!E10</f>
        <v>14872</v>
      </c>
      <c r="D3057" s="2" t="str">
        <f t="shared" si="46"/>
        <v>Error?</v>
      </c>
    </row>
    <row r="3058" spans="1:4" x14ac:dyDescent="0.2">
      <c r="A3058" s="5">
        <v>2997</v>
      </c>
      <c r="B3058" s="138">
        <f>'Expenditures 15-22'!F10</f>
        <v>100807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235350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27683</v>
      </c>
      <c r="C3225" s="2" t="s">
        <v>573</v>
      </c>
      <c r="D3225" s="2" t="str">
        <f t="shared" si="49"/>
        <v>Error?</v>
      </c>
    </row>
    <row r="3226" spans="1:4" x14ac:dyDescent="0.2">
      <c r="A3226" s="5">
        <v>3165</v>
      </c>
      <c r="B3226" s="138">
        <f>'Acct Summary 7-8'!I8</f>
        <v>27683</v>
      </c>
      <c r="C3226" s="2" t="s">
        <v>573</v>
      </c>
      <c r="D3226" s="2" t="str">
        <f t="shared" si="49"/>
        <v>Error?</v>
      </c>
    </row>
    <row r="3227" spans="1:4" x14ac:dyDescent="0.2">
      <c r="A3227" s="5">
        <v>3166</v>
      </c>
      <c r="B3227" s="138">
        <f>'Acct Summary 7-8'!I20</f>
        <v>27683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-1390243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-383728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-120635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-31663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-417812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27683</v>
      </c>
      <c r="C3320" s="2" t="s">
        <v>573</v>
      </c>
      <c r="D3320" s="2" t="str">
        <f t="shared" si="50"/>
        <v>Error?</v>
      </c>
    </row>
    <row r="3321" spans="1:4" x14ac:dyDescent="0.2">
      <c r="A3321" s="5">
        <v>3260</v>
      </c>
      <c r="B3321" s="138">
        <f>'Acct Summary 7-8'!I79</f>
        <v>113967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141650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352554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65673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5366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423672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189807</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189807</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1784374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205907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141650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168694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12927</v>
      </c>
      <c r="C3446" s="2" t="s">
        <v>573</v>
      </c>
      <c r="D3446" s="2" t="str">
        <f t="shared" si="52"/>
        <v>Error?</v>
      </c>
    </row>
    <row r="3447" spans="1:4" x14ac:dyDescent="0.2">
      <c r="A3447" s="5">
        <v>3386</v>
      </c>
      <c r="B3447" s="138">
        <f>'Tax Sched 23'!D16</f>
        <v>10706</v>
      </c>
      <c r="C3447" s="2" t="s">
        <v>573</v>
      </c>
      <c r="D3447" s="2" t="str">
        <f t="shared" si="52"/>
        <v>Error?</v>
      </c>
    </row>
    <row r="3448" spans="1:4" x14ac:dyDescent="0.2">
      <c r="A3448" s="5">
        <v>3387</v>
      </c>
      <c r="B3448" s="138">
        <f>'Tax Sched 23'!C16</f>
        <v>2221</v>
      </c>
      <c r="D3448" s="2" t="str">
        <f t="shared" si="52"/>
        <v>Error?</v>
      </c>
    </row>
    <row r="3449" spans="1:4" x14ac:dyDescent="0.2">
      <c r="A3449" s="5">
        <v>3388</v>
      </c>
      <c r="B3449" s="138">
        <f>'Tax Sched 23'!F16</f>
        <v>22782</v>
      </c>
      <c r="C3449" s="2" t="s">
        <v>573</v>
      </c>
      <c r="D3449" s="2" t="str">
        <f t="shared" si="52"/>
        <v>Error?</v>
      </c>
    </row>
    <row r="3450" spans="1:4" x14ac:dyDescent="0.2">
      <c r="A3450" s="5">
        <v>3389</v>
      </c>
      <c r="B3450" s="138">
        <f>'Tax Sched 23'!E16</f>
        <v>25003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378829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70613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449442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449442</v>
      </c>
      <c r="D3567" s="2" t="str">
        <f t="shared" si="54"/>
        <v>Error?</v>
      </c>
    </row>
    <row r="3568" spans="1:4" x14ac:dyDescent="0.2">
      <c r="A3568" s="5">
        <v>3507</v>
      </c>
      <c r="B3568" s="138">
        <f>'Assets-Liab 5-6'!K41</f>
        <v>449442</v>
      </c>
      <c r="C3568" s="2" t="s">
        <v>573</v>
      </c>
      <c r="D3568" s="2" t="str">
        <f t="shared" si="54"/>
        <v>Error?</v>
      </c>
    </row>
    <row r="3569" spans="1:4" x14ac:dyDescent="0.2">
      <c r="A3569" s="5">
        <v>3508</v>
      </c>
      <c r="B3569" s="138">
        <f>'Acct Summary 7-8'!K4</f>
        <v>28623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28623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28623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28623</v>
      </c>
      <c r="C3588" s="2" t="s">
        <v>573</v>
      </c>
      <c r="D3588" s="2" t="str">
        <f t="shared" si="55"/>
        <v>Error?</v>
      </c>
    </row>
    <row r="3589" spans="1:4" x14ac:dyDescent="0.2">
      <c r="A3589" s="5">
        <v>3528</v>
      </c>
      <c r="B3589" s="138">
        <f>'Acct Summary 7-8'!K79</f>
        <v>420819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449442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28623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25087</v>
      </c>
      <c r="D3721" s="2" t="str">
        <f t="shared" si="57"/>
        <v>Error?</v>
      </c>
    </row>
    <row r="3722" spans="1:4" x14ac:dyDescent="0.2">
      <c r="A3722" s="5">
        <v>3661</v>
      </c>
      <c r="B3722" s="138">
        <f>'Expenditures 15-22'!D285</f>
        <v>25087</v>
      </c>
      <c r="C3722" s="2" t="s">
        <v>573</v>
      </c>
      <c r="D3722" s="2" t="str">
        <f t="shared" si="57"/>
        <v>Error?</v>
      </c>
    </row>
    <row r="3723" spans="1:4" x14ac:dyDescent="0.2">
      <c r="A3723" s="5">
        <v>3662</v>
      </c>
      <c r="B3723" s="138">
        <f>'Expenditures 15-22'!K283</f>
        <v>25087</v>
      </c>
      <c r="C3723" s="2" t="s">
        <v>573</v>
      </c>
      <c r="D3723" s="2" t="str">
        <f t="shared" si="57"/>
        <v>Error?</v>
      </c>
    </row>
    <row r="3724" spans="1:4" x14ac:dyDescent="0.2">
      <c r="A3724" s="5">
        <v>3663</v>
      </c>
      <c r="B3724" s="138">
        <f>'Expenditures 15-22'!K285</f>
        <v>25087</v>
      </c>
      <c r="C3724" s="2" t="s">
        <v>573</v>
      </c>
      <c r="D3724" s="2" t="str">
        <f t="shared" si="57"/>
        <v>Error?</v>
      </c>
    </row>
    <row r="3725" spans="1:4" x14ac:dyDescent="0.2">
      <c r="A3725" s="5">
        <v>3664</v>
      </c>
      <c r="B3725" s="138">
        <f>'Tax Sched 23'!B13</f>
        <v>27646</v>
      </c>
      <c r="C3725" s="2" t="s">
        <v>573</v>
      </c>
      <c r="D3725" s="2" t="str">
        <f t="shared" si="57"/>
        <v>Error?</v>
      </c>
    </row>
    <row r="3726" spans="1:4" x14ac:dyDescent="0.2">
      <c r="A3726" s="5">
        <v>3665</v>
      </c>
      <c r="B3726" s="138">
        <f>'Tax Sched 23'!D13</f>
        <v>22749</v>
      </c>
      <c r="C3726" s="2" t="s">
        <v>573</v>
      </c>
      <c r="D3726" s="2" t="str">
        <f t="shared" si="57"/>
        <v>Error?</v>
      </c>
    </row>
    <row r="3727" spans="1:4" x14ac:dyDescent="0.2">
      <c r="A3727" s="5">
        <v>3666</v>
      </c>
      <c r="B3727" s="138">
        <f>'Tax Sched 23'!C13</f>
        <v>4897</v>
      </c>
      <c r="D3727" s="2" t="str">
        <f t="shared" si="57"/>
        <v>Error?</v>
      </c>
    </row>
    <row r="3728" spans="1:4" x14ac:dyDescent="0.2">
      <c r="A3728" s="5">
        <v>3667</v>
      </c>
      <c r="B3728" s="138">
        <f>'Tax Sched 23'!F13</f>
        <v>50225</v>
      </c>
      <c r="C3728" s="2" t="s">
        <v>573</v>
      </c>
      <c r="D3728" s="2" t="str">
        <f t="shared" si="57"/>
        <v>Error?</v>
      </c>
    </row>
    <row r="3729" spans="1:4" x14ac:dyDescent="0.2">
      <c r="A3729" s="5">
        <v>3668</v>
      </c>
      <c r="B3729" s="138">
        <f>'Tax Sched 23'!E13</f>
        <v>55122</v>
      </c>
      <c r="D3729" s="2" t="str">
        <f t="shared" si="57"/>
        <v>Error?</v>
      </c>
    </row>
    <row r="3730" spans="1:4" x14ac:dyDescent="0.2">
      <c r="A3730" s="5">
        <v>3669</v>
      </c>
      <c r="B3730" s="138">
        <f>'ICR Computation 30'!E10</f>
        <v>364006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3039018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10077282</v>
      </c>
      <c r="C4122" s="2" t="s">
        <v>573</v>
      </c>
      <c r="D4122" s="2" t="str">
        <f t="shared" si="63"/>
        <v>Error?</v>
      </c>
    </row>
    <row r="4123" spans="1:4" x14ac:dyDescent="0.2">
      <c r="A4123" s="5">
        <v>4062</v>
      </c>
      <c r="B4123" s="138">
        <f>'Acct Summary 7-8'!D10</f>
        <v>278788</v>
      </c>
      <c r="C4123" s="2" t="s">
        <v>573</v>
      </c>
      <c r="D4123" s="2" t="str">
        <f t="shared" si="63"/>
        <v>Error?</v>
      </c>
    </row>
    <row r="4124" spans="1:4" x14ac:dyDescent="0.2">
      <c r="A4124" s="5">
        <v>4063</v>
      </c>
      <c r="B4124" s="138">
        <f>'Acct Summary 7-8'!E10</f>
        <v>854248</v>
      </c>
      <c r="C4124" s="2" t="s">
        <v>573</v>
      </c>
      <c r="D4124" s="2" t="str">
        <f t="shared" si="63"/>
        <v>Error?</v>
      </c>
    </row>
    <row r="4125" spans="1:4" x14ac:dyDescent="0.2">
      <c r="A4125" s="5">
        <v>4064</v>
      </c>
      <c r="B4125" s="138">
        <f>'Acct Summary 7-8'!F10</f>
        <v>568633</v>
      </c>
      <c r="C4125" s="2" t="s">
        <v>573</v>
      </c>
      <c r="D4125" s="2" t="str">
        <f t="shared" si="63"/>
        <v>Error?</v>
      </c>
    </row>
    <row r="4126" spans="1:4" x14ac:dyDescent="0.2">
      <c r="A4126" s="5">
        <v>4065</v>
      </c>
      <c r="B4126" s="138">
        <f>'Acct Summary 7-8'!G10</f>
        <v>231722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27683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28623</v>
      </c>
      <c r="C4130" s="2" t="s">
        <v>573</v>
      </c>
      <c r="D4130" s="2" t="str">
        <f t="shared" si="63"/>
        <v>Error?</v>
      </c>
    </row>
    <row r="4131" spans="1:4" x14ac:dyDescent="0.2">
      <c r="A4131" s="5">
        <v>4070</v>
      </c>
      <c r="B4131" s="138">
        <f>'Acct Summary 7-8'!C18</f>
        <v>3039018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11467525</v>
      </c>
      <c r="C4136" s="2" t="s">
        <v>573</v>
      </c>
      <c r="D4136" s="2" t="str">
        <f t="shared" si="63"/>
        <v>Error?</v>
      </c>
    </row>
    <row r="4137" spans="1:4" x14ac:dyDescent="0.2">
      <c r="A4137" s="5">
        <v>4076</v>
      </c>
      <c r="B4137" s="138">
        <f>'Acct Summary 7-8'!D19</f>
        <v>662516</v>
      </c>
      <c r="C4137" s="2" t="s">
        <v>573</v>
      </c>
      <c r="D4137" s="2" t="str">
        <f t="shared" si="63"/>
        <v>Error?</v>
      </c>
    </row>
    <row r="4138" spans="1:4" x14ac:dyDescent="0.2">
      <c r="A4138" s="5">
        <v>4077</v>
      </c>
      <c r="B4138" s="138">
        <f>'Acct Summary 7-8'!E19</f>
        <v>1272060</v>
      </c>
      <c r="C4138" s="2" t="s">
        <v>573</v>
      </c>
      <c r="D4138" s="2" t="str">
        <f t="shared" si="63"/>
        <v>Error?</v>
      </c>
    </row>
    <row r="4139" spans="1:4" x14ac:dyDescent="0.2">
      <c r="A4139" s="5">
        <v>4078</v>
      </c>
      <c r="B4139" s="138">
        <f>'Acct Summary 7-8'!F19</f>
        <v>689268</v>
      </c>
      <c r="C4139" s="2" t="s">
        <v>573</v>
      </c>
      <c r="D4139" s="2" t="str">
        <f t="shared" si="63"/>
        <v>Error?</v>
      </c>
    </row>
    <row r="4140" spans="1:4" x14ac:dyDescent="0.2">
      <c r="A4140" s="5">
        <v>4079</v>
      </c>
      <c r="B4140" s="138">
        <f>'Acct Summary 7-8'!G19</f>
        <v>263385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12050000</v>
      </c>
      <c r="C4171" s="2" t="s">
        <v>573</v>
      </c>
      <c r="D4171" s="2" t="str">
        <f t="shared" si="64"/>
        <v>Error?</v>
      </c>
    </row>
    <row r="4172" spans="1:4" x14ac:dyDescent="0.2">
      <c r="A4172" s="5">
        <v>4111</v>
      </c>
      <c r="B4172" s="138">
        <f>'Short-Term Long-Term Debt 24'!J49</f>
        <v>11679625</v>
      </c>
      <c r="C4172" s="2" t="s">
        <v>573</v>
      </c>
      <c r="D4172" s="2" t="str">
        <f t="shared" si="64"/>
        <v>Error?</v>
      </c>
    </row>
    <row r="4173" spans="1:4" x14ac:dyDescent="0.2">
      <c r="A4173" s="5">
        <v>4112</v>
      </c>
      <c r="B4173" s="138">
        <f>'Short-Term Long-Term Debt 24'!H49</f>
        <v>800000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21027</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3599.9999999999995</v>
      </c>
      <c r="C4268" s="2" t="s">
        <v>573</v>
      </c>
      <c r="D4268" s="2" t="str">
        <f t="shared" si="65"/>
        <v>Error?</v>
      </c>
    </row>
    <row r="4269" spans="1:5" x14ac:dyDescent="0.2">
      <c r="A4269" s="12">
        <v>4208</v>
      </c>
      <c r="B4269" s="138">
        <f>'FP Info 3'!J16</f>
        <v>2574409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24238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766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3938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110243477</v>
      </c>
      <c r="D4995" s="2" t="str">
        <f t="shared" si="77"/>
        <v>Error?</v>
      </c>
    </row>
    <row r="4996" spans="1:4" x14ac:dyDescent="0.2">
      <c r="A4996" s="12">
        <v>4935</v>
      </c>
      <c r="B4996" s="138">
        <f>'FP Info 3'!H31</f>
        <v>15213599.826000001</v>
      </c>
      <c r="D4996" s="2" t="str">
        <f t="shared" si="77"/>
        <v>Error?</v>
      </c>
    </row>
    <row r="4997" spans="1:4" x14ac:dyDescent="0.2">
      <c r="A4997" s="12">
        <v>4936</v>
      </c>
      <c r="B4997" s="138">
        <f>'FP Info 3'!H37</f>
        <v>12050000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27646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1603467</v>
      </c>
      <c r="D5061" s="2" t="str">
        <f t="shared" si="78"/>
        <v>Error?</v>
      </c>
    </row>
    <row r="5062" spans="1:4" x14ac:dyDescent="0.2">
      <c r="A5062" s="10">
        <v>5001</v>
      </c>
      <c r="D5062" s="2" t="str">
        <f t="shared" si="78"/>
        <v>OK</v>
      </c>
    </row>
    <row r="5063" spans="1:4" x14ac:dyDescent="0.2">
      <c r="A5063" s="5">
        <v>5002</v>
      </c>
      <c r="B5063" s="138">
        <f>'Revenues 9-14'!C7</f>
        <v>22117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1653230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16294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16294</v>
      </c>
      <c r="C5087" s="2" t="s">
        <v>573</v>
      </c>
      <c r="D5087" s="2" t="str">
        <f t="shared" si="78"/>
        <v>Error?</v>
      </c>
    </row>
    <row r="5088" spans="1:4" x14ac:dyDescent="0.2">
      <c r="A5088" s="5">
        <v>5027</v>
      </c>
      <c r="B5088" s="138">
        <f>'Revenues 9-14'!C65</f>
        <v>8067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8067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722</v>
      </c>
      <c r="D5093" s="2" t="str">
        <f t="shared" si="78"/>
        <v>Error?</v>
      </c>
    </row>
    <row r="5094" spans="1:4" x14ac:dyDescent="0.2">
      <c r="A5094" s="5">
        <v>5033</v>
      </c>
      <c r="B5094" s="138">
        <f>'Revenues 9-14'!C73</f>
        <v>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227125</v>
      </c>
      <c r="C5096" s="2" t="s">
        <v>573</v>
      </c>
      <c r="D5096" s="2" t="str">
        <f t="shared" si="78"/>
        <v>Error?</v>
      </c>
    </row>
    <row r="5097" spans="1:4" x14ac:dyDescent="0.2">
      <c r="A5097" s="5">
        <v>5036</v>
      </c>
      <c r="B5097" s="138">
        <f>'Revenues 9-14'!C77</f>
        <v>29203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13679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42882</v>
      </c>
      <c r="C5102" s="2" t="s">
        <v>573</v>
      </c>
      <c r="D5102" s="2" t="str">
        <f t="shared" si="78"/>
        <v>Error?</v>
      </c>
    </row>
    <row r="5103" spans="1:4" x14ac:dyDescent="0.2">
      <c r="A5103" s="5">
        <v>5042</v>
      </c>
      <c r="B5103" s="138">
        <f>'Revenues 9-14'!C84</f>
        <v>70251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3030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73281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4847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781</v>
      </c>
      <c r="D5119" s="2" t="str">
        <f t="shared" ref="D5119:D5182" si="79">IF(ISBLANK(B5119),"OK",IF(A5119-B5119=0,"OK","Error?"))</f>
        <v>Error?</v>
      </c>
    </row>
    <row r="5120" spans="1:4" x14ac:dyDescent="0.2">
      <c r="A5120" s="5">
        <v>5059</v>
      </c>
      <c r="B5120" s="138">
        <f>'Revenues 9-14'!C108</f>
        <v>12083</v>
      </c>
      <c r="C5120" s="2" t="s">
        <v>573</v>
      </c>
      <c r="D5120" s="2" t="str">
        <f t="shared" si="79"/>
        <v>Error?</v>
      </c>
    </row>
    <row r="5121" spans="1:4" x14ac:dyDescent="0.2">
      <c r="A5121" s="5">
        <v>5060</v>
      </c>
      <c r="B5121" s="138">
        <f>'Revenues 9-14'!C109</f>
        <v>2032962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4098053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4098053</v>
      </c>
      <c r="C5132" s="2" t="s">
        <v>573</v>
      </c>
      <c r="D5132" s="2" t="str">
        <f t="shared" si="79"/>
        <v>Error?</v>
      </c>
    </row>
    <row r="5133" spans="1:4" x14ac:dyDescent="0.2">
      <c r="A5133" s="5">
        <v>5072</v>
      </c>
      <c r="B5133" s="138">
        <f>'Revenues 9-14'!C125</f>
        <v>17229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17229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21027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4841</v>
      </c>
      <c r="D5167" s="2" t="str">
        <f t="shared" si="79"/>
        <v>Error?</v>
      </c>
    </row>
    <row r="5168" spans="1:4" x14ac:dyDescent="0.2">
      <c r="A5168" s="5">
        <v>5107</v>
      </c>
      <c r="B5168" s="138">
        <f>'Revenues 9-14'!C148</f>
        <v>10581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t="str">
        <f>'Revenues 9-14'!C149</f>
        <v xml:space="preserve"> </v>
      </c>
      <c r="D5171" s="2" t="e">
        <f t="shared" si="79"/>
        <v>#VALUE!</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158782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212460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4310513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214124</v>
      </c>
      <c r="D5239" s="2" t="str">
        <f t="shared" si="80"/>
        <v>Error?</v>
      </c>
    </row>
    <row r="5240" spans="1:4" x14ac:dyDescent="0.2">
      <c r="A5240" s="5">
        <v>5179</v>
      </c>
      <c r="B5240" s="138">
        <f>'Revenues 9-14'!C192</f>
        <v>1074</v>
      </c>
      <c r="D5240" s="2" t="str">
        <f t="shared" si="80"/>
        <v>Error?</v>
      </c>
    </row>
    <row r="5241" spans="1:4" x14ac:dyDescent="0.2">
      <c r="A5241" s="5">
        <v>5180</v>
      </c>
      <c r="B5241" s="138">
        <f>'Revenues 9-14'!C193</f>
        <v>62703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277901</v>
      </c>
      <c r="C5246" s="2" t="s">
        <v>573</v>
      </c>
      <c r="D5246" s="2" t="str">
        <f t="shared" si="80"/>
        <v>Error?</v>
      </c>
    </row>
    <row r="5247" spans="1:4" x14ac:dyDescent="0.2">
      <c r="A5247" s="5">
        <v>5186</v>
      </c>
      <c r="B5247" s="138">
        <f>'Revenues 9-14'!C200</f>
        <v>243712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243712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145000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145000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694789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694789</v>
      </c>
      <c r="C5326" s="2" t="s">
        <v>573</v>
      </c>
      <c r="D5326" s="2" t="str">
        <f t="shared" si="82"/>
        <v>Error?</v>
      </c>
    </row>
    <row r="5327" spans="1:5" x14ac:dyDescent="0.2">
      <c r="A5327" s="5">
        <v>5266</v>
      </c>
      <c r="B5327" s="138">
        <f>'Revenues 9-14'!C268</f>
        <v>7038264</v>
      </c>
      <c r="C5327" s="2" t="s">
        <v>573</v>
      </c>
      <c r="D5327" s="2" t="str">
        <f t="shared" si="82"/>
        <v>Error?</v>
      </c>
    </row>
    <row r="5328" spans="1:5" x14ac:dyDescent="0.2">
      <c r="A5328" s="5">
        <v>5267</v>
      </c>
      <c r="B5328" s="138">
        <f>'Revenues 9-14'!D5</f>
        <v>276461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276461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620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1181</v>
      </c>
      <c r="D5354" s="2" t="str">
        <f t="shared" si="82"/>
        <v>Error?</v>
      </c>
    </row>
    <row r="5355" spans="1:4" x14ac:dyDescent="0.2">
      <c r="A5355" s="5">
        <v>5294</v>
      </c>
      <c r="B5355" s="138">
        <f>'Revenues 9-14'!D108</f>
        <v>1801</v>
      </c>
      <c r="C5355" s="2" t="s">
        <v>573</v>
      </c>
      <c r="D5355" s="2" t="str">
        <f t="shared" si="82"/>
        <v>Error?</v>
      </c>
    </row>
    <row r="5356" spans="1:4" x14ac:dyDescent="0.2">
      <c r="A5356" s="5">
        <v>5295</v>
      </c>
      <c r="B5356" s="138">
        <f>'Revenues 9-14'!D109</f>
        <v>278788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278788</v>
      </c>
      <c r="C5508" s="2" t="s">
        <v>573</v>
      </c>
      <c r="D5508" s="2" t="str">
        <f t="shared" si="85"/>
        <v>Error?</v>
      </c>
    </row>
    <row r="5509" spans="1:4" x14ac:dyDescent="0.2">
      <c r="A5509" s="5">
        <v>5448</v>
      </c>
      <c r="B5509" s="138">
        <f>'Revenues 9-14'!E5</f>
        <v>203870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203870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650233</v>
      </c>
      <c r="C5526" s="2" t="s">
        <v>573</v>
      </c>
      <c r="D5526" s="2" t="str">
        <f t="shared" si="85"/>
        <v>Error?</v>
      </c>
    </row>
    <row r="5527" spans="1:4" x14ac:dyDescent="0.2">
      <c r="A5527" s="5">
        <v>5466</v>
      </c>
      <c r="B5527" s="138">
        <f>'Revenues 9-14'!E109</f>
        <v>854248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854248</v>
      </c>
      <c r="C5552" s="2" t="s">
        <v>573</v>
      </c>
      <c r="D5552" s="2" t="str">
        <f t="shared" si="85"/>
        <v>Error?</v>
      </c>
    </row>
    <row r="5553" spans="1:4" x14ac:dyDescent="0.2">
      <c r="A5553" s="5">
        <v>5492</v>
      </c>
      <c r="B5553" s="138">
        <f>'Revenues 9-14'!F5</f>
        <v>110585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110585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3294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34567</v>
      </c>
      <c r="D5586" s="2" t="str">
        <f t="shared" si="86"/>
        <v>Error?</v>
      </c>
    </row>
    <row r="5587" spans="1:4" x14ac:dyDescent="0.2">
      <c r="A5587" s="5">
        <v>5526</v>
      </c>
      <c r="B5587" s="138">
        <f>'Revenues 9-14'!F108</f>
        <v>34567</v>
      </c>
      <c r="C5587" s="2" t="s">
        <v>573</v>
      </c>
      <c r="D5587" s="2" t="str">
        <f t="shared" si="86"/>
        <v>Error?</v>
      </c>
    </row>
    <row r="5588" spans="1:4" x14ac:dyDescent="0.2">
      <c r="A5588" s="5">
        <v>5527</v>
      </c>
      <c r="B5588" s="138">
        <f>'Revenues 9-14'!F109</f>
        <v>148446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219912</v>
      </c>
      <c r="D5615" s="2" t="str">
        <f t="shared" si="86"/>
        <v>Error?</v>
      </c>
    </row>
    <row r="5616" spans="1:4" x14ac:dyDescent="0.2">
      <c r="A5616" s="10">
        <v>5555</v>
      </c>
      <c r="D5616" s="2" t="str">
        <f t="shared" si="86"/>
        <v>OK</v>
      </c>
    </row>
    <row r="5617" spans="1:5" x14ac:dyDescent="0.2">
      <c r="A5617" s="5">
        <v>5556</v>
      </c>
      <c r="B5617" s="138">
        <f>'Revenues 9-14'!F153</f>
        <v>100275</v>
      </c>
      <c r="D5617" s="2" t="str">
        <f t="shared" si="86"/>
        <v>Error?</v>
      </c>
    </row>
    <row r="5618" spans="1:5" x14ac:dyDescent="0.2">
      <c r="A5618" s="5">
        <v>5557</v>
      </c>
      <c r="B5618" s="138">
        <f>'Revenues 9-14'!F155</f>
        <v>320187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320187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420187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568633</v>
      </c>
      <c r="C5720" s="2" t="s">
        <v>573</v>
      </c>
      <c r="D5720" s="2" t="str">
        <f t="shared" si="88"/>
        <v>Error?</v>
      </c>
    </row>
    <row r="5721" spans="1:4" x14ac:dyDescent="0.2">
      <c r="A5721" s="5">
        <v>5660</v>
      </c>
      <c r="B5721" s="138">
        <f>'Revenues 9-14'!G5</f>
        <v>12927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25854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204512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204512</v>
      </c>
      <c r="C5730" s="2" t="s">
        <v>573</v>
      </c>
      <c r="D5730" s="2" t="str">
        <f t="shared" si="88"/>
        <v>Error?</v>
      </c>
    </row>
    <row r="5731" spans="1:4" x14ac:dyDescent="0.2">
      <c r="A5731" s="5">
        <v>5670</v>
      </c>
      <c r="B5731" s="138">
        <f>'Revenues 9-14'!G65</f>
        <v>1356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231722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27647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27647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27683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27646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27646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977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28623</v>
      </c>
      <c r="C6023" s="2" t="s">
        <v>573</v>
      </c>
      <c r="D6023" s="2" t="str">
        <f t="shared" si="93"/>
        <v>Error?</v>
      </c>
    </row>
    <row r="6024" spans="1:5" x14ac:dyDescent="0.2">
      <c r="A6024" s="5">
        <v>5963</v>
      </c>
      <c r="B6024" s="138">
        <f>'Revenues 9-14'!G109</f>
        <v>231722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27683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28623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226371</v>
      </c>
      <c r="D6031" s="2" t="str">
        <f t="shared" si="93"/>
        <v>Error?</v>
      </c>
    </row>
    <row r="6032" spans="1:5" x14ac:dyDescent="0.2">
      <c r="A6032" s="5">
        <v>5971</v>
      </c>
      <c r="B6032" s="138">
        <f>'Acct Summary 7-8'!G15</f>
        <v>25087</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45624.03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977.28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204550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70462</v>
      </c>
      <c r="D6134" s="2" t="str">
        <f t="shared" si="94"/>
        <v>Error?</v>
      </c>
      <c r="E6134" s="2" t="s">
        <v>190</v>
      </c>
    </row>
    <row r="6135" spans="1:5" x14ac:dyDescent="0.2">
      <c r="A6135">
        <v>6074</v>
      </c>
      <c r="B6135" s="138">
        <f>'Assets-Liab 5-6'!E26</f>
        <v>370375</v>
      </c>
      <c r="D6135" s="2" t="str">
        <f t="shared" si="94"/>
        <v>Error?</v>
      </c>
      <c r="E6135" s="2" t="s">
        <v>190</v>
      </c>
    </row>
    <row r="6136" spans="1:5" x14ac:dyDescent="0.2">
      <c r="A6136">
        <v>6075</v>
      </c>
      <c r="B6136" s="138">
        <f>'Assets-Liab 5-6'!F26</f>
        <v>41776</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204550</v>
      </c>
      <c r="D6215" s="2" t="str">
        <f t="shared" si="96"/>
        <v>Error?</v>
      </c>
      <c r="E6215" s="2" t="s">
        <v>190</v>
      </c>
    </row>
    <row r="6216" spans="1:5" x14ac:dyDescent="0.2">
      <c r="A6216">
        <v>6155</v>
      </c>
      <c r="B6216" s="138">
        <f>'Assets-Liab 5-6'!J41</f>
        <v>204550</v>
      </c>
      <c r="D6216" s="2" t="str">
        <f t="shared" si="96"/>
        <v>Error?</v>
      </c>
      <c r="E6216" s="2" t="s">
        <v>190</v>
      </c>
    </row>
    <row r="6217" spans="1:5" x14ac:dyDescent="0.2">
      <c r="A6217">
        <v>6156</v>
      </c>
      <c r="B6217" s="138">
        <f>'Assets-Liab 5-6'!J4</f>
        <v>197868</v>
      </c>
      <c r="D6217" s="2" t="str">
        <f t="shared" si="96"/>
        <v>Error?</v>
      </c>
      <c r="E6217" s="2" t="s">
        <v>190</v>
      </c>
    </row>
    <row r="6218" spans="1:5" x14ac:dyDescent="0.2">
      <c r="A6218">
        <v>6157</v>
      </c>
      <c r="B6218" s="138">
        <f>'Assets-Liab 5-6'!J5</f>
        <v>6682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105781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105781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105781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173453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173453</v>
      </c>
      <c r="D6229" s="2" t="str">
        <f t="shared" si="96"/>
        <v>Error?</v>
      </c>
      <c r="E6229" s="2" t="s">
        <v>190</v>
      </c>
    </row>
    <row r="6230" spans="1:5" x14ac:dyDescent="0.2">
      <c r="A6230">
        <v>6169</v>
      </c>
      <c r="B6230" s="138">
        <f>'Acct Summary 7-8'!J20</f>
        <v>-67672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-67672</v>
      </c>
      <c r="D6263" s="2" t="str">
        <f t="shared" si="96"/>
        <v>Error?</v>
      </c>
      <c r="E6263" s="2" t="s">
        <v>190</v>
      </c>
    </row>
    <row r="6264" spans="1:5" x14ac:dyDescent="0.2">
      <c r="A6264">
        <v>6203</v>
      </c>
      <c r="B6264" s="138">
        <f>'Acct Summary 7-8'!J79</f>
        <v>272222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204550</v>
      </c>
      <c r="D6266" s="2" t="str">
        <f t="shared" si="96"/>
        <v>Error?</v>
      </c>
      <c r="E6266" s="2" t="s">
        <v>190</v>
      </c>
    </row>
    <row r="6267" spans="1:5" x14ac:dyDescent="0.2">
      <c r="A6267">
        <v>6206</v>
      </c>
      <c r="B6267" s="138">
        <f>'Acct Summary 7-8'!C82</f>
        <v>-1390243</v>
      </c>
      <c r="D6267" s="2" t="str">
        <f t="shared" si="96"/>
        <v>Error?</v>
      </c>
      <c r="E6267" s="2" t="s">
        <v>190</v>
      </c>
    </row>
    <row r="6268" spans="1:5" x14ac:dyDescent="0.2">
      <c r="A6268">
        <v>6207</v>
      </c>
      <c r="B6268" s="138">
        <f>'Acct Summary 7-8'!D82</f>
        <v>-383728</v>
      </c>
      <c r="D6268" s="2" t="str">
        <f t="shared" si="96"/>
        <v>Error?</v>
      </c>
      <c r="E6268" s="2" t="s">
        <v>190</v>
      </c>
    </row>
    <row r="6269" spans="1:5" x14ac:dyDescent="0.2">
      <c r="A6269">
        <v>6208</v>
      </c>
      <c r="B6269" s="138">
        <f>'Acct Summary 7-8'!E82</f>
        <v>-417812</v>
      </c>
      <c r="D6269" s="2" t="str">
        <f t="shared" si="96"/>
        <v>Error?</v>
      </c>
      <c r="E6269" s="2" t="s">
        <v>190</v>
      </c>
    </row>
    <row r="6270" spans="1:5" x14ac:dyDescent="0.2">
      <c r="A6270">
        <v>6209</v>
      </c>
      <c r="B6270" s="138">
        <f>'Acct Summary 7-8'!F82</f>
        <v>-120635</v>
      </c>
      <c r="D6270" s="2" t="str">
        <f t="shared" si="96"/>
        <v>Error?</v>
      </c>
      <c r="E6270" s="2" t="s">
        <v>190</v>
      </c>
    </row>
    <row r="6271" spans="1:5" x14ac:dyDescent="0.2">
      <c r="A6271">
        <v>6210</v>
      </c>
      <c r="B6271" s="138">
        <f>'Acct Summary 7-8'!G82</f>
        <v>-31663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27683</v>
      </c>
      <c r="D6273" s="2" t="str">
        <f t="shared" si="97"/>
        <v>Error?</v>
      </c>
      <c r="E6273" s="2" t="s">
        <v>190</v>
      </c>
    </row>
    <row r="6274" spans="1:5" x14ac:dyDescent="0.2">
      <c r="A6274">
        <v>6213</v>
      </c>
      <c r="B6274" s="138">
        <f>'Acct Summary 7-8'!J82</f>
        <v>-67672</v>
      </c>
      <c r="D6274" s="2" t="str">
        <f t="shared" si="97"/>
        <v>Error?</v>
      </c>
      <c r="E6274" s="2" t="s">
        <v>190</v>
      </c>
    </row>
    <row r="6275" spans="1:5" x14ac:dyDescent="0.2">
      <c r="A6275">
        <v>6214</v>
      </c>
      <c r="B6275" s="138">
        <f>'Acct Summary 7-8'!K82</f>
        <v>28623</v>
      </c>
      <c r="D6275" s="2" t="str">
        <f t="shared" si="97"/>
        <v>Error?</v>
      </c>
      <c r="E6275" s="2" t="s">
        <v>190</v>
      </c>
    </row>
    <row r="6276" spans="1:5" x14ac:dyDescent="0.2">
      <c r="A6276">
        <v>6215</v>
      </c>
      <c r="B6276" s="138">
        <f>'Acct Summary 7-8'!C83</f>
        <v>-0.61074414293308033</v>
      </c>
      <c r="D6276" s="2" t="str">
        <f t="shared" si="97"/>
        <v>Error?</v>
      </c>
      <c r="E6276" s="2" t="s">
        <v>190</v>
      </c>
    </row>
    <row r="6277" spans="1:5" x14ac:dyDescent="0.2">
      <c r="A6277">
        <v>6216</v>
      </c>
      <c r="B6277" s="138">
        <f>'Acct Summary 7-8'!D83</f>
        <v>8.6680973141475981</v>
      </c>
      <c r="D6277" s="2" t="str">
        <f t="shared" si="97"/>
        <v>Error?</v>
      </c>
      <c r="E6277" s="2" t="s">
        <v>190</v>
      </c>
    </row>
    <row r="6278" spans="1:5" x14ac:dyDescent="0.2">
      <c r="A6278">
        <v>6217</v>
      </c>
      <c r="B6278" s="138">
        <f>'Acct Summary 7-8'!E83</f>
        <v>1.1670465464458895</v>
      </c>
      <c r="D6278" s="2" t="str">
        <f t="shared" si="97"/>
        <v>Error?</v>
      </c>
      <c r="E6278" s="2" t="s">
        <v>190</v>
      </c>
    </row>
    <row r="6279" spans="1:5" x14ac:dyDescent="0.2">
      <c r="A6279">
        <v>6218</v>
      </c>
      <c r="B6279" s="138">
        <f>'Acct Summary 7-8'!F83</f>
        <v>-0.60101734772167914</v>
      </c>
      <c r="D6279" s="2" t="str">
        <f t="shared" si="97"/>
        <v>Error?</v>
      </c>
      <c r="E6279" s="2" t="s">
        <v>190</v>
      </c>
    </row>
    <row r="6280" spans="1:5" x14ac:dyDescent="0.2">
      <c r="A6280">
        <v>6219</v>
      </c>
      <c r="B6280" s="138">
        <f>'Acct Summary 7-8'!G83</f>
        <v>-0.10250674194770255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0.19543240381221319</v>
      </c>
      <c r="D6282" s="2" t="str">
        <f t="shared" si="97"/>
        <v>Error?</v>
      </c>
      <c r="E6282" s="2" t="s">
        <v>190</v>
      </c>
    </row>
    <row r="6283" spans="1:5" x14ac:dyDescent="0.2">
      <c r="A6283">
        <v>6222</v>
      </c>
      <c r="B6283" s="138">
        <f>'Acct Summary 7-8'!J83</f>
        <v>-0.33083353703251039</v>
      </c>
      <c r="D6283" s="2" t="str">
        <f t="shared" si="97"/>
        <v>Error?</v>
      </c>
      <c r="E6283" s="2" t="s">
        <v>190</v>
      </c>
    </row>
    <row r="6284" spans="1:5" x14ac:dyDescent="0.2">
      <c r="A6284">
        <v>6223</v>
      </c>
      <c r="B6284" s="138">
        <f>'Acct Summary 7-8'!K83</f>
        <v>6.3685636856368563E-2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105640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105640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4505</v>
      </c>
      <c r="D6339" s="2" t="str">
        <f t="shared" si="98"/>
        <v>Error?</v>
      </c>
      <c r="E6339" s="2" t="s">
        <v>190</v>
      </c>
    </row>
    <row r="6340" spans="1:5" x14ac:dyDescent="0.2">
      <c r="A6340">
        <v>6279</v>
      </c>
      <c r="B6340" s="138">
        <f>'Revenues 9-14'!C102</f>
        <v>1184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105781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120836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154789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63053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173453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105781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87822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87822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478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478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62112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62112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15886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15886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7155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7155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173453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173453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173453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173453</v>
      </c>
      <c r="D7224" s="2" t="str">
        <f t="shared" si="111"/>
        <v>Error?</v>
      </c>
    </row>
    <row r="7225" spans="1:4" x14ac:dyDescent="0.2">
      <c r="A7225">
        <v>7164</v>
      </c>
      <c r="B7225" s="138">
        <f>'Expenditures 15-22'!K343</f>
        <v>-67672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20146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12362</v>
      </c>
      <c r="D7248" s="2" t="str">
        <f t="shared" si="112"/>
        <v>Error?</v>
      </c>
    </row>
    <row r="7249" spans="1:4" x14ac:dyDescent="0.2">
      <c r="A7249">
        <f t="shared" si="113"/>
        <v>7188</v>
      </c>
      <c r="B7249" s="138">
        <f>'Expenditures 15-22'!G7</f>
        <v>1445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52779</v>
      </c>
      <c r="D7263" s="2" t="str">
        <f t="shared" si="112"/>
        <v>Error?</v>
      </c>
    </row>
    <row r="7264" spans="1:4" x14ac:dyDescent="0.2">
      <c r="A7264">
        <f t="shared" si="113"/>
        <v>7203</v>
      </c>
      <c r="B7264" s="138">
        <f>'Expenditures 15-22'!D17</f>
        <v>7131</v>
      </c>
      <c r="D7264" s="2" t="str">
        <f t="shared" si="112"/>
        <v>Error?</v>
      </c>
    </row>
    <row r="7265" spans="1:5" x14ac:dyDescent="0.2">
      <c r="A7265">
        <f t="shared" si="113"/>
        <v>7204</v>
      </c>
      <c r="B7265" s="138">
        <f>'Expenditures 15-22'!E17</f>
        <v>3143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990426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4505</v>
      </c>
      <c r="D7712" s="2" t="str">
        <f t="shared" si="126"/>
        <v>Error?</v>
      </c>
      <c r="E7712" s="2" t="s">
        <v>827</v>
      </c>
    </row>
    <row r="7713" spans="1:6" x14ac:dyDescent="0.2">
      <c r="A7713">
        <v>7652</v>
      </c>
      <c r="B7713" s="138">
        <f>'Rest Tax Levies-Tort Im 25'!J8</f>
        <v>650233</v>
      </c>
      <c r="D7713" s="2" t="str">
        <f t="shared" si="126"/>
        <v>Error?</v>
      </c>
      <c r="E7713" s="2" t="s">
        <v>827</v>
      </c>
    </row>
    <row r="7714" spans="1:6" x14ac:dyDescent="0.2">
      <c r="A7714">
        <v>7653</v>
      </c>
      <c r="B7714" s="138">
        <f>'Rest Tax Levies-Tort Im 25'!K9</f>
        <v>10581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650233</v>
      </c>
      <c r="D7718" s="2" t="str">
        <f t="shared" si="126"/>
        <v>Error?</v>
      </c>
      <c r="E7718" s="2" t="s">
        <v>827</v>
      </c>
    </row>
    <row r="7719" spans="1:6" x14ac:dyDescent="0.2">
      <c r="A7719">
        <v>7658</v>
      </c>
      <c r="B7719" s="138">
        <f>'Rest Tax Levies-Tort Im 25'!K12</f>
        <v>15086</v>
      </c>
      <c r="D7719" s="2" t="str">
        <f t="shared" si="126"/>
        <v>Error?</v>
      </c>
      <c r="E7719" s="2" t="s">
        <v>827</v>
      </c>
    </row>
    <row r="7720" spans="1:6" x14ac:dyDescent="0.2">
      <c r="A7720">
        <v>7659</v>
      </c>
      <c r="B7720" s="138">
        <f>'Rest Tax Levies-Tort Im 25'!H14</f>
        <v>423672</v>
      </c>
      <c r="D7720" s="2" t="str">
        <f t="shared" si="126"/>
        <v>Error?</v>
      </c>
      <c r="E7720" s="2" t="s">
        <v>827</v>
      </c>
    </row>
    <row r="7721" spans="1:6" x14ac:dyDescent="0.2">
      <c r="A7721">
        <v>7660</v>
      </c>
      <c r="B7721" s="138">
        <f>'Rest Tax Levies-Tort Im 25'!K14</f>
        <v>63053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470560</v>
      </c>
      <c r="D7724" s="2" t="str">
        <f t="shared" si="126"/>
        <v>Error?</v>
      </c>
      <c r="E7724" s="2" t="s">
        <v>827</v>
      </c>
      <c r="F7724" s="2"/>
    </row>
    <row r="7725" spans="1:6" x14ac:dyDescent="0.2">
      <c r="A7725">
        <v>7664</v>
      </c>
      <c r="B7725" s="138">
        <f>'Rest Tax Levies-Tort Im 25'!J19</f>
        <v>800000</v>
      </c>
      <c r="D7725" s="2" t="str">
        <f t="shared" si="126"/>
        <v>Error?</v>
      </c>
      <c r="E7725" s="2" t="s">
        <v>827</v>
      </c>
    </row>
    <row r="7726" spans="1:6" x14ac:dyDescent="0.2">
      <c r="A7726">
        <v>7665</v>
      </c>
      <c r="B7726" s="138">
        <f>'Rest Tax Levies-Tort Im 25'!J20</f>
        <v>1500</v>
      </c>
      <c r="D7726" s="2" t="str">
        <f t="shared" si="126"/>
        <v>Error?</v>
      </c>
      <c r="E7726" s="2" t="s">
        <v>827</v>
      </c>
    </row>
    <row r="7727" spans="1:6" x14ac:dyDescent="0.2">
      <c r="A7727">
        <v>7666</v>
      </c>
      <c r="B7727" s="138">
        <f>'Rest Tax Levies-Tort Im 25'!J21</f>
        <v>1272060</v>
      </c>
      <c r="D7727" s="2" t="str">
        <f t="shared" si="126"/>
        <v>Error?</v>
      </c>
      <c r="E7727" s="2" t="s">
        <v>827</v>
      </c>
    </row>
    <row r="7728" spans="1:6" x14ac:dyDescent="0.2">
      <c r="A7728">
        <v>7667</v>
      </c>
      <c r="B7728" s="138">
        <f>'Revenues 9-14'!E103</f>
        <v>650233</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1272060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-621827</v>
      </c>
      <c r="D7732" s="2" t="str">
        <f t="shared" si="126"/>
        <v>Error?</v>
      </c>
      <c r="E7732" s="2" t="s">
        <v>827</v>
      </c>
    </row>
    <row r="7733" spans="1:6" x14ac:dyDescent="0.2">
      <c r="A7733">
        <v>7672</v>
      </c>
      <c r="B7733" s="138">
        <f>'Rest Tax Levies-Tort Im 25'!K24</f>
        <v>-47967</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-401555</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-621827</v>
      </c>
      <c r="D7742" s="2" t="str">
        <f t="shared" si="126"/>
        <v>Error?</v>
      </c>
      <c r="E7742" s="2" t="s">
        <v>827</v>
      </c>
    </row>
    <row r="7743" spans="1:6" x14ac:dyDescent="0.2">
      <c r="A7743">
        <v>7682</v>
      </c>
      <c r="B7743" s="138">
        <f>'Rest Tax Levies-Tort Im 25'!K26</f>
        <v>-47967</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zoomScale="110" zoomScaleNormal="110" workbookViewId="0">
      <selection activeCell="L40" sqref="L4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Knoxville CUSD 202</v>
      </c>
      <c r="B7" s="2385"/>
      <c r="C7" s="2385"/>
      <c r="D7" s="2422"/>
      <c r="E7" s="2423">
        <f>COVER!A13</f>
        <v>33048202026</v>
      </c>
      <c r="F7" s="2424"/>
      <c r="G7" s="2391" t="str">
        <f>COVER!T23</f>
        <v>065-024137</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BLUCKER, KNEER &amp; ASSOCIATES, LTD</v>
      </c>
      <c r="H9" s="2398"/>
      <c r="I9" s="2398"/>
      <c r="J9" s="2398"/>
      <c r="K9" s="2398"/>
      <c r="L9" s="2399"/>
    </row>
    <row r="10" spans="1:29" ht="13.5" customHeight="1" x14ac:dyDescent="0.2">
      <c r="A10" s="2381" t="str">
        <f>COVER!A38</f>
        <v>STEPHEN WILDER</v>
      </c>
      <c r="B10" s="2382"/>
      <c r="C10" s="2382"/>
      <c r="D10" s="2382"/>
      <c r="E10" s="2382"/>
      <c r="F10" s="2383"/>
      <c r="G10" s="2397" t="str">
        <f>COVER!T17</f>
        <v>P.O. BOX 1464</v>
      </c>
      <c r="H10" s="2410"/>
      <c r="I10" s="2410"/>
      <c r="J10" s="2410"/>
      <c r="K10" s="2410"/>
      <c r="L10" s="2411"/>
    </row>
    <row r="11" spans="1:29" ht="13.5" customHeight="1" x14ac:dyDescent="0.2">
      <c r="A11" s="1184" t="s">
        <v>1519</v>
      </c>
      <c r="B11" s="1185"/>
      <c r="C11" s="1186"/>
      <c r="D11" s="1191"/>
      <c r="E11" s="1186"/>
      <c r="F11" s="1190"/>
      <c r="G11" s="2397" t="str">
        <f>COVER!T19</f>
        <v>GALESBURG</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teresabka@gmailcom</v>
      </c>
      <c r="J13" s="2419"/>
      <c r="K13" s="2419"/>
      <c r="L13" s="2420"/>
    </row>
    <row r="14" spans="1:29" ht="13.5" customHeight="1" x14ac:dyDescent="0.2">
      <c r="A14" s="2397" t="str">
        <f>COVER!A19</f>
        <v>809 EAST MAIN STREET</v>
      </c>
      <c r="B14" s="2410"/>
      <c r="C14" s="2410"/>
      <c r="D14" s="2410"/>
      <c r="E14" s="2410"/>
      <c r="F14" s="2411"/>
      <c r="G14" s="1195" t="s">
        <v>1185</v>
      </c>
      <c r="H14" s="1193"/>
      <c r="I14" s="1193"/>
      <c r="J14" s="1193"/>
      <c r="K14" s="1193"/>
      <c r="L14" s="1194"/>
    </row>
    <row r="15" spans="1:29" ht="13.5" customHeight="1" x14ac:dyDescent="0.2">
      <c r="A15" s="2397" t="str">
        <f>COVER!A21</f>
        <v xml:space="preserve">KNOXVILLE </v>
      </c>
      <c r="B15" s="2410"/>
      <c r="C15" s="2410"/>
      <c r="D15" s="2410"/>
      <c r="E15" s="2410"/>
      <c r="F15" s="2411"/>
      <c r="G15" s="2407" t="str">
        <f>COVER!T15</f>
        <v>TERESA A. WELCH</v>
      </c>
      <c r="H15" s="2408"/>
      <c r="I15" s="2408"/>
      <c r="J15" s="2408"/>
      <c r="K15" s="2408"/>
      <c r="L15" s="2409"/>
    </row>
    <row r="16" spans="1:29" ht="12.2" customHeight="1" x14ac:dyDescent="0.2">
      <c r="A16" s="2387">
        <f>COVER!A25</f>
        <v>61448</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309-343-4156</v>
      </c>
      <c r="H18" s="2385"/>
      <c r="I18" s="2385"/>
      <c r="J18" s="2385"/>
      <c r="K18" s="2384" t="str">
        <f>COVER!X21</f>
        <v>309-343-0174</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Knoxville CUSD 202</v>
      </c>
      <c r="B1" s="2421"/>
      <c r="C1" s="2421"/>
      <c r="D1" s="2421"/>
    </row>
    <row r="2" spans="1:11" s="1212" customFormat="1" ht="12.75" x14ac:dyDescent="0.2">
      <c r="A2" s="2426">
        <f>'Single Audit Cover'!E7</f>
        <v>33048202026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F21" sqref="F2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Knoxville CUSD 202</v>
      </c>
      <c r="B1" s="2429"/>
      <c r="C1" s="2429"/>
      <c r="D1" s="2429"/>
      <c r="E1" s="2429"/>
    </row>
    <row r="2" spans="1:5" x14ac:dyDescent="0.2">
      <c r="A2" s="2430">
        <f>'Single Audit Cover'!E7</f>
        <v>33048202026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694789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45624.03</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740413.03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740413.03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740413.03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Knoxville CUSD 202</v>
      </c>
      <c r="C1" s="2433"/>
      <c r="D1" s="2433"/>
      <c r="E1" s="2433"/>
      <c r="F1" s="2433"/>
      <c r="G1" s="2433"/>
      <c r="H1" s="2433"/>
      <c r="I1" s="2433"/>
      <c r="J1" s="2433"/>
      <c r="K1" s="2433"/>
      <c r="L1" s="2433"/>
      <c r="M1" s="2433"/>
    </row>
    <row r="2" spans="2:14" ht="15" x14ac:dyDescent="0.2">
      <c r="B2" s="2434">
        <f>'Single Audit Cover'!E7</f>
        <v>33048202026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Knoxville CUSD 202</v>
      </c>
      <c r="B1" s="2438"/>
      <c r="C1" s="2438"/>
      <c r="D1" s="2438"/>
      <c r="E1" s="2438"/>
      <c r="F1" s="2438"/>
    </row>
    <row r="2" spans="1:7" ht="13.5" customHeight="1" x14ac:dyDescent="0.2">
      <c r="A2" s="2434">
        <f>'Single Audit Cover'!E7</f>
        <v>33048202026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89" colorId="8" zoomScale="110" zoomScaleNormal="110" workbookViewId="0">
      <selection activeCell="X43" sqref="X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2064</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Knoxville CUSD 202</v>
      </c>
      <c r="C1" s="2454"/>
      <c r="D1" s="2454"/>
      <c r="E1" s="2454"/>
      <c r="F1" s="2454"/>
      <c r="G1" s="2454"/>
      <c r="H1" s="2454"/>
      <c r="I1" s="2454"/>
      <c r="J1" s="1406"/>
    </row>
    <row r="2" spans="2:10" s="317" customFormat="1" ht="12.75" customHeight="1" x14ac:dyDescent="0.2">
      <c r="B2" s="2455">
        <f>'Single Audit Cover'!E7</f>
        <v>33048202026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Knoxville CUSD 202</v>
      </c>
      <c r="C1" s="2453"/>
      <c r="D1" s="2453"/>
      <c r="E1" s="2453"/>
      <c r="F1" s="2453"/>
      <c r="G1" s="2453"/>
      <c r="H1" s="2453"/>
      <c r="I1" s="2453"/>
      <c r="J1" s="2453"/>
      <c r="K1" s="2453"/>
      <c r="L1" s="1371"/>
      <c r="M1" s="1371"/>
    </row>
    <row r="2" spans="1:13" ht="12" customHeight="1" x14ac:dyDescent="0.2">
      <c r="B2" s="2455">
        <f>'Single Audit Cover'!E7</f>
        <v>33048202026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2117</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2085</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2086</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2087</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2088</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2089</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Knoxville CUSD 202</v>
      </c>
      <c r="C1" s="2453"/>
      <c r="D1" s="2453"/>
      <c r="E1" s="2453"/>
      <c r="F1" s="2453"/>
      <c r="G1" s="2453"/>
      <c r="H1" s="2453"/>
      <c r="I1" s="2453"/>
      <c r="J1" s="2453"/>
      <c r="K1" s="2453"/>
      <c r="L1" s="1371"/>
      <c r="M1" s="1371"/>
    </row>
    <row r="2" spans="1:13" ht="12" customHeight="1" x14ac:dyDescent="0.2">
      <c r="B2" s="2455">
        <f>'Single Audit Cover'!E7</f>
        <v>33048202026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2090</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2091</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2092</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2093</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2094</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2095</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2096</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Knoxville CUSD 202</v>
      </c>
      <c r="C1" s="2453"/>
      <c r="D1" s="2453"/>
      <c r="E1" s="2453"/>
      <c r="F1" s="2453"/>
      <c r="G1" s="2453"/>
      <c r="H1" s="2453"/>
      <c r="I1" s="2453"/>
      <c r="J1" s="2453"/>
      <c r="K1" s="2453"/>
      <c r="L1" s="1371"/>
      <c r="M1" s="1371"/>
    </row>
    <row r="2" spans="1:13" ht="12" customHeight="1" x14ac:dyDescent="0.2">
      <c r="B2" s="2455">
        <f>'Single Audit Cover'!E7</f>
        <v>33048202026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2064</v>
      </c>
      <c r="H10" s="1386" t="s">
        <v>1294</v>
      </c>
      <c r="I10" s="1385" t="s">
        <v>1169</v>
      </c>
      <c r="J10" s="1387" t="s">
        <v>1293</v>
      </c>
      <c r="K10" s="322"/>
      <c r="L10" s="1378"/>
    </row>
    <row r="11" spans="1:13" ht="13.5" customHeight="1" x14ac:dyDescent="0.2">
      <c r="B11" s="322"/>
      <c r="C11" s="322"/>
      <c r="D11" s="322"/>
      <c r="E11" s="322"/>
      <c r="F11" s="322"/>
      <c r="G11" s="1380"/>
      <c r="H11" s="322"/>
      <c r="I11" s="1388" t="s">
        <v>1292</v>
      </c>
      <c r="J11" s="322"/>
      <c r="K11" s="1389" t="s">
        <v>1169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2118</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2119</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2120</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2121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2122</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2123</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2124</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Knoxville CUSD 202</v>
      </c>
      <c r="C1" s="2453"/>
      <c r="D1" s="2453"/>
      <c r="E1" s="2453"/>
      <c r="F1" s="2453"/>
      <c r="G1" s="2453"/>
      <c r="H1" s="2453"/>
      <c r="I1" s="2453"/>
      <c r="J1" s="2453"/>
      <c r="K1" s="2453"/>
      <c r="L1" s="1371"/>
      <c r="M1" s="1371"/>
    </row>
    <row r="2" spans="1:13" ht="12" customHeight="1" x14ac:dyDescent="0.2">
      <c r="B2" s="2455">
        <f>'Single Audit Cover'!E7</f>
        <v>33048202026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938"/>
      <c r="M3" s="1938"/>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4</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2125</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2126</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2127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2128</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2129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2130</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2131</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Knoxville CUSD 202</v>
      </c>
      <c r="C1" s="2480"/>
      <c r="D1" s="2480"/>
      <c r="E1" s="2480"/>
      <c r="F1" s="2480"/>
      <c r="G1" s="2480"/>
      <c r="H1" s="2480"/>
      <c r="I1" s="2480"/>
      <c r="J1" s="2480"/>
      <c r="K1" s="2480"/>
      <c r="L1" s="1449"/>
    </row>
    <row r="2" spans="1:12" ht="12.75" customHeight="1" x14ac:dyDescent="0.2">
      <c r="B2" s="2481">
        <f>'Single Audit Cover'!E7</f>
        <v>33048202026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2" sqref="C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Knoxville CUSD 202</v>
      </c>
      <c r="C1" s="2453"/>
      <c r="D1" s="2453"/>
      <c r="E1" s="1469"/>
    </row>
    <row r="2" spans="2:5" s="1279" customFormat="1" ht="12.75" customHeight="1" x14ac:dyDescent="0.2">
      <c r="B2" s="2455">
        <f>'Single Audit Cover'!E7</f>
        <v>33048202026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t="s">
        <v>2097</v>
      </c>
      <c r="C9" s="323" t="s">
        <v>2098</v>
      </c>
      <c r="D9" s="323" t="s">
        <v>2100</v>
      </c>
      <c r="E9" s="323"/>
    </row>
    <row r="10" spans="2:5" ht="13.5" customHeight="1" x14ac:dyDescent="0.2">
      <c r="B10" s="1474"/>
      <c r="C10" s="323" t="s">
        <v>2099</v>
      </c>
      <c r="D10" s="323" t="s">
        <v>2101</v>
      </c>
      <c r="E10" s="323"/>
    </row>
    <row r="11" spans="2:5" ht="13.5" customHeight="1" x14ac:dyDescent="0.2">
      <c r="B11" s="1474"/>
      <c r="C11" s="323"/>
      <c r="D11" s="323"/>
      <c r="E11" s="323"/>
    </row>
    <row r="12" spans="2:5" ht="13.5" customHeight="1" x14ac:dyDescent="0.2">
      <c r="B12" s="1474" t="s">
        <v>2102</v>
      </c>
      <c r="C12" s="323" t="s">
        <v>2103</v>
      </c>
      <c r="D12" s="323" t="s">
        <v>2100</v>
      </c>
      <c r="E12" s="323"/>
    </row>
    <row r="13" spans="2:5" ht="13.5" customHeight="1" x14ac:dyDescent="0.2">
      <c r="B13" s="1474"/>
      <c r="C13" s="323"/>
      <c r="D13" s="323" t="s">
        <v>2104</v>
      </c>
      <c r="E13" s="323"/>
    </row>
    <row r="14" spans="2:5" ht="13.5" customHeight="1" x14ac:dyDescent="0.2">
      <c r="B14" s="1474"/>
      <c r="C14" s="323"/>
      <c r="D14" s="323"/>
      <c r="E14" s="323"/>
    </row>
    <row r="15" spans="2:5" ht="13.5" customHeight="1" x14ac:dyDescent="0.2">
      <c r="B15" s="1474" t="s">
        <v>2132</v>
      </c>
      <c r="C15" s="323" t="s">
        <v>2133</v>
      </c>
      <c r="D15" s="323" t="s">
        <v>2134</v>
      </c>
      <c r="E15" s="323"/>
    </row>
    <row r="16" spans="2:5" ht="13.5" customHeight="1" x14ac:dyDescent="0.2">
      <c r="B16" s="1474"/>
      <c r="C16" s="323"/>
      <c r="D16" s="323" t="s">
        <v>2135</v>
      </c>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7" colorId="8" zoomScale="110" zoomScaleNormal="110" workbookViewId="0">
      <selection activeCell="X43" sqref="X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110243477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2.9000000000000001E-2</v>
      </c>
      <c r="E10" s="356" t="s">
        <v>1005</v>
      </c>
      <c r="F10" s="355">
        <v>5.0000000000000001E-3</v>
      </c>
      <c r="G10" s="356" t="s">
        <v>1005</v>
      </c>
      <c r="H10" s="355">
        <v>2E-3</v>
      </c>
      <c r="I10" s="356" t="s">
        <v>1006</v>
      </c>
      <c r="J10" s="1732">
        <f>ROUND(D10+F10+H10,5)</f>
        <v>3.5999999999999997E-2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7913368</v>
      </c>
      <c r="E16" s="356"/>
      <c r="F16" s="1733">
        <f>SUM('Acct Summary 7-8'!C17,'Acct Summary 7-8'!D17,'Acct Summary 7-8'!F17)</f>
        <v>9780291</v>
      </c>
      <c r="G16" s="356"/>
      <c r="H16" s="1733">
        <f>SUM(D16-F16)</f>
        <v>-1866923</v>
      </c>
      <c r="I16" s="222"/>
      <c r="J16" s="1733">
        <f>SUM('Acct Summary 7-8'!C81,'Acct Summary 7-8'!D81,'Acct Summary 7-8'!F81,'Acct Summary 7-8'!I81)</f>
        <v>2574409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15213599.826000001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12050000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t="s">
        <v>2064</v>
      </c>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t="s">
        <v>2111</v>
      </c>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16" zoomScale="110" zoomScaleNormal="110" workbookViewId="0">
      <selection activeCell="X43" sqref="X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Knoxville CUSD 202</v>
      </c>
      <c r="E7" s="391"/>
      <c r="G7" s="252"/>
      <c r="H7" s="387"/>
      <c r="I7" s="387"/>
      <c r="J7" s="387"/>
      <c r="K7" s="387"/>
      <c r="L7" s="329"/>
      <c r="M7" s="329"/>
      <c r="N7" s="329"/>
      <c r="O7" s="329"/>
      <c r="P7" s="329"/>
    </row>
    <row r="8" spans="1:18" ht="12.75" x14ac:dyDescent="0.2">
      <c r="A8" s="329"/>
      <c r="B8" s="329"/>
      <c r="C8" s="389" t="s">
        <v>1125</v>
      </c>
      <c r="D8" s="392">
        <f>COVER!A13</f>
        <v>33048202026</v>
      </c>
      <c r="E8" s="393"/>
      <c r="G8" s="329"/>
      <c r="H8" s="329"/>
      <c r="I8" s="329"/>
      <c r="J8" s="329"/>
      <c r="K8" s="329"/>
      <c r="L8" s="329"/>
      <c r="M8" s="329"/>
      <c r="N8" s="329"/>
      <c r="O8" s="329"/>
      <c r="P8" s="329"/>
    </row>
    <row r="9" spans="1:18" ht="12.75" x14ac:dyDescent="0.2">
      <c r="A9" s="329"/>
      <c r="B9" s="329"/>
      <c r="C9" s="389" t="s">
        <v>713</v>
      </c>
      <c r="D9" s="394" t="str">
        <f>COVER!A15</f>
        <v>KNOX</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2574409</v>
      </c>
      <c r="I12" s="404"/>
      <c r="J12" s="404"/>
      <c r="K12" s="405">
        <f>TRUNC((H12/H13*100000),5)/100000</f>
        <v>0.32532405920000002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7913368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9780291</v>
      </c>
      <c r="I17" s="404"/>
      <c r="J17" s="416"/>
      <c r="K17" s="405">
        <f>TRUNC((H17/H18*100000),5)/100000</f>
        <v>1.2359201543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7913368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0.95508599999999999</v>
      </c>
      <c r="K20" s="405" t="str">
        <f>IF(K17&lt;=1,"0",IF(AND(O16="2", J20 &gt; 2),TRUNC(((K12-0.1)/(K17-1)*100),5)/100,IF(AND(O16 = "1", J20 &gt; 2),TRUNC(((K12-0.1)/(K17-1)*100),5)/100,IF(AND(O16="1", J20 &gt;1),TRUNC(((K12-0.1)/(K17-1)*100),5)/100,""))))</f>
        <v/>
      </c>
      <c r="L20" s="218"/>
      <c r="M20" s="360" t="s">
        <v>1145</v>
      </c>
      <c r="N20" s="360"/>
      <c r="O20" s="411">
        <f>(O16+O17)*O18</f>
        <v>0.35</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2697740</v>
      </c>
      <c r="I24" s="422"/>
      <c r="J24" s="422"/>
      <c r="K24" s="423">
        <f>TRUNC(((H24/H25*100000)/100000),2)</f>
        <v>99.3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27167.474999999999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3373450.3961999998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12050000</v>
      </c>
      <c r="I32" s="420"/>
      <c r="J32" s="420"/>
      <c r="K32" s="423">
        <f>TRUNC(100-((((H32/H33*100))*100)/100),2)</f>
        <v>20.79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15213599.826000001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2.5499999999999998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pane="bottomLeft" activeCell="F28" sqref="F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1784374</v>
      </c>
      <c r="D4" s="466"/>
      <c r="E4" s="466"/>
      <c r="F4" s="466"/>
      <c r="G4" s="466">
        <v>205907</v>
      </c>
      <c r="H4" s="466"/>
      <c r="I4" s="466">
        <v>141650</v>
      </c>
      <c r="J4" s="467">
        <v>197868</v>
      </c>
      <c r="K4" s="466">
        <v>378829</v>
      </c>
      <c r="L4" s="466">
        <v>168694</v>
      </c>
      <c r="M4" s="468"/>
      <c r="N4" s="469"/>
    </row>
    <row r="5" spans="1:14" x14ac:dyDescent="0.2">
      <c r="A5" s="463" t="s">
        <v>992</v>
      </c>
      <c r="B5" s="470">
        <v>120</v>
      </c>
      <c r="C5" s="465">
        <v>484698</v>
      </c>
      <c r="D5" s="466">
        <v>31191</v>
      </c>
      <c r="E5" s="466">
        <v>12367</v>
      </c>
      <c r="F5" s="466">
        <v>255827</v>
      </c>
      <c r="G5" s="466">
        <v>102980</v>
      </c>
      <c r="H5" s="466"/>
      <c r="I5" s="466"/>
      <c r="J5" s="467">
        <v>6682</v>
      </c>
      <c r="K5" s="471">
        <v>70613</v>
      </c>
      <c r="L5" s="472">
        <v>22702</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2269072</v>
      </c>
      <c r="D13" s="1737">
        <f t="shared" ref="D13:L13" si="0">SUM(D4:D12)</f>
        <v>31191</v>
      </c>
      <c r="E13" s="1737">
        <f t="shared" si="0"/>
        <v>12367</v>
      </c>
      <c r="F13" s="1737">
        <f t="shared" si="0"/>
        <v>255827</v>
      </c>
      <c r="G13" s="1737">
        <f t="shared" si="0"/>
        <v>308887</v>
      </c>
      <c r="H13" s="1737">
        <f t="shared" si="0"/>
        <v>0</v>
      </c>
      <c r="I13" s="1737">
        <f t="shared" si="0"/>
        <v>141650</v>
      </c>
      <c r="J13" s="1737">
        <f t="shared" si="0"/>
        <v>204550</v>
      </c>
      <c r="K13" s="1737">
        <f t="shared" si="0"/>
        <v>449442</v>
      </c>
      <c r="L13" s="1737">
        <f t="shared" si="0"/>
        <v>191396</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186182</v>
      </c>
      <c r="N16" s="484"/>
    </row>
    <row r="17" spans="1:14" s="485" customFormat="1" ht="12.75" customHeight="1" x14ac:dyDescent="0.2">
      <c r="A17" s="482" t="s">
        <v>1403</v>
      </c>
      <c r="B17" s="483">
        <v>230</v>
      </c>
      <c r="C17" s="477"/>
      <c r="D17" s="477"/>
      <c r="E17" s="477"/>
      <c r="F17" s="477"/>
      <c r="G17" s="477"/>
      <c r="H17" s="477"/>
      <c r="I17" s="477"/>
      <c r="J17" s="477"/>
      <c r="K17" s="477"/>
      <c r="L17" s="477"/>
      <c r="M17" s="467">
        <v>46456600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2731578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370375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11679625</v>
      </c>
    </row>
    <row r="23" spans="1:14" ht="13.5" customHeight="1" thickBot="1" x14ac:dyDescent="0.25">
      <c r="A23" s="1736" t="s">
        <v>643</v>
      </c>
      <c r="B23" s="1741"/>
      <c r="C23" s="468"/>
      <c r="D23" s="468"/>
      <c r="E23" s="468"/>
      <c r="F23" s="468"/>
      <c r="G23" s="468"/>
      <c r="H23" s="468"/>
      <c r="I23" s="468"/>
      <c r="J23" s="468"/>
      <c r="K23" s="468"/>
      <c r="L23" s="468"/>
      <c r="M23" s="1688">
        <f>SUM(M15:M22)</f>
        <v>49374360</v>
      </c>
      <c r="N23" s="1688">
        <f>SUM(N21:N22)</f>
        <v>12050000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v>70462</v>
      </c>
      <c r="E26" s="467">
        <v>370375</v>
      </c>
      <c r="F26" s="467">
        <v>41776</v>
      </c>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-7238</v>
      </c>
      <c r="D31" s="467">
        <v>4998</v>
      </c>
      <c r="E31" s="467"/>
      <c r="F31" s="466">
        <f>13016+1101-784</f>
        <v>13333</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191396</v>
      </c>
      <c r="M33" s="468"/>
      <c r="N33" s="469"/>
    </row>
    <row r="34" spans="1:14" ht="13.5" customHeight="1" thickBot="1" x14ac:dyDescent="0.25">
      <c r="A34" s="1738" t="s">
        <v>654</v>
      </c>
      <c r="B34" s="1739"/>
      <c r="C34" s="1740">
        <f>SUM(C25:C33)</f>
        <v>-7238</v>
      </c>
      <c r="D34" s="1740">
        <f t="shared" ref="D34:K34" si="1">SUM(D25:D33)</f>
        <v>75460</v>
      </c>
      <c r="E34" s="1740">
        <f t="shared" si="1"/>
        <v>370375</v>
      </c>
      <c r="F34" s="1740">
        <f t="shared" si="1"/>
        <v>55109</v>
      </c>
      <c r="G34" s="1740">
        <f t="shared" si="1"/>
        <v>0</v>
      </c>
      <c r="H34" s="1740">
        <f t="shared" si="1"/>
        <v>0</v>
      </c>
      <c r="I34" s="1740">
        <f t="shared" si="1"/>
        <v>0</v>
      </c>
      <c r="J34" s="1740">
        <f t="shared" si="1"/>
        <v>0</v>
      </c>
      <c r="K34" s="1740">
        <f t="shared" si="1"/>
        <v>0</v>
      </c>
      <c r="L34" s="1721">
        <f>SUM(L33)</f>
        <v>191396</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12050000</v>
      </c>
    </row>
    <row r="37" spans="1:14" ht="13.5" thickBot="1" x14ac:dyDescent="0.25">
      <c r="A37" s="1736" t="s">
        <v>653</v>
      </c>
      <c r="B37" s="1741"/>
      <c r="C37" s="477"/>
      <c r="D37" s="477"/>
      <c r="E37" s="477"/>
      <c r="F37" s="477"/>
      <c r="G37" s="477"/>
      <c r="H37" s="477"/>
      <c r="I37" s="477"/>
      <c r="J37" s="477"/>
      <c r="K37" s="477"/>
      <c r="L37" s="480"/>
      <c r="M37" s="468"/>
      <c r="N37" s="1688">
        <f>SUM(N36:N36)</f>
        <v>12050000</v>
      </c>
    </row>
    <row r="38" spans="1:14" s="329" customFormat="1" ht="13.5" customHeight="1" thickTop="1" x14ac:dyDescent="0.2">
      <c r="A38" s="496" t="s">
        <v>420</v>
      </c>
      <c r="B38" s="483">
        <v>714</v>
      </c>
      <c r="C38" s="466"/>
      <c r="D38" s="466"/>
      <c r="E38" s="466"/>
      <c r="F38" s="466"/>
      <c r="G38" s="466">
        <v>308887</v>
      </c>
      <c r="H38" s="466"/>
      <c r="I38" s="466"/>
      <c r="J38" s="467"/>
      <c r="K38" s="466"/>
      <c r="L38" s="481"/>
      <c r="M38" s="497"/>
      <c r="N38" s="497"/>
    </row>
    <row r="39" spans="1:14" s="329" customFormat="1" ht="13.5" customHeight="1" x14ac:dyDescent="0.2">
      <c r="A39" s="496" t="s">
        <v>342</v>
      </c>
      <c r="B39" s="483">
        <v>730</v>
      </c>
      <c r="C39" s="466">
        <v>2276310</v>
      </c>
      <c r="D39" s="466">
        <v>-44269</v>
      </c>
      <c r="E39" s="466">
        <v>-358008</v>
      </c>
      <c r="F39" s="466">
        <v>200718</v>
      </c>
      <c r="G39" s="466"/>
      <c r="H39" s="466"/>
      <c r="I39" s="466">
        <v>141650</v>
      </c>
      <c r="J39" s="467">
        <v>204550</v>
      </c>
      <c r="K39" s="466">
        <v>449442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49374360</v>
      </c>
      <c r="N40" s="497"/>
    </row>
    <row r="41" spans="1:14" ht="13.5" customHeight="1" thickBot="1" x14ac:dyDescent="0.25">
      <c r="A41" s="1736" t="s">
        <v>655</v>
      </c>
      <c r="B41" s="1706"/>
      <c r="C41" s="1688">
        <f>(SUM(C34,C37,C38,C39))</f>
        <v>2269072</v>
      </c>
      <c r="D41" s="1688">
        <f t="shared" ref="D41:L41" si="2">SUM(D34,D37,D38:D39)</f>
        <v>31191</v>
      </c>
      <c r="E41" s="1688">
        <f t="shared" si="2"/>
        <v>12367</v>
      </c>
      <c r="F41" s="1688">
        <f t="shared" si="2"/>
        <v>255827</v>
      </c>
      <c r="G41" s="1688">
        <f t="shared" si="2"/>
        <v>308887</v>
      </c>
      <c r="H41" s="1688">
        <f t="shared" si="2"/>
        <v>0</v>
      </c>
      <c r="I41" s="1688">
        <f t="shared" si="2"/>
        <v>141650</v>
      </c>
      <c r="J41" s="1688">
        <f t="shared" si="2"/>
        <v>204550</v>
      </c>
      <c r="K41" s="1688">
        <f t="shared" si="2"/>
        <v>449442</v>
      </c>
      <c r="L41" s="1688">
        <f t="shared" si="2"/>
        <v>191396</v>
      </c>
      <c r="M41" s="1688">
        <f>SUM(M40)</f>
        <v>49374360</v>
      </c>
      <c r="N41" s="1688">
        <f>SUM(N37)</f>
        <v>12050000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activeCell="L34" sqref="L34"/>
      <selection pane="bottomLeft" activeCell="L34" sqref="L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2032962</v>
      </c>
      <c r="D4" s="1742">
        <f>'Revenues 9-14'!D109</f>
        <v>278788</v>
      </c>
      <c r="E4" s="1742">
        <f>'Revenues 9-14'!E109</f>
        <v>854248</v>
      </c>
      <c r="F4" s="1742">
        <f>'Revenues 9-14'!F109</f>
        <v>148446</v>
      </c>
      <c r="G4" s="1742">
        <f>'Revenues 9-14'!G109</f>
        <v>231722</v>
      </c>
      <c r="H4" s="1742">
        <f>'Revenues 9-14'!H109</f>
        <v>0</v>
      </c>
      <c r="I4" s="1742">
        <f>'Revenues 9-14'!I109</f>
        <v>27683</v>
      </c>
      <c r="J4" s="1742">
        <f>'Revenues 9-14'!J109</f>
        <v>105781</v>
      </c>
      <c r="K4" s="1742">
        <f>'Revenues 9-14'!K109</f>
        <v>28623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4310513</v>
      </c>
      <c r="D6" s="1743">
        <f>'Revenues 9-14'!D170</f>
        <v>0</v>
      </c>
      <c r="E6" s="1743">
        <f>'Revenues 9-14'!E170</f>
        <v>0</v>
      </c>
      <c r="F6" s="1743">
        <f>'Revenues 9-14'!F170</f>
        <v>420187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694789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7038264</v>
      </c>
      <c r="D8" s="1688">
        <f t="shared" ref="D8:K8" si="0">SUM(D4:D7)</f>
        <v>278788</v>
      </c>
      <c r="E8" s="1688">
        <f t="shared" si="0"/>
        <v>854248</v>
      </c>
      <c r="F8" s="1688">
        <f t="shared" si="0"/>
        <v>568633</v>
      </c>
      <c r="G8" s="1688">
        <f t="shared" si="0"/>
        <v>231722</v>
      </c>
      <c r="H8" s="1688">
        <f t="shared" si="0"/>
        <v>0</v>
      </c>
      <c r="I8" s="1688">
        <f t="shared" si="0"/>
        <v>27683</v>
      </c>
      <c r="J8" s="1688">
        <f t="shared" si="0"/>
        <v>105781</v>
      </c>
      <c r="K8" s="1688">
        <f t="shared" si="0"/>
        <v>28623</v>
      </c>
      <c r="L8" s="347"/>
    </row>
    <row r="9" spans="1:13" ht="15.75" thickTop="1" x14ac:dyDescent="0.2">
      <c r="A9" s="514" t="s">
        <v>1653</v>
      </c>
      <c r="B9" s="515">
        <v>3998</v>
      </c>
      <c r="C9" s="481">
        <v>3039018</v>
      </c>
      <c r="D9" s="516"/>
      <c r="E9" s="481"/>
      <c r="F9" s="481"/>
      <c r="G9" s="517"/>
      <c r="H9" s="481"/>
      <c r="I9" s="509" t="s">
        <v>1169</v>
      </c>
      <c r="J9" s="478"/>
      <c r="K9" s="481"/>
      <c r="L9" s="347"/>
    </row>
    <row r="10" spans="1:13" s="519" customFormat="1" ht="13.5" thickBot="1" x14ac:dyDescent="0.25">
      <c r="A10" s="1736" t="s">
        <v>1173</v>
      </c>
      <c r="B10" s="1709"/>
      <c r="C10" s="1688">
        <f>SUM(C8:C9)</f>
        <v>10077282</v>
      </c>
      <c r="D10" s="1688">
        <f t="shared" ref="D10:K10" si="1">SUM(D8:D9)</f>
        <v>278788</v>
      </c>
      <c r="E10" s="1688">
        <f t="shared" si="1"/>
        <v>854248</v>
      </c>
      <c r="F10" s="1688">
        <f t="shared" si="1"/>
        <v>568633</v>
      </c>
      <c r="G10" s="1688">
        <f t="shared" si="1"/>
        <v>231722</v>
      </c>
      <c r="H10" s="1688">
        <f t="shared" si="1"/>
        <v>0</v>
      </c>
      <c r="I10" s="1688">
        <f t="shared" si="1"/>
        <v>27683</v>
      </c>
      <c r="J10" s="1688">
        <f t="shared" si="1"/>
        <v>105781</v>
      </c>
      <c r="K10" s="1688">
        <f t="shared" si="1"/>
        <v>28623</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4950758</v>
      </c>
      <c r="D12" s="520" t="s">
        <v>1169</v>
      </c>
      <c r="E12" s="468" t="s">
        <v>1169</v>
      </c>
      <c r="F12" s="468" t="s">
        <v>1169</v>
      </c>
      <c r="G12" s="1742">
        <f>'Expenditures 15-22'!K229</f>
        <v>189807</v>
      </c>
      <c r="H12" s="521"/>
      <c r="I12" s="468" t="s">
        <v>1169</v>
      </c>
      <c r="J12" s="468" t="s">
        <v>1169</v>
      </c>
      <c r="K12" s="521" t="s">
        <v>1169</v>
      </c>
      <c r="L12" s="347"/>
    </row>
    <row r="13" spans="1:13" ht="15.75" customHeight="1" x14ac:dyDescent="0.2">
      <c r="A13" s="1576" t="s">
        <v>457</v>
      </c>
      <c r="B13" s="1578">
        <v>2000</v>
      </c>
      <c r="C13" s="1743">
        <f>'Expenditures 15-22'!K74</f>
        <v>2596643</v>
      </c>
      <c r="D13" s="1743">
        <f>'Expenditures 15-22'!K129</f>
        <v>662516</v>
      </c>
      <c r="E13" s="469" t="s">
        <v>1169</v>
      </c>
      <c r="F13" s="1743">
        <f>'Expenditures 15-22'!K184</f>
        <v>654538</v>
      </c>
      <c r="G13" s="1743">
        <f>'Expenditures 15-22'!K279</f>
        <v>48491</v>
      </c>
      <c r="H13" s="1743">
        <f>'Expenditures 15-22'!K303</f>
        <v>0</v>
      </c>
      <c r="I13" s="468" t="s">
        <v>1169</v>
      </c>
      <c r="J13" s="1743">
        <f>'Expenditures 15-22'!K330</f>
        <v>173453</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881106</v>
      </c>
      <c r="D15" s="1743">
        <f>'Expenditures 15-22'!K139</f>
        <v>0</v>
      </c>
      <c r="E15" s="1743">
        <f>'Expenditures 15-22'!K160</f>
        <v>0</v>
      </c>
      <c r="F15" s="1743">
        <f>'Expenditures 15-22'!K196</f>
        <v>34730</v>
      </c>
      <c r="G15" s="1743">
        <f>'Expenditures 15-22'!K285</f>
        <v>25087</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1272060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8428507</v>
      </c>
      <c r="D17" s="1688">
        <f t="shared" si="2"/>
        <v>662516</v>
      </c>
      <c r="E17" s="1688">
        <f t="shared" si="2"/>
        <v>1272060</v>
      </c>
      <c r="F17" s="1688">
        <f t="shared" si="2"/>
        <v>689268</v>
      </c>
      <c r="G17" s="1688">
        <f t="shared" si="2"/>
        <v>263385</v>
      </c>
      <c r="H17" s="1688">
        <f t="shared" si="2"/>
        <v>0</v>
      </c>
      <c r="I17" s="468"/>
      <c r="J17" s="1688">
        <f>SUM(J12:J16)</f>
        <v>173453</v>
      </c>
      <c r="K17" s="1688">
        <f>SUM(K12:K16)</f>
        <v>0</v>
      </c>
      <c r="L17" s="347"/>
    </row>
    <row r="18" spans="1:12" ht="15" customHeight="1" thickTop="1" x14ac:dyDescent="0.2">
      <c r="A18" s="1744" t="s">
        <v>1654</v>
      </c>
      <c r="B18" s="1745">
        <v>4180</v>
      </c>
      <c r="C18" s="1742">
        <f t="shared" ref="C18:H18" si="3">C9</f>
        <v>3039018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11467525</v>
      </c>
      <c r="D19" s="1688">
        <f t="shared" si="4"/>
        <v>662516</v>
      </c>
      <c r="E19" s="1688">
        <f t="shared" si="4"/>
        <v>1272060</v>
      </c>
      <c r="F19" s="1688">
        <f t="shared" si="4"/>
        <v>689268</v>
      </c>
      <c r="G19" s="1688">
        <f t="shared" si="4"/>
        <v>263385</v>
      </c>
      <c r="H19" s="1688">
        <f t="shared" si="4"/>
        <v>0</v>
      </c>
      <c r="I19" s="468"/>
      <c r="J19" s="1688">
        <f>SUM(J17:J18)</f>
        <v>173453</v>
      </c>
      <c r="K19" s="1688">
        <f>SUM(K17:K18)</f>
        <v>0</v>
      </c>
      <c r="L19" s="347"/>
    </row>
    <row r="20" spans="1:12" ht="16.5" thickTop="1" thickBot="1" x14ac:dyDescent="0.25">
      <c r="A20" s="2126" t="s">
        <v>1655</v>
      </c>
      <c r="B20" s="2127"/>
      <c r="C20" s="1746">
        <f>C8-C17</f>
        <v>-1390243</v>
      </c>
      <c r="D20" s="1746">
        <f t="shared" ref="D20:K20" si="5">D8-D17</f>
        <v>-383728</v>
      </c>
      <c r="E20" s="1746">
        <f t="shared" si="5"/>
        <v>-417812</v>
      </c>
      <c r="F20" s="1746">
        <f t="shared" si="5"/>
        <v>-120635</v>
      </c>
      <c r="G20" s="1746">
        <f t="shared" si="5"/>
        <v>-31663</v>
      </c>
      <c r="H20" s="1746">
        <f t="shared" si="5"/>
        <v>0</v>
      </c>
      <c r="I20" s="1746">
        <f t="shared" si="5"/>
        <v>27683</v>
      </c>
      <c r="J20" s="1746">
        <f t="shared" si="5"/>
        <v>-67672</v>
      </c>
      <c r="K20" s="1746">
        <f t="shared" si="5"/>
        <v>28623</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-1390243</v>
      </c>
      <c r="D78" s="1702">
        <f t="shared" si="9"/>
        <v>-383728</v>
      </c>
      <c r="E78" s="1702">
        <f t="shared" si="9"/>
        <v>-417812</v>
      </c>
      <c r="F78" s="1702">
        <f t="shared" si="9"/>
        <v>-120635</v>
      </c>
      <c r="G78" s="1702">
        <f t="shared" si="9"/>
        <v>-31663</v>
      </c>
      <c r="H78" s="1702">
        <f t="shared" si="9"/>
        <v>0</v>
      </c>
      <c r="I78" s="1702">
        <f t="shared" si="9"/>
        <v>27683</v>
      </c>
      <c r="J78" s="1702">
        <f t="shared" si="9"/>
        <v>-67672</v>
      </c>
      <c r="K78" s="1702">
        <f t="shared" si="9"/>
        <v>28623</v>
      </c>
      <c r="L78" s="533"/>
    </row>
    <row r="79" spans="1:12" ht="13.5" thickTop="1" x14ac:dyDescent="0.2">
      <c r="A79" s="1494" t="s">
        <v>1949</v>
      </c>
      <c r="B79" s="534"/>
      <c r="C79" s="478">
        <v>3666553</v>
      </c>
      <c r="D79" s="535">
        <v>339459</v>
      </c>
      <c r="E79" s="535">
        <v>59804</v>
      </c>
      <c r="F79" s="535">
        <v>321353</v>
      </c>
      <c r="G79" s="535">
        <v>340550</v>
      </c>
      <c r="H79" s="535"/>
      <c r="I79" s="535">
        <v>113967</v>
      </c>
      <c r="J79" s="535">
        <v>272222</v>
      </c>
      <c r="K79" s="535">
        <v>420819</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2276310</v>
      </c>
      <c r="D81" s="1688">
        <f>SUM(D78:D80)</f>
        <v>-44269</v>
      </c>
      <c r="E81" s="1688">
        <f t="shared" ref="E81:K81" si="10">SUM(E78:E80)</f>
        <v>-358008</v>
      </c>
      <c r="F81" s="1688">
        <f t="shared" si="10"/>
        <v>200718</v>
      </c>
      <c r="G81" s="1688">
        <f t="shared" si="10"/>
        <v>308887</v>
      </c>
      <c r="H81" s="1688">
        <f t="shared" si="10"/>
        <v>0</v>
      </c>
      <c r="I81" s="1688">
        <f t="shared" si="10"/>
        <v>141650</v>
      </c>
      <c r="J81" s="1688">
        <f t="shared" si="10"/>
        <v>204550</v>
      </c>
      <c r="K81" s="1688">
        <f t="shared" si="10"/>
        <v>449442</v>
      </c>
      <c r="L81" s="347"/>
    </row>
    <row r="82" spans="1:12" ht="0.75" customHeight="1" thickTop="1" thickBot="1" x14ac:dyDescent="0.25">
      <c r="A82" s="536" t="s">
        <v>343</v>
      </c>
      <c r="B82" s="537"/>
      <c r="C82" s="538">
        <f>(C81-C79)</f>
        <v>-1390243</v>
      </c>
      <c r="D82" s="538">
        <f t="shared" ref="D82:K82" si="11">(D81-D79)</f>
        <v>-383728</v>
      </c>
      <c r="E82" s="538">
        <f t="shared" si="11"/>
        <v>-417812</v>
      </c>
      <c r="F82" s="538">
        <f t="shared" si="11"/>
        <v>-120635</v>
      </c>
      <c r="G82" s="538">
        <f t="shared" si="11"/>
        <v>-31663</v>
      </c>
      <c r="H82" s="538">
        <f t="shared" si="11"/>
        <v>0</v>
      </c>
      <c r="I82" s="538">
        <f t="shared" si="11"/>
        <v>27683</v>
      </c>
      <c r="J82" s="538">
        <f t="shared" si="11"/>
        <v>-67672</v>
      </c>
      <c r="K82" s="538">
        <f t="shared" si="11"/>
        <v>28623</v>
      </c>
    </row>
    <row r="83" spans="1:12" ht="14.25" hidden="1" thickTop="1" thickBot="1" x14ac:dyDescent="0.25">
      <c r="A83" s="539" t="s">
        <v>344</v>
      </c>
      <c r="B83" s="464"/>
      <c r="C83" s="540">
        <f>C82/C81</f>
        <v>-0.61074414293308033</v>
      </c>
      <c r="D83" s="540">
        <f t="shared" ref="D83:K83" si="12">D82/D81</f>
        <v>8.6680973141475981</v>
      </c>
      <c r="E83" s="540">
        <f t="shared" si="12"/>
        <v>1.1670465464458895</v>
      </c>
      <c r="F83" s="540">
        <f t="shared" si="12"/>
        <v>-0.60101734772167914</v>
      </c>
      <c r="G83" s="540">
        <f t="shared" si="12"/>
        <v>-0.10250674194770255</v>
      </c>
      <c r="H83" s="540" t="e">
        <f t="shared" si="12"/>
        <v>#DIV/0!</v>
      </c>
      <c r="I83" s="540">
        <f t="shared" si="12"/>
        <v>0.19543240381221319</v>
      </c>
      <c r="J83" s="540">
        <f t="shared" si="12"/>
        <v>-0.33083353703251039</v>
      </c>
      <c r="K83" s="540">
        <f t="shared" si="12"/>
        <v>6.3685636856368563E-2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Normal="100" zoomScaleSheetLayoutView="75" workbookViewId="0">
      <pane ySplit="2" topLeftCell="A123" activePane="bottomLeft" state="frozen"/>
      <selection activeCell="L34" sqref="L34"/>
      <selection pane="bottomLeft" activeCell="C148" sqref="C14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1603467</v>
      </c>
      <c r="D5" s="481">
        <v>276461</v>
      </c>
      <c r="E5" s="466">
        <f>35384+168486</f>
        <v>203870</v>
      </c>
      <c r="F5" s="548">
        <f>19587+90998</f>
        <v>110585</v>
      </c>
      <c r="G5" s="466">
        <f>2221+10706</f>
        <v>12927</v>
      </c>
      <c r="H5" s="466"/>
      <c r="I5" s="466">
        <f>4897+22750</f>
        <v>27647</v>
      </c>
      <c r="J5" s="467">
        <v>105640</v>
      </c>
      <c r="K5" s="466">
        <f>4897+22749</f>
        <v>27646</v>
      </c>
    </row>
    <row r="6" spans="1:12" ht="15" x14ac:dyDescent="0.2">
      <c r="A6" s="463" t="s">
        <v>1662</v>
      </c>
      <c r="B6" s="470">
        <v>1130</v>
      </c>
      <c r="C6" s="466">
        <v>27646</v>
      </c>
      <c r="D6" s="466"/>
      <c r="E6" s="475"/>
      <c r="F6" s="475"/>
      <c r="G6" s="468"/>
      <c r="H6" s="468"/>
      <c r="I6" s="468"/>
      <c r="J6" s="468"/>
      <c r="K6" s="468"/>
    </row>
    <row r="7" spans="1:12" x14ac:dyDescent="0.2">
      <c r="A7" s="463" t="s">
        <v>110</v>
      </c>
      <c r="B7" s="549">
        <v>1140</v>
      </c>
      <c r="C7" s="466">
        <v>22117</v>
      </c>
      <c r="D7" s="466"/>
      <c r="E7" s="468"/>
      <c r="F7" s="467"/>
      <c r="G7" s="467"/>
      <c r="H7" s="467"/>
      <c r="I7" s="468"/>
      <c r="J7" s="468"/>
      <c r="K7" s="468"/>
    </row>
    <row r="8" spans="1:12" x14ac:dyDescent="0.2">
      <c r="A8" s="463" t="s">
        <v>413</v>
      </c>
      <c r="B8" s="470">
        <v>1150</v>
      </c>
      <c r="C8" s="475"/>
      <c r="D8" s="475"/>
      <c r="E8" s="477"/>
      <c r="F8" s="477"/>
      <c r="G8" s="481">
        <v>12927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1653230</v>
      </c>
      <c r="D12" s="1707">
        <f t="shared" si="0"/>
        <v>276461</v>
      </c>
      <c r="E12" s="1707">
        <f t="shared" si="0"/>
        <v>203870</v>
      </c>
      <c r="F12" s="1707">
        <f t="shared" si="0"/>
        <v>110585</v>
      </c>
      <c r="G12" s="1707">
        <f t="shared" si="0"/>
        <v>25854</v>
      </c>
      <c r="H12" s="1707">
        <f t="shared" si="0"/>
        <v>0</v>
      </c>
      <c r="I12" s="1707">
        <f t="shared" si="0"/>
        <v>27647</v>
      </c>
      <c r="J12" s="1707">
        <f t="shared" si="0"/>
        <v>105640</v>
      </c>
      <c r="K12" s="1688">
        <f t="shared" si="0"/>
        <v>27646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204512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204512</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16294</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16294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8067</v>
      </c>
      <c r="D65" s="466">
        <v>526</v>
      </c>
      <c r="E65" s="466">
        <v>145</v>
      </c>
      <c r="F65" s="467">
        <v>3294</v>
      </c>
      <c r="G65" s="466">
        <v>1356</v>
      </c>
      <c r="H65" s="466"/>
      <c r="I65" s="466">
        <v>36</v>
      </c>
      <c r="J65" s="467">
        <v>141</v>
      </c>
      <c r="K65" s="466">
        <v>977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8067</v>
      </c>
      <c r="D67" s="1688">
        <f t="shared" ref="D67:K67" si="2">SUM(D65:D66)</f>
        <v>526</v>
      </c>
      <c r="E67" s="1688">
        <f t="shared" si="2"/>
        <v>145</v>
      </c>
      <c r="F67" s="1688">
        <f t="shared" si="2"/>
        <v>3294</v>
      </c>
      <c r="G67" s="1688">
        <f t="shared" si="2"/>
        <v>1356</v>
      </c>
      <c r="H67" s="1688">
        <f t="shared" si="2"/>
        <v>0</v>
      </c>
      <c r="I67" s="1688">
        <f t="shared" si="2"/>
        <v>36</v>
      </c>
      <c r="J67" s="1688">
        <f t="shared" si="2"/>
        <v>141</v>
      </c>
      <c r="K67" s="1688">
        <f t="shared" si="2"/>
        <v>977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226371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722</v>
      </c>
      <c r="D72" s="468"/>
      <c r="E72" s="468"/>
      <c r="F72" s="468"/>
      <c r="G72" s="468"/>
      <c r="H72" s="468"/>
      <c r="I72" s="468"/>
      <c r="J72" s="468"/>
      <c r="K72" s="468"/>
    </row>
    <row r="73" spans="1:11" ht="12.75" customHeight="1" x14ac:dyDescent="0.2">
      <c r="A73" s="463" t="s">
        <v>998</v>
      </c>
      <c r="B73" s="470">
        <v>1620</v>
      </c>
      <c r="C73" s="551">
        <v>32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227125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29203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13679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42882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70251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3030</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73281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4847</v>
      </c>
      <c r="D96" s="551">
        <v>620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4505</v>
      </c>
      <c r="D101" s="526"/>
      <c r="E101" s="480"/>
      <c r="F101" s="526"/>
      <c r="G101" s="475"/>
      <c r="H101" s="526"/>
      <c r="I101" s="468"/>
      <c r="J101" s="475"/>
      <c r="K101" s="475"/>
    </row>
    <row r="102" spans="1:12" ht="12.75" customHeight="1" x14ac:dyDescent="0.2">
      <c r="A102" s="463" t="s">
        <v>247</v>
      </c>
      <c r="B102" s="470">
        <v>1980</v>
      </c>
      <c r="C102" s="489">
        <v>1184</v>
      </c>
      <c r="D102" s="489"/>
      <c r="E102" s="489"/>
      <c r="F102" s="489"/>
      <c r="G102" s="489"/>
      <c r="H102" s="489"/>
      <c r="I102" s="467"/>
      <c r="J102" s="489"/>
      <c r="K102" s="467"/>
    </row>
    <row r="103" spans="1:12" ht="12.75" customHeight="1" x14ac:dyDescent="0.2">
      <c r="A103" s="463" t="s">
        <v>345</v>
      </c>
      <c r="B103" s="470">
        <v>1983</v>
      </c>
      <c r="C103" s="468"/>
      <c r="D103" s="468"/>
      <c r="E103" s="560">
        <v>650233</v>
      </c>
      <c r="F103" s="468"/>
      <c r="G103" s="468"/>
      <c r="H103" s="489"/>
      <c r="I103" s="468"/>
      <c r="J103" s="510"/>
      <c r="K103" s="510"/>
    </row>
    <row r="104" spans="1:12" ht="12.75" customHeight="1" x14ac:dyDescent="0.2">
      <c r="A104" s="463" t="s">
        <v>830</v>
      </c>
      <c r="B104" s="470">
        <v>1991</v>
      </c>
      <c r="C104" s="489">
        <v>766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781</v>
      </c>
      <c r="D107" s="466">
        <v>1181</v>
      </c>
      <c r="E107" s="466"/>
      <c r="F107" s="466">
        <v>34567</v>
      </c>
      <c r="G107" s="466"/>
      <c r="H107" s="466"/>
      <c r="I107" s="466"/>
      <c r="J107" s="467"/>
      <c r="K107" s="466"/>
    </row>
    <row r="108" spans="1:12" ht="12.75" customHeight="1" thickBot="1" x14ac:dyDescent="0.25">
      <c r="A108" s="1708" t="s">
        <v>487</v>
      </c>
      <c r="B108" s="1712"/>
      <c r="C108" s="1707">
        <f>SUM(C95:C107)</f>
        <v>12083</v>
      </c>
      <c r="D108" s="1707">
        <f t="shared" ref="D108:K108" si="3">SUM(D95:D107)</f>
        <v>1801</v>
      </c>
      <c r="E108" s="1707">
        <f t="shared" si="3"/>
        <v>650233</v>
      </c>
      <c r="F108" s="1707">
        <f t="shared" si="3"/>
        <v>34567</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2032962</v>
      </c>
      <c r="D109" s="1715">
        <f t="shared" si="4"/>
        <v>278788</v>
      </c>
      <c r="E109" s="1715">
        <f t="shared" si="4"/>
        <v>854248</v>
      </c>
      <c r="F109" s="1715">
        <f t="shared" si="4"/>
        <v>148446</v>
      </c>
      <c r="G109" s="1715">
        <f t="shared" si="4"/>
        <v>231722</v>
      </c>
      <c r="H109" s="1715">
        <f t="shared" si="4"/>
        <v>0</v>
      </c>
      <c r="I109" s="1715">
        <f t="shared" si="4"/>
        <v>27683</v>
      </c>
      <c r="J109" s="1715">
        <f t="shared" si="4"/>
        <v>105781</v>
      </c>
      <c r="K109" s="1702">
        <f t="shared" si="4"/>
        <v>28623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4098053</v>
      </c>
      <c r="D117" s="481"/>
      <c r="E117" s="466"/>
      <c r="F117" s="481">
        <v>100000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4098053</v>
      </c>
      <c r="D122" s="1707">
        <f t="shared" si="5"/>
        <v>0</v>
      </c>
      <c r="E122" s="1707">
        <f t="shared" si="5"/>
        <v>0</v>
      </c>
      <c r="F122" s="1707">
        <f t="shared" si="5"/>
        <v>100000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17229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17229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21027</v>
      </c>
      <c r="D140" s="466"/>
      <c r="E140" s="561"/>
      <c r="F140" s="477"/>
      <c r="G140" s="467"/>
      <c r="H140" s="468"/>
      <c r="I140" s="468"/>
      <c r="J140" s="468"/>
      <c r="K140" s="468"/>
    </row>
    <row r="141" spans="1:11" ht="12.75" customHeight="1" thickBot="1" x14ac:dyDescent="0.25">
      <c r="A141" s="1708" t="s">
        <v>603</v>
      </c>
      <c r="B141" s="1720"/>
      <c r="C141" s="1707">
        <f>SUM(C134:C140)</f>
        <v>21027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4841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10581</v>
      </c>
      <c r="D148" s="573"/>
      <c r="E148" s="509"/>
      <c r="F148" s="468"/>
      <c r="G148" s="468"/>
      <c r="H148" s="468"/>
      <c r="I148" s="468"/>
      <c r="J148" s="468"/>
      <c r="K148" s="468"/>
    </row>
    <row r="149" spans="1:11" ht="12.75" customHeight="1" thickTop="1" thickBot="1" x14ac:dyDescent="0.25">
      <c r="A149" s="1500" t="s">
        <v>767</v>
      </c>
      <c r="B149" s="574">
        <v>3410</v>
      </c>
      <c r="C149" s="575" t="s">
        <v>1169</v>
      </c>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219912</v>
      </c>
      <c r="G152" s="467"/>
      <c r="H152" s="468"/>
      <c r="I152" s="468"/>
      <c r="J152" s="468"/>
      <c r="K152" s="468"/>
    </row>
    <row r="153" spans="1:11" ht="12.75" customHeight="1" x14ac:dyDescent="0.2">
      <c r="A153" s="463" t="s">
        <v>1057</v>
      </c>
      <c r="B153" s="562">
        <v>3510</v>
      </c>
      <c r="C153" s="551"/>
      <c r="D153" s="466"/>
      <c r="E153" s="561"/>
      <c r="F153" s="466">
        <v>100275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320187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158782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212460</v>
      </c>
      <c r="D169" s="1722">
        <f t="shared" si="6"/>
        <v>0</v>
      </c>
      <c r="E169" s="1722">
        <f t="shared" si="6"/>
        <v>0</v>
      </c>
      <c r="F169" s="1722">
        <f t="shared" si="6"/>
        <v>320187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4310513</v>
      </c>
      <c r="D170" s="1715">
        <f t="shared" si="7"/>
        <v>0</v>
      </c>
      <c r="E170" s="1715">
        <f t="shared" si="7"/>
        <v>0</v>
      </c>
      <c r="F170" s="1715">
        <f t="shared" si="7"/>
        <v>420187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214124</v>
      </c>
      <c r="D191" s="468"/>
      <c r="E191" s="561"/>
      <c r="F191" s="468"/>
      <c r="G191" s="585"/>
      <c r="H191" s="468"/>
      <c r="I191" s="468"/>
      <c r="J191" s="468"/>
      <c r="K191" s="468"/>
    </row>
    <row r="192" spans="1:11" ht="12.75" customHeight="1" x14ac:dyDescent="0.2">
      <c r="A192" s="463" t="s">
        <v>1047</v>
      </c>
      <c r="B192" s="470">
        <v>4215</v>
      </c>
      <c r="C192" s="551">
        <v>1074</v>
      </c>
      <c r="D192" s="468"/>
      <c r="E192" s="561"/>
      <c r="F192" s="468"/>
      <c r="G192" s="585"/>
      <c r="H192" s="468"/>
      <c r="I192" s="468"/>
      <c r="J192" s="468"/>
      <c r="K192" s="468"/>
    </row>
    <row r="193" spans="1:11" ht="12.75" customHeight="1" x14ac:dyDescent="0.2">
      <c r="A193" s="463" t="s">
        <v>1059</v>
      </c>
      <c r="B193" s="470">
        <v>4220</v>
      </c>
      <c r="C193" s="551">
        <v>62703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277901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236138+7574</f>
        <v>243712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243712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145000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145000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24238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3938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694789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694789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7038264</v>
      </c>
      <c r="D268" s="1715">
        <f t="shared" si="12"/>
        <v>278788</v>
      </c>
      <c r="E268" s="1715">
        <f t="shared" si="12"/>
        <v>854248</v>
      </c>
      <c r="F268" s="1715">
        <f t="shared" si="12"/>
        <v>568633</v>
      </c>
      <c r="G268" s="1715">
        <f t="shared" si="12"/>
        <v>231722</v>
      </c>
      <c r="H268" s="1715">
        <f t="shared" si="12"/>
        <v>0</v>
      </c>
      <c r="I268" s="1715">
        <f t="shared" si="12"/>
        <v>27683</v>
      </c>
      <c r="J268" s="1715">
        <f t="shared" si="12"/>
        <v>105781</v>
      </c>
      <c r="K268" s="1702">
        <f t="shared" si="12"/>
        <v>28623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Normal="100" workbookViewId="0">
      <pane ySplit="2" topLeftCell="A3" activePane="bottomLeft" state="frozen"/>
      <selection sqref="A1:B1"/>
      <selection pane="bottomLeft" sqref="A1:B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3209108</v>
      </c>
      <c r="D5" s="466">
        <v>469179</v>
      </c>
      <c r="E5" s="466">
        <v>6042</v>
      </c>
      <c r="F5" s="466">
        <v>76251</v>
      </c>
      <c r="G5" s="466">
        <v>1621</v>
      </c>
      <c r="H5" s="466"/>
      <c r="I5" s="467"/>
      <c r="J5" s="467"/>
      <c r="K5" s="1671">
        <f>SUM(C5:J5)</f>
        <v>3762201</v>
      </c>
      <c r="L5" s="466">
        <v>3710167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120836</v>
      </c>
      <c r="D7" s="467">
        <v>20146</v>
      </c>
      <c r="E7" s="467"/>
      <c r="F7" s="467">
        <v>12362</v>
      </c>
      <c r="G7" s="467">
        <v>1445</v>
      </c>
      <c r="H7" s="467"/>
      <c r="I7" s="467"/>
      <c r="J7" s="467"/>
      <c r="K7" s="1671">
        <f t="shared" ref="K7:K32" si="0">SUM(C7:J7)</f>
        <v>154789</v>
      </c>
      <c r="L7" s="466">
        <v>136500</v>
      </c>
    </row>
    <row r="8" spans="1:14" x14ac:dyDescent="0.2">
      <c r="A8" s="1504" t="s">
        <v>164</v>
      </c>
      <c r="B8" s="614">
        <v>1200</v>
      </c>
      <c r="C8" s="466">
        <v>352554</v>
      </c>
      <c r="D8" s="466">
        <v>65673</v>
      </c>
      <c r="E8" s="466">
        <v>79</v>
      </c>
      <c r="F8" s="466">
        <v>5366</v>
      </c>
      <c r="G8" s="466"/>
      <c r="H8" s="466"/>
      <c r="I8" s="467"/>
      <c r="J8" s="467"/>
      <c r="K8" s="1671">
        <f t="shared" si="0"/>
        <v>423672</v>
      </c>
      <c r="L8" s="466">
        <v>544040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101828</v>
      </c>
      <c r="D10" s="466">
        <v>17843</v>
      </c>
      <c r="E10" s="466">
        <v>14872</v>
      </c>
      <c r="F10" s="466">
        <v>100807</v>
      </c>
      <c r="G10" s="466"/>
      <c r="H10" s="466"/>
      <c r="I10" s="467"/>
      <c r="J10" s="467"/>
      <c r="K10" s="1671">
        <f t="shared" si="0"/>
        <v>235350</v>
      </c>
      <c r="L10" s="466">
        <v>232100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1230</v>
      </c>
      <c r="F13" s="466"/>
      <c r="G13" s="466"/>
      <c r="H13" s="466"/>
      <c r="I13" s="467"/>
      <c r="J13" s="467"/>
      <c r="K13" s="1671">
        <f t="shared" si="0"/>
        <v>1230</v>
      </c>
      <c r="L13" s="466">
        <v>1200</v>
      </c>
    </row>
    <row r="14" spans="1:14" x14ac:dyDescent="0.2">
      <c r="A14" s="1504" t="s">
        <v>963</v>
      </c>
      <c r="B14" s="614">
        <v>1500</v>
      </c>
      <c r="C14" s="466">
        <v>218097</v>
      </c>
      <c r="D14" s="466"/>
      <c r="E14" s="466">
        <v>41966</v>
      </c>
      <c r="F14" s="466">
        <v>29650</v>
      </c>
      <c r="G14" s="466"/>
      <c r="H14" s="466">
        <v>20750</v>
      </c>
      <c r="I14" s="467"/>
      <c r="J14" s="467"/>
      <c r="K14" s="1671">
        <f t="shared" si="0"/>
        <v>310463</v>
      </c>
      <c r="L14" s="466">
        <v>313495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52779</v>
      </c>
      <c r="D17" s="467">
        <v>7131</v>
      </c>
      <c r="E17" s="467">
        <v>3143</v>
      </c>
      <c r="F17" s="467"/>
      <c r="G17" s="467"/>
      <c r="H17" s="467"/>
      <c r="I17" s="467"/>
      <c r="J17" s="467"/>
      <c r="K17" s="1671">
        <f t="shared" si="0"/>
        <v>63053</v>
      </c>
      <c r="L17" s="466">
        <v>52200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4055202</v>
      </c>
      <c r="D33" s="1670">
        <f t="shared" ref="D33:L33" si="1">SUM(D5:D32)</f>
        <v>579972</v>
      </c>
      <c r="E33" s="1670">
        <f t="shared" si="1"/>
        <v>67332</v>
      </c>
      <c r="F33" s="1670">
        <f t="shared" si="1"/>
        <v>224436</v>
      </c>
      <c r="G33" s="1670">
        <f t="shared" si="1"/>
        <v>3066</v>
      </c>
      <c r="H33" s="1670">
        <f t="shared" si="1"/>
        <v>20750</v>
      </c>
      <c r="I33" s="1670">
        <f t="shared" si="1"/>
        <v>0</v>
      </c>
      <c r="J33" s="1670">
        <f t="shared" si="1"/>
        <v>0</v>
      </c>
      <c r="K33" s="1670">
        <f t="shared" si="1"/>
        <v>4950758</v>
      </c>
      <c r="L33" s="1670">
        <f t="shared" si="1"/>
        <v>4989702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192360</v>
      </c>
      <c r="D37" s="466">
        <v>39598</v>
      </c>
      <c r="E37" s="466"/>
      <c r="F37" s="466">
        <v>937</v>
      </c>
      <c r="G37" s="466"/>
      <c r="H37" s="466"/>
      <c r="I37" s="467"/>
      <c r="J37" s="467"/>
      <c r="K37" s="1671">
        <f t="shared" si="2"/>
        <v>232895</v>
      </c>
      <c r="L37" s="466">
        <v>232875</v>
      </c>
    </row>
    <row r="38" spans="1:14" x14ac:dyDescent="0.2">
      <c r="A38" s="1504" t="s">
        <v>198</v>
      </c>
      <c r="B38" s="614">
        <v>2130</v>
      </c>
      <c r="C38" s="466">
        <v>56871</v>
      </c>
      <c r="D38" s="466">
        <v>7722</v>
      </c>
      <c r="E38" s="466">
        <v>3978</v>
      </c>
      <c r="F38" s="466">
        <v>2835</v>
      </c>
      <c r="G38" s="466">
        <v>1774</v>
      </c>
      <c r="H38" s="466"/>
      <c r="I38" s="467"/>
      <c r="J38" s="467"/>
      <c r="K38" s="1671">
        <f t="shared" si="2"/>
        <v>73180</v>
      </c>
      <c r="L38" s="466">
        <v>70406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1480</v>
      </c>
      <c r="D41" s="466"/>
      <c r="E41" s="466"/>
      <c r="F41" s="466"/>
      <c r="G41" s="466"/>
      <c r="H41" s="466"/>
      <c r="I41" s="467"/>
      <c r="J41" s="467"/>
      <c r="K41" s="1671">
        <f t="shared" si="2"/>
        <v>1480</v>
      </c>
      <c r="L41" s="466">
        <v>1400</v>
      </c>
    </row>
    <row r="42" spans="1:14" ht="12.75" customHeight="1" thickBot="1" x14ac:dyDescent="0.25">
      <c r="A42" s="1668" t="s">
        <v>560</v>
      </c>
      <c r="B42" s="1669" t="s">
        <v>716</v>
      </c>
      <c r="C42" s="1670">
        <f>SUM(C36:C41)</f>
        <v>250711</v>
      </c>
      <c r="D42" s="1670">
        <f t="shared" ref="D42:L42" si="3">SUM(D36:D41)</f>
        <v>47320</v>
      </c>
      <c r="E42" s="1670">
        <f t="shared" si="3"/>
        <v>3978</v>
      </c>
      <c r="F42" s="1670">
        <f t="shared" si="3"/>
        <v>3772</v>
      </c>
      <c r="G42" s="1670">
        <f t="shared" si="3"/>
        <v>1774</v>
      </c>
      <c r="H42" s="1670">
        <f t="shared" si="3"/>
        <v>0</v>
      </c>
      <c r="I42" s="1670">
        <f t="shared" si="3"/>
        <v>0</v>
      </c>
      <c r="J42" s="1670">
        <f t="shared" si="3"/>
        <v>0</v>
      </c>
      <c r="K42" s="1670">
        <f t="shared" si="3"/>
        <v>307555</v>
      </c>
      <c r="L42" s="1670">
        <f t="shared" si="3"/>
        <v>304681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98676</v>
      </c>
      <c r="D45" s="466">
        <v>15443</v>
      </c>
      <c r="E45" s="466">
        <v>88418</v>
      </c>
      <c r="F45" s="466">
        <v>40855</v>
      </c>
      <c r="G45" s="466">
        <v>90901</v>
      </c>
      <c r="H45" s="466"/>
      <c r="I45" s="467"/>
      <c r="J45" s="467"/>
      <c r="K45" s="1672">
        <f>SUM(C45:J45)</f>
        <v>334293</v>
      </c>
      <c r="L45" s="466">
        <v>310935</v>
      </c>
    </row>
    <row r="46" spans="1:14" x14ac:dyDescent="0.2">
      <c r="A46" s="1504" t="s">
        <v>816</v>
      </c>
      <c r="B46" s="614">
        <v>2230</v>
      </c>
      <c r="C46" s="466"/>
      <c r="D46" s="466"/>
      <c r="E46" s="466"/>
      <c r="F46" s="466"/>
      <c r="G46" s="466"/>
      <c r="H46" s="466"/>
      <c r="I46" s="467"/>
      <c r="J46" s="467"/>
      <c r="K46" s="1672">
        <f>SUM(C46:J46)</f>
        <v>0</v>
      </c>
      <c r="L46" s="466">
        <v>32000</v>
      </c>
    </row>
    <row r="47" spans="1:14" ht="12.75" customHeight="1" thickBot="1" x14ac:dyDescent="0.25">
      <c r="A47" s="1668" t="s">
        <v>561</v>
      </c>
      <c r="B47" s="1669" t="s">
        <v>32</v>
      </c>
      <c r="C47" s="1670">
        <f>SUM(C44:C46)</f>
        <v>98676</v>
      </c>
      <c r="D47" s="1670">
        <f t="shared" ref="D47:K47" si="4">SUM(D44:D46)</f>
        <v>15443</v>
      </c>
      <c r="E47" s="1670">
        <f t="shared" si="4"/>
        <v>88418</v>
      </c>
      <c r="F47" s="1670">
        <f t="shared" si="4"/>
        <v>40855</v>
      </c>
      <c r="G47" s="1670">
        <f t="shared" si="4"/>
        <v>90901</v>
      </c>
      <c r="H47" s="1670">
        <f t="shared" si="4"/>
        <v>0</v>
      </c>
      <c r="I47" s="1670">
        <f t="shared" si="4"/>
        <v>0</v>
      </c>
      <c r="J47" s="1670">
        <f t="shared" si="4"/>
        <v>0</v>
      </c>
      <c r="K47" s="1670">
        <f t="shared" si="4"/>
        <v>334293</v>
      </c>
      <c r="L47" s="1670">
        <f>SUM(L44:L46)</f>
        <v>342935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3554</v>
      </c>
      <c r="D49" s="481">
        <v>64889</v>
      </c>
      <c r="E49" s="481">
        <v>130666</v>
      </c>
      <c r="F49" s="481">
        <v>46865</v>
      </c>
      <c r="G49" s="481"/>
      <c r="H49" s="481">
        <v>34506</v>
      </c>
      <c r="I49" s="467"/>
      <c r="J49" s="467"/>
      <c r="K49" s="1672">
        <f>SUM(C49:J49)</f>
        <v>280480</v>
      </c>
      <c r="L49" s="481">
        <v>223974</v>
      </c>
    </row>
    <row r="50" spans="1:14" x14ac:dyDescent="0.2">
      <c r="A50" s="1504" t="s">
        <v>818</v>
      </c>
      <c r="B50" s="614">
        <v>2320</v>
      </c>
      <c r="C50" s="466">
        <v>172465</v>
      </c>
      <c r="D50" s="466">
        <v>26589</v>
      </c>
      <c r="E50" s="466">
        <v>1814</v>
      </c>
      <c r="F50" s="466">
        <v>370</v>
      </c>
      <c r="G50" s="466"/>
      <c r="H50" s="466">
        <v>3275</v>
      </c>
      <c r="I50" s="467"/>
      <c r="J50" s="467"/>
      <c r="K50" s="1672">
        <f>SUM(C50:J50)</f>
        <v>204513</v>
      </c>
      <c r="L50" s="466">
        <v>207028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176019</v>
      </c>
      <c r="D53" s="1670">
        <f t="shared" ref="D53:L53" si="5">SUM(D49:D52)</f>
        <v>91478</v>
      </c>
      <c r="E53" s="1670">
        <f t="shared" si="5"/>
        <v>132480</v>
      </c>
      <c r="F53" s="1670">
        <f t="shared" si="5"/>
        <v>47235</v>
      </c>
      <c r="G53" s="1670">
        <f t="shared" si="5"/>
        <v>0</v>
      </c>
      <c r="H53" s="1670">
        <f t="shared" si="5"/>
        <v>37781</v>
      </c>
      <c r="I53" s="1670">
        <f t="shared" si="5"/>
        <v>0</v>
      </c>
      <c r="J53" s="1670">
        <f t="shared" si="5"/>
        <v>0</v>
      </c>
      <c r="K53" s="1670">
        <f t="shared" si="5"/>
        <v>484993</v>
      </c>
      <c r="L53" s="1670">
        <f t="shared" si="5"/>
        <v>431002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424662</v>
      </c>
      <c r="D55" s="481">
        <v>88262</v>
      </c>
      <c r="E55" s="481">
        <v>1361</v>
      </c>
      <c r="F55" s="481"/>
      <c r="G55" s="481"/>
      <c r="H55" s="481">
        <v>2733</v>
      </c>
      <c r="I55" s="467"/>
      <c r="J55" s="467"/>
      <c r="K55" s="1672">
        <f>SUM(C55:J55)</f>
        <v>517018</v>
      </c>
      <c r="L55" s="481">
        <v>513050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424662</v>
      </c>
      <c r="D57" s="1674">
        <f t="shared" ref="D57:K57" si="6">SUM(D55:D56)</f>
        <v>88262</v>
      </c>
      <c r="E57" s="1674">
        <f t="shared" si="6"/>
        <v>1361</v>
      </c>
      <c r="F57" s="1674">
        <f t="shared" si="6"/>
        <v>0</v>
      </c>
      <c r="G57" s="1674">
        <f t="shared" si="6"/>
        <v>0</v>
      </c>
      <c r="H57" s="1674">
        <f t="shared" si="6"/>
        <v>2733</v>
      </c>
      <c r="I57" s="1674">
        <f t="shared" si="6"/>
        <v>0</v>
      </c>
      <c r="J57" s="1674">
        <f t="shared" si="6"/>
        <v>0</v>
      </c>
      <c r="K57" s="1674">
        <f t="shared" si="6"/>
        <v>517018</v>
      </c>
      <c r="L57" s="1670">
        <f>SUM(L55:L56)</f>
        <v>513050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49377</v>
      </c>
      <c r="D60" s="466">
        <v>266</v>
      </c>
      <c r="E60" s="466"/>
      <c r="F60" s="466">
        <v>2071</v>
      </c>
      <c r="G60" s="466"/>
      <c r="H60" s="466"/>
      <c r="I60" s="467"/>
      <c r="J60" s="467"/>
      <c r="K60" s="1672">
        <f t="shared" si="7"/>
        <v>51714</v>
      </c>
      <c r="L60" s="466">
        <v>46950</v>
      </c>
      <c r="M60" s="609"/>
      <c r="N60" s="609"/>
    </row>
    <row r="61" spans="1:14" s="343" customFormat="1" x14ac:dyDescent="0.2">
      <c r="A61" s="1504" t="s">
        <v>197</v>
      </c>
      <c r="B61" s="614">
        <v>2540</v>
      </c>
      <c r="C61" s="466"/>
      <c r="D61" s="466"/>
      <c r="E61" s="466">
        <v>64364</v>
      </c>
      <c r="F61" s="466">
        <v>251210</v>
      </c>
      <c r="G61" s="466"/>
      <c r="H61" s="466"/>
      <c r="I61" s="467"/>
      <c r="J61" s="467"/>
      <c r="K61" s="1672">
        <f t="shared" si="7"/>
        <v>315574</v>
      </c>
      <c r="L61" s="466">
        <v>285624</v>
      </c>
      <c r="M61" s="609"/>
      <c r="N61" s="609"/>
    </row>
    <row r="62" spans="1:14" s="343" customFormat="1" x14ac:dyDescent="0.2">
      <c r="A62" s="1504" t="s">
        <v>953</v>
      </c>
      <c r="B62" s="614">
        <v>2550</v>
      </c>
      <c r="C62" s="466"/>
      <c r="D62" s="466"/>
      <c r="E62" s="466">
        <v>1209</v>
      </c>
      <c r="F62" s="466">
        <v>8277</v>
      </c>
      <c r="G62" s="466"/>
      <c r="H62" s="466"/>
      <c r="I62" s="467"/>
      <c r="J62" s="467"/>
      <c r="K62" s="1672">
        <f t="shared" si="7"/>
        <v>9486</v>
      </c>
      <c r="L62" s="466">
        <v>10300</v>
      </c>
      <c r="M62" s="609"/>
      <c r="N62" s="609"/>
    </row>
    <row r="63" spans="1:14" s="609" customFormat="1" x14ac:dyDescent="0.2">
      <c r="A63" s="1504" t="s">
        <v>100</v>
      </c>
      <c r="B63" s="614">
        <v>2560</v>
      </c>
      <c r="C63" s="466">
        <v>181354</v>
      </c>
      <c r="D63" s="466">
        <v>15821</v>
      </c>
      <c r="E63" s="466">
        <v>5428</v>
      </c>
      <c r="F63" s="466">
        <v>372665</v>
      </c>
      <c r="G63" s="466"/>
      <c r="H63" s="466">
        <v>742</v>
      </c>
      <c r="I63" s="467"/>
      <c r="J63" s="467"/>
      <c r="K63" s="1672">
        <f t="shared" si="7"/>
        <v>576010</v>
      </c>
      <c r="L63" s="466">
        <v>526390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230731</v>
      </c>
      <c r="D65" s="1670">
        <f t="shared" ref="D65:L65" si="8">SUM(D59:D64)</f>
        <v>16087</v>
      </c>
      <c r="E65" s="1670">
        <f t="shared" si="8"/>
        <v>71001</v>
      </c>
      <c r="F65" s="1670">
        <f t="shared" si="8"/>
        <v>634223</v>
      </c>
      <c r="G65" s="1670">
        <f t="shared" si="8"/>
        <v>0</v>
      </c>
      <c r="H65" s="1670">
        <f t="shared" si="8"/>
        <v>742</v>
      </c>
      <c r="I65" s="1670">
        <f t="shared" si="8"/>
        <v>0</v>
      </c>
      <c r="J65" s="1670">
        <f t="shared" si="8"/>
        <v>0</v>
      </c>
      <c r="K65" s="1670">
        <f t="shared" si="8"/>
        <v>952784</v>
      </c>
      <c r="L65" s="1670">
        <f t="shared" si="8"/>
        <v>869264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1180799</v>
      </c>
      <c r="D74" s="1677">
        <f t="shared" ref="D74:K74" si="10">SUM(D42,D47,D53,D57,D65,D72,D73)</f>
        <v>258590</v>
      </c>
      <c r="E74" s="1677">
        <f t="shared" si="10"/>
        <v>297238</v>
      </c>
      <c r="F74" s="1677">
        <f t="shared" si="10"/>
        <v>726085</v>
      </c>
      <c r="G74" s="1677">
        <f t="shared" si="10"/>
        <v>92675</v>
      </c>
      <c r="H74" s="1677">
        <f t="shared" si="10"/>
        <v>41256</v>
      </c>
      <c r="I74" s="1677">
        <f t="shared" si="10"/>
        <v>0</v>
      </c>
      <c r="J74" s="1677">
        <f t="shared" si="10"/>
        <v>0</v>
      </c>
      <c r="K74" s="1677">
        <f t="shared" si="10"/>
        <v>2596643</v>
      </c>
      <c r="L74" s="1677">
        <f>SUM(L42,L47,L53,L57,L65,L72,L73)</f>
        <v>2460932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58611</v>
      </c>
      <c r="F78" s="616"/>
      <c r="G78" s="616"/>
      <c r="H78" s="634"/>
      <c r="I78" s="477"/>
      <c r="J78" s="477"/>
      <c r="K78" s="1671">
        <f t="shared" ref="K78:K83" si="11">SUM(C78:J78)</f>
        <v>58611</v>
      </c>
      <c r="L78" s="481">
        <v>60000</v>
      </c>
    </row>
    <row r="79" spans="1:14" x14ac:dyDescent="0.2">
      <c r="A79" s="1504" t="s">
        <v>304</v>
      </c>
      <c r="B79" s="614">
        <v>4120</v>
      </c>
      <c r="C79" s="616"/>
      <c r="D79" s="616"/>
      <c r="E79" s="466" t="s">
        <v>1169</v>
      </c>
      <c r="F79" s="616"/>
      <c r="G79" s="616"/>
      <c r="H79" s="466">
        <f>709620+70280</f>
        <v>779900</v>
      </c>
      <c r="I79" s="477"/>
      <c r="J79" s="477"/>
      <c r="K79" s="1671">
        <f t="shared" si="11"/>
        <v>779900</v>
      </c>
      <c r="L79" s="466">
        <v>760000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42595</v>
      </c>
      <c r="I81" s="477"/>
      <c r="J81" s="477"/>
      <c r="K81" s="1671">
        <f t="shared" si="11"/>
        <v>42595</v>
      </c>
      <c r="L81" s="466">
        <v>45000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58611</v>
      </c>
      <c r="F84" s="616"/>
      <c r="G84" s="616"/>
      <c r="H84" s="1670">
        <f>SUM(H78:H83)</f>
        <v>822495</v>
      </c>
      <c r="I84" s="477"/>
      <c r="J84" s="477"/>
      <c r="K84" s="1670">
        <f>SUM(K78:K83)</f>
        <v>881106</v>
      </c>
      <c r="L84" s="1670">
        <f>SUM(L78:L83)</f>
        <v>865000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58611</v>
      </c>
      <c r="F102" s="616"/>
      <c r="G102" s="616"/>
      <c r="H102" s="1677">
        <f>SUM(H84,H92,H100,H101)</f>
        <v>822495</v>
      </c>
      <c r="I102" s="477"/>
      <c r="J102" s="477"/>
      <c r="K102" s="1677">
        <f>SUM(K84,K92,K100,K101)</f>
        <v>881106</v>
      </c>
      <c r="L102" s="1677">
        <f>SUM(L84,L92,L100,L101)</f>
        <v>865000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5236001</v>
      </c>
      <c r="D114" s="1670">
        <f t="shared" ref="D114:K114" si="13">SUM(D33,D74,D75,D102,D112,D113)</f>
        <v>838562</v>
      </c>
      <c r="E114" s="1670">
        <f t="shared" si="13"/>
        <v>423181</v>
      </c>
      <c r="F114" s="1670">
        <f t="shared" si="13"/>
        <v>950521</v>
      </c>
      <c r="G114" s="1670">
        <f t="shared" si="13"/>
        <v>95741</v>
      </c>
      <c r="H114" s="1670">
        <f>SUM(H33,H74,H75,H102,H112,H113)</f>
        <v>884501</v>
      </c>
      <c r="I114" s="1670">
        <f t="shared" si="13"/>
        <v>0</v>
      </c>
      <c r="J114" s="1670">
        <f t="shared" si="13"/>
        <v>0</v>
      </c>
      <c r="K114" s="1670">
        <f t="shared" si="13"/>
        <v>8428507</v>
      </c>
      <c r="L114" s="1670">
        <f>SUM(L33,L74,L75,L102,L112,L113)</f>
        <v>8315634</v>
      </c>
    </row>
    <row r="115" spans="1:14" ht="13.5" thickTop="1" x14ac:dyDescent="0.2">
      <c r="A115" s="2156" t="s">
        <v>996</v>
      </c>
      <c r="B115" s="2157"/>
      <c r="C115" s="618"/>
      <c r="D115" s="618"/>
      <c r="E115" s="618"/>
      <c r="F115" s="618"/>
      <c r="G115" s="618"/>
      <c r="H115" s="618"/>
      <c r="I115" s="618"/>
      <c r="J115" s="618"/>
      <c r="K115" s="1684">
        <f>'Revenues 9-14'!C268-'Expenditures 15-22'!K114</f>
        <v>-1390243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360614</v>
      </c>
      <c r="D124" s="466">
        <v>69427</v>
      </c>
      <c r="E124" s="466">
        <v>97148</v>
      </c>
      <c r="F124" s="466">
        <v>101162</v>
      </c>
      <c r="G124" s="466">
        <v>34165</v>
      </c>
      <c r="H124" s="466"/>
      <c r="I124" s="467"/>
      <c r="J124" s="467"/>
      <c r="K124" s="1670">
        <f>SUM(C124:J124)</f>
        <v>662516</v>
      </c>
      <c r="L124" s="466">
        <v>671500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360614</v>
      </c>
      <c r="D127" s="1670">
        <f t="shared" ref="D127:L127" si="14">SUM(D122:D126)</f>
        <v>69427</v>
      </c>
      <c r="E127" s="1670">
        <f t="shared" si="14"/>
        <v>97148</v>
      </c>
      <c r="F127" s="1670">
        <f t="shared" si="14"/>
        <v>101162</v>
      </c>
      <c r="G127" s="1670">
        <f t="shared" si="14"/>
        <v>34165</v>
      </c>
      <c r="H127" s="1670">
        <f t="shared" si="14"/>
        <v>0</v>
      </c>
      <c r="I127" s="1670">
        <f t="shared" si="14"/>
        <v>0</v>
      </c>
      <c r="J127" s="1670">
        <f t="shared" si="14"/>
        <v>0</v>
      </c>
      <c r="K127" s="1670">
        <f t="shared" si="14"/>
        <v>662516</v>
      </c>
      <c r="L127" s="1670">
        <f t="shared" si="14"/>
        <v>671500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360614</v>
      </c>
      <c r="D129" s="1677">
        <f t="shared" ref="D129:L129" si="15">SUM(D120,D127,D128)</f>
        <v>69427</v>
      </c>
      <c r="E129" s="1677">
        <f t="shared" si="15"/>
        <v>97148</v>
      </c>
      <c r="F129" s="1677">
        <f t="shared" si="15"/>
        <v>101162</v>
      </c>
      <c r="G129" s="1677">
        <f t="shared" si="15"/>
        <v>34165</v>
      </c>
      <c r="H129" s="1677">
        <f t="shared" si="15"/>
        <v>0</v>
      </c>
      <c r="I129" s="1677">
        <f t="shared" si="15"/>
        <v>0</v>
      </c>
      <c r="J129" s="1677">
        <f t="shared" si="15"/>
        <v>0</v>
      </c>
      <c r="K129" s="1677">
        <f t="shared" si="15"/>
        <v>662516</v>
      </c>
      <c r="L129" s="1677">
        <f t="shared" si="15"/>
        <v>671500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360614</v>
      </c>
      <c r="D151" s="1670">
        <f t="shared" ref="D151:K151" si="16">SUM(D129,D130,D139,D149,D150)</f>
        <v>69427</v>
      </c>
      <c r="E151" s="1670">
        <f t="shared" si="16"/>
        <v>97148</v>
      </c>
      <c r="F151" s="1670">
        <f t="shared" si="16"/>
        <v>101162</v>
      </c>
      <c r="G151" s="1670">
        <f t="shared" si="16"/>
        <v>34165</v>
      </c>
      <c r="H151" s="1670">
        <f t="shared" si="16"/>
        <v>0</v>
      </c>
      <c r="I151" s="1670">
        <f t="shared" si="16"/>
        <v>0</v>
      </c>
      <c r="J151" s="1670">
        <f t="shared" si="16"/>
        <v>0</v>
      </c>
      <c r="K151" s="1670">
        <f t="shared" si="16"/>
        <v>662516</v>
      </c>
      <c r="L151" s="1670">
        <f>SUM(L129,L130,L139,L149,L150)</f>
        <v>671500</v>
      </c>
    </row>
    <row r="152" spans="1:14" ht="12.75" customHeight="1" thickTop="1" x14ac:dyDescent="0.2">
      <c r="A152" s="2176" t="s">
        <v>1178</v>
      </c>
      <c r="B152" s="2177"/>
      <c r="C152" s="618"/>
      <c r="D152" s="618"/>
      <c r="E152" s="618"/>
      <c r="F152" s="618"/>
      <c r="G152" s="618"/>
      <c r="H152" s="618"/>
      <c r="I152" s="618"/>
      <c r="J152" s="616"/>
      <c r="K152" s="1684">
        <f>'Revenues 9-14'!D268-'Expenditures 15-22'!K151</f>
        <v>-383728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192510+278050</f>
        <v>470560</v>
      </c>
      <c r="I169" s="616"/>
      <c r="J169" s="616"/>
      <c r="K169" s="1671">
        <f>SUM(C169:H169)</f>
        <v>470560</v>
      </c>
      <c r="L169" s="656">
        <v>473911</v>
      </c>
    </row>
    <row r="170" spans="1:14" ht="33.75" customHeight="1" x14ac:dyDescent="0.2">
      <c r="A170" s="669" t="s">
        <v>1670</v>
      </c>
      <c r="B170" s="671" t="s">
        <v>31</v>
      </c>
      <c r="C170" s="616"/>
      <c r="D170" s="616"/>
      <c r="E170" s="616"/>
      <c r="F170" s="616"/>
      <c r="G170" s="616"/>
      <c r="H170" s="569">
        <f>225000+315000+260000</f>
        <v>800000</v>
      </c>
      <c r="I170" s="616"/>
      <c r="J170" s="616"/>
      <c r="K170" s="1671">
        <f>SUM(C170:J170)</f>
        <v>800000</v>
      </c>
      <c r="L170" s="569">
        <v>800000</v>
      </c>
    </row>
    <row r="171" spans="1:14" ht="15.75" customHeight="1" x14ac:dyDescent="0.2">
      <c r="A171" s="621" t="s">
        <v>766</v>
      </c>
      <c r="B171" s="672" t="s">
        <v>84</v>
      </c>
      <c r="C171" s="616"/>
      <c r="D171" s="616"/>
      <c r="E171" s="466"/>
      <c r="F171" s="616"/>
      <c r="G171" s="616"/>
      <c r="H171" s="569">
        <v>1500</v>
      </c>
      <c r="I171" s="477"/>
      <c r="J171" s="616"/>
      <c r="K171" s="1671">
        <f>SUM(C171:J171)</f>
        <v>1500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1272060</v>
      </c>
      <c r="I172" s="638"/>
      <c r="J172" s="616"/>
      <c r="K172" s="1677">
        <f>SUM(K168,K169,K170,K171)</f>
        <v>1272060</v>
      </c>
      <c r="L172" s="1677">
        <f>SUM(L168,L169,L170,L171)</f>
        <v>1275411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1272060</v>
      </c>
      <c r="I174" s="638"/>
      <c r="J174" s="616"/>
      <c r="K174" s="1677">
        <f>SUM(K160,K172,K173)</f>
        <v>1272060</v>
      </c>
      <c r="L174" s="1677">
        <f>SUM(L160,L172,L173)</f>
        <v>1275411</v>
      </c>
    </row>
    <row r="175" spans="1:14" ht="13.5" thickTop="1" x14ac:dyDescent="0.2">
      <c r="A175" s="2156" t="s">
        <v>996</v>
      </c>
      <c r="B175" s="2157"/>
      <c r="C175" s="616"/>
      <c r="D175" s="616"/>
      <c r="E175" s="616"/>
      <c r="F175" s="616"/>
      <c r="G175" s="616"/>
      <c r="H175" s="618"/>
      <c r="I175" s="616"/>
      <c r="J175" s="616"/>
      <c r="K175" s="1684">
        <f>'Revenues 9-14'!E268-'Expenditures 15-22'!K174</f>
        <v>-417812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104341+40721+6762+45662+53217+20869+48080</f>
        <v>319652</v>
      </c>
      <c r="D182" s="466">
        <v>7732</v>
      </c>
      <c r="E182" s="466">
        <f>13036+4200</f>
        <v>17236</v>
      </c>
      <c r="F182" s="466">
        <v>106414</v>
      </c>
      <c r="G182" s="466">
        <v>203504</v>
      </c>
      <c r="H182" s="466"/>
      <c r="I182" s="467"/>
      <c r="J182" s="467"/>
      <c r="K182" s="1671">
        <f>SUM(C182:J182)</f>
        <v>654538</v>
      </c>
      <c r="L182" s="466">
        <v>637145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319652</v>
      </c>
      <c r="D184" s="1677">
        <f t="shared" ref="D184:J184" si="17">SUM(D180,D182,D183)</f>
        <v>7732</v>
      </c>
      <c r="E184" s="1677">
        <f t="shared" si="17"/>
        <v>17236</v>
      </c>
      <c r="F184" s="1677">
        <f t="shared" si="17"/>
        <v>106414</v>
      </c>
      <c r="G184" s="1677">
        <f t="shared" si="17"/>
        <v>203504</v>
      </c>
      <c r="H184" s="1677">
        <f t="shared" si="17"/>
        <v>0</v>
      </c>
      <c r="I184" s="1677">
        <f t="shared" si="17"/>
        <v>0</v>
      </c>
      <c r="J184" s="1677">
        <f t="shared" si="17"/>
        <v>0</v>
      </c>
      <c r="K184" s="1677">
        <f>SUM(K180,K182,K183)</f>
        <v>654538</v>
      </c>
      <c r="L184" s="1677">
        <f>SUM(L180, L182:L183)</f>
        <v>637145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34730</v>
      </c>
      <c r="F189" s="616"/>
      <c r="G189" s="616"/>
      <c r="H189" s="466"/>
      <c r="I189" s="477"/>
      <c r="J189" s="616"/>
      <c r="K189" s="1671">
        <f t="shared" si="18"/>
        <v>34730</v>
      </c>
      <c r="L189" s="466">
        <v>25000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34730</v>
      </c>
      <c r="F194" s="616"/>
      <c r="G194" s="616"/>
      <c r="H194" s="1670">
        <f>SUM(H188:H193)</f>
        <v>0</v>
      </c>
      <c r="I194" s="477"/>
      <c r="J194" s="616"/>
      <c r="K194" s="1670">
        <f>SUM(K188:K193)</f>
        <v>34730</v>
      </c>
      <c r="L194" s="1670">
        <f>SUM(L188:L193)</f>
        <v>25000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34730</v>
      </c>
      <c r="F196" s="616"/>
      <c r="G196" s="616"/>
      <c r="H196" s="1677">
        <f>SUM(H194,H195)</f>
        <v>0</v>
      </c>
      <c r="I196" s="477"/>
      <c r="J196" s="616"/>
      <c r="K196" s="1677">
        <f>SUM(K194,K195)</f>
        <v>34730</v>
      </c>
      <c r="L196" s="1677">
        <f>SUM(L194,L195)</f>
        <v>25000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319652</v>
      </c>
      <c r="D210" s="1670">
        <f>SUM(D184,D185)</f>
        <v>7732</v>
      </c>
      <c r="E210" s="1670">
        <f>SUM(E184,E185,E196)</f>
        <v>51966</v>
      </c>
      <c r="F210" s="1670">
        <f>SUM(F184,F185)</f>
        <v>106414</v>
      </c>
      <c r="G210" s="1670">
        <f>SUM(G184,G185)</f>
        <v>203504</v>
      </c>
      <c r="H210" s="1670">
        <f>SUM(H184,H185,H196,H208,H209)</f>
        <v>0</v>
      </c>
      <c r="I210" s="1670">
        <f>SUM(I184,I185)</f>
        <v>0</v>
      </c>
      <c r="J210" s="1670">
        <f>SUM(J184,J185)</f>
        <v>0</v>
      </c>
      <c r="K210" s="1671">
        <f>SUM(K184,K185,K196,K208,K209)</f>
        <v>689268</v>
      </c>
      <c r="L210" s="1670">
        <f>SUM(L184,L185,L196,L208,L209)</f>
        <v>662145</v>
      </c>
    </row>
    <row r="211" spans="1:14" ht="13.5" thickTop="1" x14ac:dyDescent="0.2">
      <c r="A211" s="2156" t="s">
        <v>996</v>
      </c>
      <c r="B211" s="2157"/>
      <c r="C211" s="618"/>
      <c r="D211" s="618"/>
      <c r="E211" s="618"/>
      <c r="F211" s="618"/>
      <c r="G211" s="618"/>
      <c r="H211" s="618"/>
      <c r="I211" s="616"/>
      <c r="J211" s="616"/>
      <c r="K211" s="1684">
        <f>'Revenues 9-14'!F268-'Expenditures 15-22'!K210</f>
        <v>-120635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189807</v>
      </c>
      <c r="E215" s="616"/>
      <c r="F215" s="616"/>
      <c r="G215" s="616"/>
      <c r="H215" s="616"/>
      <c r="I215" s="616"/>
      <c r="J215" s="616"/>
      <c r="K215" s="1671">
        <f>D215</f>
        <v>189807</v>
      </c>
      <c r="L215" s="466">
        <v>150000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189807</v>
      </c>
      <c r="E229" s="616"/>
      <c r="F229" s="616"/>
      <c r="G229" s="616"/>
      <c r="H229" s="616"/>
      <c r="I229" s="616"/>
      <c r="J229" s="616"/>
      <c r="K229" s="1670">
        <f>SUM(K215:K228)</f>
        <v>189807</v>
      </c>
      <c r="L229" s="1670">
        <f>SUM(L215:L228)</f>
        <v>150000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43761</v>
      </c>
      <c r="E266" s="616"/>
      <c r="F266" s="616"/>
      <c r="G266" s="616"/>
      <c r="H266" s="616"/>
      <c r="I266" s="616"/>
      <c r="J266" s="616"/>
      <c r="K266" s="1672">
        <f t="shared" si="22"/>
        <v>43761</v>
      </c>
      <c r="L266" s="466">
        <v>42000</v>
      </c>
    </row>
    <row r="267" spans="1:14" x14ac:dyDescent="0.2">
      <c r="A267" s="1504" t="s">
        <v>953</v>
      </c>
      <c r="B267" s="614">
        <v>2550</v>
      </c>
      <c r="C267" s="616"/>
      <c r="D267" s="466">
        <v>4730</v>
      </c>
      <c r="E267" s="616"/>
      <c r="F267" s="616"/>
      <c r="G267" s="616"/>
      <c r="H267" s="616"/>
      <c r="I267" s="616"/>
      <c r="J267" s="616"/>
      <c r="K267" s="1672">
        <f t="shared" si="22"/>
        <v>4730</v>
      </c>
      <c r="L267" s="466">
        <v>6700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48491</v>
      </c>
      <c r="E270" s="616"/>
      <c r="F270" s="616"/>
      <c r="G270" s="616"/>
      <c r="H270" s="616"/>
      <c r="I270" s="616"/>
      <c r="J270" s="616"/>
      <c r="K270" s="1670">
        <f>SUM(K263:K269)</f>
        <v>48491</v>
      </c>
      <c r="L270" s="1670">
        <f>SUM(L263:L269)</f>
        <v>48700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48491</v>
      </c>
      <c r="E279" s="616"/>
      <c r="F279" s="616"/>
      <c r="G279" s="616"/>
      <c r="H279" s="616"/>
      <c r="I279" s="616"/>
      <c r="J279" s="616"/>
      <c r="K279" s="1677">
        <f>SUM(K238,K243,K257,K261,K270,K277,K278)</f>
        <v>48491</v>
      </c>
      <c r="L279" s="1677">
        <f>SUM(L238,L243,L257,L261,L270,L277,L278)</f>
        <v>48700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v>25087</v>
      </c>
      <c r="E283" s="616"/>
      <c r="F283" s="616"/>
      <c r="G283" s="616"/>
      <c r="H283" s="616"/>
      <c r="I283" s="616"/>
      <c r="J283" s="616"/>
      <c r="K283" s="1671">
        <f>D283</f>
        <v>25087</v>
      </c>
      <c r="L283" s="466">
        <v>24000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25087</v>
      </c>
      <c r="E285" s="616"/>
      <c r="F285" s="616"/>
      <c r="G285" s="616"/>
      <c r="H285" s="616"/>
      <c r="I285" s="616"/>
      <c r="J285" s="616"/>
      <c r="K285" s="1670">
        <f>SUM(K282:K284)</f>
        <v>25087</v>
      </c>
      <c r="L285" s="1670">
        <f>SUM(L282:L284)</f>
        <v>24000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263385</v>
      </c>
      <c r="E295" s="616"/>
      <c r="F295" s="616"/>
      <c r="G295" s="616"/>
      <c r="H295" s="1670">
        <f>H293</f>
        <v>0</v>
      </c>
      <c r="I295" s="616"/>
      <c r="J295" s="616"/>
      <c r="K295" s="1670">
        <f>SUM(K229,K279,K280,K285,K293,K294)</f>
        <v>263385</v>
      </c>
      <c r="L295" s="1670">
        <f>SUM(L229,L279,L280,L285,L293,L294)</f>
        <v>222700</v>
      </c>
    </row>
    <row r="296" spans="1:14" ht="13.5" thickTop="1" x14ac:dyDescent="0.2">
      <c r="A296" s="2156" t="s">
        <v>996</v>
      </c>
      <c r="B296" s="2157"/>
      <c r="C296" s="616"/>
      <c r="D296" s="618"/>
      <c r="E296" s="616"/>
      <c r="F296" s="616"/>
      <c r="G296" s="616"/>
      <c r="H296" s="687"/>
      <c r="I296" s="616"/>
      <c r="J296" s="616"/>
      <c r="K296" s="1684">
        <f>'Revenues 9-14'!G268-'Expenditures 15-22'!K295</f>
        <v>-31663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87822</v>
      </c>
      <c r="F320" s="467"/>
      <c r="G320" s="467"/>
      <c r="H320" s="467"/>
      <c r="I320" s="467"/>
      <c r="J320" s="467"/>
      <c r="K320" s="1671">
        <f t="shared" ref="K320:K327" si="24">SUM(C320:J320)</f>
        <v>87822</v>
      </c>
      <c r="L320" s="467">
        <v>65000</v>
      </c>
      <c r="M320" s="665"/>
      <c r="N320" s="665"/>
    </row>
    <row r="321" spans="1:14" s="674" customFormat="1" x14ac:dyDescent="0.2">
      <c r="A321" s="1519" t="s">
        <v>300</v>
      </c>
      <c r="B321" s="697" t="s">
        <v>283</v>
      </c>
      <c r="C321" s="467"/>
      <c r="D321" s="467"/>
      <c r="E321" s="467">
        <v>478</v>
      </c>
      <c r="F321" s="467"/>
      <c r="G321" s="467"/>
      <c r="H321" s="467"/>
      <c r="I321" s="467"/>
      <c r="J321" s="467"/>
      <c r="K321" s="1671">
        <f t="shared" si="24"/>
        <v>478</v>
      </c>
      <c r="L321" s="467">
        <v>1000</v>
      </c>
      <c r="M321" s="665"/>
      <c r="N321" s="665"/>
    </row>
    <row r="322" spans="1:14" s="674" customFormat="1" x14ac:dyDescent="0.2">
      <c r="A322" s="1519" t="s">
        <v>238</v>
      </c>
      <c r="B322" s="697" t="s">
        <v>284</v>
      </c>
      <c r="C322" s="467"/>
      <c r="D322" s="467"/>
      <c r="E322" s="467">
        <v>62112</v>
      </c>
      <c r="F322" s="467"/>
      <c r="G322" s="467"/>
      <c r="H322" s="467"/>
      <c r="I322" s="467"/>
      <c r="J322" s="467"/>
      <c r="K322" s="1671">
        <f t="shared" si="24"/>
        <v>62112</v>
      </c>
      <c r="L322" s="467">
        <v>62000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15886</v>
      </c>
      <c r="F325" s="467"/>
      <c r="G325" s="467"/>
      <c r="H325" s="467"/>
      <c r="I325" s="467"/>
      <c r="J325" s="467"/>
      <c r="K325" s="1671">
        <f t="shared" si="24"/>
        <v>15886</v>
      </c>
      <c r="L325" s="467">
        <v>11000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7155</v>
      </c>
      <c r="F327" s="467"/>
      <c r="G327" s="467"/>
      <c r="H327" s="467"/>
      <c r="I327" s="467"/>
      <c r="J327" s="467"/>
      <c r="K327" s="1671">
        <f t="shared" si="24"/>
        <v>7155</v>
      </c>
      <c r="L327" s="467">
        <v>8000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173453</v>
      </c>
      <c r="F330" s="1670">
        <f t="shared" si="25"/>
        <v>0</v>
      </c>
      <c r="G330" s="1670">
        <f t="shared" si="25"/>
        <v>0</v>
      </c>
      <c r="H330" s="1670">
        <f t="shared" si="25"/>
        <v>0</v>
      </c>
      <c r="I330" s="1670">
        <f t="shared" si="25"/>
        <v>0</v>
      </c>
      <c r="J330" s="1670">
        <f t="shared" si="25"/>
        <v>0</v>
      </c>
      <c r="K330" s="1670">
        <f>SUM(K319:K329)</f>
        <v>173453</v>
      </c>
      <c r="L330" s="1670">
        <f>SUM(L319:L329)</f>
        <v>147000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173453</v>
      </c>
      <c r="F342" s="1670">
        <f>SUM(F330)</f>
        <v>0</v>
      </c>
      <c r="G342" s="1670">
        <f>SUM(G330)</f>
        <v>0</v>
      </c>
      <c r="H342" s="1670">
        <f>SUM(H330,H334,H340)</f>
        <v>0</v>
      </c>
      <c r="I342" s="1670">
        <f>SUM(I330)</f>
        <v>0</v>
      </c>
      <c r="J342" s="1670">
        <f>SUM(J330)</f>
        <v>0</v>
      </c>
      <c r="K342" s="1670">
        <f>SUM(K330,K334,K340)</f>
        <v>173453</v>
      </c>
      <c r="L342" s="1677">
        <f>SUM(L330,L340,L341)</f>
        <v>147000</v>
      </c>
    </row>
    <row r="343" spans="1:14" ht="12.75" customHeight="1" thickTop="1" x14ac:dyDescent="0.2">
      <c r="A343" s="2169" t="s">
        <v>996</v>
      </c>
      <c r="B343" s="2170"/>
      <c r="C343" s="616"/>
      <c r="D343" s="616"/>
      <c r="E343" s="616"/>
      <c r="F343" s="616"/>
      <c r="G343" s="616"/>
      <c r="H343" s="616"/>
      <c r="I343" s="616"/>
      <c r="J343" s="616"/>
      <c r="K343" s="1684">
        <f>'Revenues 9-14'!J268-'Expenditures 15-22'!K342</f>
        <v>-67672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28623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4d435f69-8686-490b-bd6d-b153bf22ab50"/>
    <ds:schemaRef ds:uri="6ce3111e-7420-4802-b50a-75d4e9a0b980"/>
    <ds:schemaRef ds:uri="http://schemas.microsoft.com/sharepoint/v3"/>
    <ds:schemaRef ds:uri="http://purl.org/dc/dcmitype/"/>
    <ds:schemaRef ds:uri="d21dc803-237d-4c68-8692-8d731fd2911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2019-11-12T22:47:14Z</cp:lastPrinted>
  <dcterms:created xsi:type="dcterms:W3CDTF">2003-10-29T19:06:34Z</dcterms:created>
  <dcterms:modified xsi:type="dcterms:W3CDTF">2019-12-26T17:58:08Z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