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38712CD2-BD31-46AC-84E8-6AFDC2081BB0}" xr6:coauthVersionLast="36" xr6:coauthVersionMax="36" xr10:uidLastSave="{00000000-0000-0000-0000-000000000000}"/>
  <bookViews>
    <workbookView xWindow="0" yWindow="0" windowWidth="24000" windowHeight="9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SPAF" sheetId="177" r:id="rId34"/>
    <sheet name="SF&amp;QC Sec-3" sheetId="176"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4">#REF!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4">#REF!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4">#REF!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4">#REF!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4">#REF!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c r="F27" i="181" l="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6" i="181"/>
  <c r="E26" i="181"/>
  <c r="G25" i="181"/>
  <c r="E25" i="181"/>
  <c r="G24" i="181"/>
  <c r="E24" i="181"/>
  <c r="G23" i="181"/>
  <c r="E23" i="181"/>
  <c r="G22" i="181"/>
  <c r="E22" i="181"/>
  <c r="G21" i="181"/>
  <c r="E21" i="181"/>
  <c r="G20" i="181"/>
  <c r="E20" i="181"/>
  <c r="G27" i="181"/>
  <c r="E27" i="181"/>
  <c r="E19" i="181"/>
  <c r="G19" i="181" l="1"/>
  <c r="D28" i="181"/>
  <c r="D80" i="36" l="1"/>
  <c r="B7797" i="106"/>
  <c r="E28" i="181"/>
  <c r="E18" i="181"/>
  <c r="F18" i="181" s="1"/>
  <c r="E17" i="181"/>
  <c r="F17" i="181" s="1"/>
  <c r="G17" i="181" l="1"/>
  <c r="G18" i="181"/>
  <c r="G28" i="181" s="1"/>
  <c r="G40" i="108" l="1"/>
  <c r="B7799" i="106"/>
  <c r="F2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6" i="127"/>
  <c r="B57" i="127"/>
  <c r="E26" i="108"/>
  <c r="G26" i="108"/>
  <c r="E27" i="108"/>
  <c r="G27" i="108"/>
  <c r="F31" i="108"/>
  <c r="F36" i="108"/>
  <c r="G28" i="108"/>
  <c r="G30" i="108"/>
  <c r="D31" i="108"/>
  <c r="D36" i="108"/>
  <c r="E31" i="108"/>
  <c r="G31" i="108"/>
  <c r="E33" i="108"/>
  <c r="E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B5752" i="106"/>
  <c r="D5752" i="106" s="1"/>
  <c r="D7245" i="106" l="1"/>
  <c r="L5" i="11"/>
  <c r="B2056" i="106" s="1"/>
  <c r="D2056" i="106" s="1"/>
  <c r="L22" i="37"/>
  <c r="H28" i="118"/>
  <c r="L367" i="29"/>
  <c r="L342" i="29"/>
  <c r="F46" i="34"/>
  <c r="F38" i="34"/>
  <c r="G39" i="108"/>
  <c r="G35" i="108"/>
  <c r="F28" i="108"/>
  <c r="D68" i="36"/>
  <c r="H112" i="29"/>
  <c r="B7018" i="106" s="1"/>
  <c r="D7018" i="106" s="1"/>
  <c r="B2836" i="106"/>
  <c r="D2836" i="106" s="1"/>
  <c r="K184" i="29"/>
  <c r="F13" i="4" s="1"/>
  <c r="B2596" i="106" s="1"/>
  <c r="D2596" i="106" s="1"/>
  <c r="G210" i="29"/>
  <c r="B1126" i="106"/>
  <c r="D1126" i="106" s="1"/>
  <c r="G29" i="108"/>
  <c r="F27" i="108"/>
  <c r="F34" i="34"/>
  <c r="L13" i="11"/>
  <c r="B2060" i="106" s="1"/>
  <c r="D2060" i="106" s="1"/>
  <c r="D69" i="36"/>
  <c r="F19" i="7"/>
  <c r="B1807" i="106" s="1"/>
  <c r="D1807" i="106" s="1"/>
  <c r="E29" i="108"/>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65" i="106"/>
  <c r="D1365" i="106" s="1"/>
  <c r="F65" i="34"/>
  <c r="B7215" i="106"/>
  <c r="D7215" i="106" s="1"/>
  <c r="B5527" i="106"/>
  <c r="D5527" i="106" s="1"/>
  <c r="N23" i="3"/>
  <c r="B284" i="106" s="1"/>
  <c r="D284" i="106" s="1"/>
  <c r="K28" i="118"/>
  <c r="O27" i="118" s="1"/>
  <c r="O29" i="118" s="1"/>
  <c r="F41" i="108"/>
  <c r="G43" i="108" s="1"/>
  <c r="C114" i="29"/>
  <c r="B757" i="106" s="1"/>
  <c r="D757" i="106" s="1"/>
  <c r="L16" i="11"/>
  <c r="B2061" i="106" s="1"/>
  <c r="D2061" i="106" s="1"/>
  <c r="D44" i="36"/>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<sst xmlns="http://schemas.openxmlformats.org/spreadsheetml/2006/main" count="5175" uniqueCount="2146">
  <si>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</si>
  <si>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</si>
  <si>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</si>
  <si>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</si>
  <si>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</si>
  <si>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</si>
  <si>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</si>
  <si>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</si>
  <si>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</si>
  <si>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</si>
  <si>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</si>
  <si>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</si>
  <si>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</si>
  <si>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</si>
  <si>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</si>
  <si>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</si>
  <si>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</si>
  <si>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</si>
  <si>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</si>
  <si>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</si>
  <si>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</si>
  <si>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</si>
  <si>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</si>
  <si>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</si>
  <si>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</si>
  <si>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</si>
  <si>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</si>
  <si>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</si>
  <si>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</si>
  <si>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</si>
  <si>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</si>
  <si>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</si>
  <si>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</si>
  <si>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</si>
  <si>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</si>
  <si>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</si>
  <si>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</si>
  <si>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</si>
  <si>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</si>
  <si>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</si>
  <si>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</si>
  <si>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</si>
  <si>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</si>
  <si>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</si>
  <si>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</si>
  <si>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</si>
  <si>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</si>
  <si>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</si>
  <si>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</si>
  <si>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</si>
  <si>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</si>
  <si>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</si>
  <si>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</si>
  <si>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</si>
  <si>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</si>
  <si>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</si>
  <si>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</si>
  <si>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</si>
  <si>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</si>
  <si>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</si>
  <si>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</si>
  <si>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</si>
  <si>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</si>
  <si>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</si>
  <si>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</si>
  <si>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</si>
  <si>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</si>
  <si>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</si>
  <si>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</si>
  <si>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</si>
  <si>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</si>
  <si>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</si>
  <si>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</si>
  <si>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</si>
  <si>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</si>
  <si>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</si>
  <si>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</si>
  <si>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</si>
  <si>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</si>
  <si>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</si>
  <si>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</si>
  <si>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</si>
  <si>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</si>
  <si>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</si>
  <si>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</si>
  <si>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</si>
  <si>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</si>
  <si>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</si>
  <si>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</si>
  <si>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</si>
  <si>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</si>
  <si>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</si>
  <si>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</si>
  <si>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</si>
  <si>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</si>
  <si>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</si>
  <si>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</si>
  <si>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</si>
  <si>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</si>
  <si>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</si>
  <si>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</si>
  <si>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</si>
  <si>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</si>
  <si>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</si>
  <si>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</si>
  <si>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</si>
  <si>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</si>
  <si>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</si>
  <si>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</si>
  <si>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</si>
  <si>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</si>
  <si>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</si>
  <si>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</si>
  <si>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</si>
  <si>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</si>
  <si>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</si>
  <si>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</si>
  <si>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</si>
  <si>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</si>
  <si>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</si>
  <si>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</si>
  <si>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</si>
  <si>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</si>
  <si>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</si>
  <si>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</si>
  <si>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</si>
  <si>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</si>
  <si>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</si>
  <si>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</si>
  <si>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</si>
  <si>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</si>
  <si>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</si>
  <si>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</si>
  <si>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</si>
  <si>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</si>
  <si>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</si>
  <si>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</si>
  <si>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</si>
  <si>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</si>
  <si>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</si>
  <si>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</si>
  <si>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</si>
  <si>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</si>
  <si>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</si>
  <si>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</si>
  <si>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</si>
  <si>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</si>
  <si>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</si>
  <si>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</si>
  <si>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</si>
  <si>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</si>
  <si>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</si>
  <si>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</si>
  <si>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</si>
  <si>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</si>
  <si>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</si>
  <si>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</si>
  <si>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</si>
  <si>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</si>
  <si>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</si>
  <si>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</si>
  <si>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</si>
  <si>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</si>
  <si>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</si>
  <si>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</si>
  <si>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</si>
  <si>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</si>
  <si>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</si>
  <si>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</si>
  <si>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</si>
  <si>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</si>
  <si>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</si>
  <si>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</si>
  <si>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</si>
  <si>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</si>
  <si>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</si>
  <si>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</si>
  <si>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</si>
  <si>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</si>
  <si>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</si>
  <si>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</si>
  <si>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</si>
  <si>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</si>
  <si>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</si>
  <si>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</si>
  <si>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</si>
  <si>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</si>
  <si>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</si>
  <si>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</si>
  <si>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</si>
  <si>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</si>
  <si>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</si>
  <si>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</si>
  <si>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</si>
  <si>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</si>
  <si>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</si>
  <si>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</si>
  <si>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</si>
  <si>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</si>
  <si>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</si>
  <si>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</si>
  <si>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</si>
  <si>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</si>
  <si>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</si>
  <si>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</si>
  <si>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</si>
  <si>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</si>
  <si>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</si>
  <si>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</si>
  <si>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</si>
  <si>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</si>
  <si>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</si>
  <si>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</si>
  <si>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</si>
  <si>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</si>
  <si>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</si>
  <si>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</si>
  <si>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</si>
  <si>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</si>
  <si>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</si>
  <si>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</si>
  <si>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</si>
  <si>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</si>
  <si>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</si>
  <si>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</si>
  <si>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</si>
  <si>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</si>
  <si>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</si>
  <si>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</si>
  <si>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</si>
  <si>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</si>
  <si>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</si>
  <si>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</si>
  <si>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</si>
  <si>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</si>
  <si>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</si>
  <si>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</si>
  <si>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</si>
  <si>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</si>
  <si>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</si>
  <si>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</si>
  <si>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</si>
  <si>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</si>
  <si>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</si>
  <si>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</si>
  <si>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</si>
  <si>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</si>
  <si>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</si>
  <si>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</si>
  <si>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</si>
  <si>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</si>
  <si>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</si>
  <si>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</si>
  <si>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</si>
  <si>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</si>
  <si>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</si>
  <si>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</si>
  <si>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</si>
  <si>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</si>
  <si>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</si>
  <si>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</si>
  <si>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</si>
  <si>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</si>
  <si>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</si>
  <si>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</si>
  <si>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</si>
  <si>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</si>
  <si>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</si>
  <si>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</si>
  <si>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</si>
  <si>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</si>
  <si>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</si>
  <si>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</si>
  <si>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</si>
  <si>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</si>
  <si>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</si>
  <si>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</si>
  <si>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</si>
  <si>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</si>
  <si>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</si>
  <si>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</si>
  <si>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</si>
  <si>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</si>
  <si>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</si>
  <si>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</si>
  <si>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</si>
  <si>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</si>
  <si>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</si>
  <si>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</si>
  <si>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</si>
  <si>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</si>
  <si>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</si>
  <si>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</si>
  <si>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</si>
  <si>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</si>
  <si>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</si>
  <si>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</si>
  <si>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</si>
  <si>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</si>
  <si>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</si>
  <si>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</si>
  <si>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</si>
  <si>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</si>
  <si>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</si>
  <si>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</si>
  <si>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</si>
  <si>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</si>
  <si>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</si>
  <si>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</si>
  <si>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</si>
  <si>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</si>
  <si>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</si>
  <si>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</si>
  <si>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</si>
  <si>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</si>
  <si>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</si>
  <si>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</si>
  <si>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</si>
  <si>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</si>
  <si>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</si>
  <si>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</si>
  <si>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</si>
  <si>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</si>
  <si>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</si>
  <si>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</si>
  <si>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</si>
  <si>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</si>
  <si>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</si>
  <si>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</si>
  <si>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</si>
  <si>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</si>
  <si>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</si>
  <si>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</si>
  <si>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</si>
  <si>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</si>
  <si>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</si>
  <si>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</si>
  <si>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</si>
  <si>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</si>
  <si>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</si>
  <si>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</si>
  <si>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</si>
  <si>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</si>
  <si>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</si>
  <si>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</si>
  <si>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</si>
  <si>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</si>
  <si>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</si>
  <si>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</si>
  <si>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</si>
  <si>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</si>
  <si>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</si>
  <si>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</si>
  <si>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</si>
  <si>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</si>
  <si>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</si>
  <si>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</si>
  <si>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</si>
  <si>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</si>
  <si>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</si>
  <si>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</si>
  <si>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</si>
  <si>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</si>
  <si>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</si>
  <si>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</si>
  <si>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</si>
  <si>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</si>
  <si>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</si>
  <si>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</si>
  <si>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</si>
  <si>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</si>
  <si>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</si>
  <si>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</si>
  <si>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</si>
  <si>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</si>
  <si>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</si>
  <si>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</si>
  <si>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</si>
  <si>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</si>
  <si>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</si>
  <si>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</si>
  <si>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</si>
  <si>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</si>
  <si>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</si>
  <si>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</si>
  <si>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</si>
  <si>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</si>
  <si>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</si>
  <si>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</si>
  <si>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</si>
  <si>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</si>
  <si>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</si>
  <si>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</si>
  <si>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</si>
  <si>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</si>
  <si>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</si>
  <si>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</si>
  <si>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</si>
  <si>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</si>
  <si>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</si>
  <si>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</si>
  <si>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</si>
  <si>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</si>
  <si>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</si>
  <si>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</si>
  <si>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</si>
  <si>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</si>
  <si>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</si>
  <si>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</si>
  <si>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</si>
  <si>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</si>
  <si>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</si>
  <si>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</si>
  <si>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</si>
  <si>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</si>
  <si>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</si>
  <si>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</si>
  <si>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</si>
  <si>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</si>
  <si>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</si>
  <si>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</si>
  <si>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</si>
  <si>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</si>
  <si>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</si>
  <si>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</si>
  <si>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</si>
  <si>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</si>
  <si>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</si>
  <si>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</si>
  <si>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</si>
  <si>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</si>
  <si>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</si>
  <si>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</si>
  <si>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</si>
  <si>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</si>
  <si>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</si>
  <si>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</si>
  <si>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</si>
  <si>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</si>
  <si>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</si>
  <si>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</si>
  <si>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</si>
  <si>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</si>
  <si>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</si>
  <si>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</si>
  <si>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</si>
  <si>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</si>
  <si>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</si>
  <si>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</si>
  <si>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</si>
  <si>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</si>
  <si>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</si>
  <si>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</si>
  <si>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</si>
  <si>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</si>
  <si>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</si>
  <si>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</si>
  <si>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</si>
  <si>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</si>
  <si>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</si>
  <si>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</si>
  <si>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</si>
  <si>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</si>
  <si>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</si>
  <si>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</si>
  <si>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</si>
  <si>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</si>
  <si>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</si>
  <si>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</si>
  <si>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</si>
  <si>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</si>
  <si>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</si>
  <si>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</si>
  <si>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</si>
  <si>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</si>
  <si>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</si>
  <si>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</si>
  <si>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</si>
  <si>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</si>
  <si>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</si>
  <si>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</si>
  <si>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</si>
  <si>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</si>
  <si>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</si>
  <si>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</si>
  <si>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</si>
  <si>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</si>
  <si>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</si>
  <si>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</si>
  <si>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</si>
  <si>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</si>
  <si>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</si>
  <si>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</si>
  <si>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</si>
  <si>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</si>
  <si>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</si>
  <si>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</si>
  <si>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</si>
  <si>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</si>
  <si>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</si>
  <si>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</si>
  <si>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</si>
  <si>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</si>
  <si>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</si>
  <si>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</si>
  <si>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</si>
  <si>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</si>
  <si>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</si>
  <si>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</si>
  <si>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</si>
  <si>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</si>
  <si>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</si>
  <si>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</si>
  <si>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</si>
  <si>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</si>
  <si>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</si>
  <si>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</si>
  <si>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</si>
  <si>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</si>
  <si>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</si>
  <si>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</si>
  <si>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</si>
  <si>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</si>
  <si>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</si>
  <si>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</si>
  <si>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</si>
  <si>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</si>
  <si>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</si>
  <si>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</si>
  <si>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</si>
  <si>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</si>
  <si>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</si>
  <si>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</si>
  <si>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</si>
  <si>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</si>
  <si>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</si>
  <si>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</si>
  <si>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</si>
  <si>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</si>
  <si>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</si>
  <si>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</si>
  <si>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</si>
  <si>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</si>
  <si>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</si>
  <si>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</si>
  <si>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</si>
  <si>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</si>
  <si>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</si>
  <si>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</si>
  <si>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</si>
  <si>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</si>
  <si>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</si>
  <si>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</si>
  <si>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</si>
  <si>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</si>
  <si>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</si>
  <si>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</si>
  <si>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</si>
  <si>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</si>
  <si>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</si>
  <si>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</si>
  <si>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</si>
  <si>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</si>
  <si>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</si>
  <si>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</si>
  <si>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</si>
  <si>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</si>
  <si>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</si>
  <si>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</si>
  <si>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</si>
  <si>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</si>
  <si>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</si>
  <si>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</si>
  <si>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</si>
  <si>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</si>
  <si>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</si>
  <si>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</si>
  <si>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</si>
  <si>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</si>
  <si>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</si>
  <si>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</si>
  <si>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</si>
  <si>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</si>
  <si>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</si>
  <si>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</si>
  <si>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</si>
  <si>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</si>
  <si>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</si>
  <si>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</si>
  <si>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</si>
  <si>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</si>
  <si>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</si>
  <si>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</si>
  <si>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</si>
  <si>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</si>
  <si>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</si>
  <si>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</si>
  <si>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</si>
  <si>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</si>
  <si>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</si>
  <si>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</si>
  <si>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</si>
  <si>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</si>
  <si>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</si>
  <si>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</si>
  <si>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</si>
  <si>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</si>
  <si>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</si>
  <si>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</si>
  <si>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</si>
  <si>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</si>
  <si>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</si>
  <si>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</si>
  <si>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</si>
  <si>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</si>
  <si>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</si>
  <si>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</si>
  <si>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</si>
  <si>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</si>
  <si>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</si>
  <si>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</si>
  <si>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</si>
  <si>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</si>
  <si>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</si>
  <si>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</si>
  <si>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</si>
  <si>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</si>
  <si>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</si>
  <si>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</si>
  <si>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</si>
  <si>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</si>
  <si>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</si>
  <si>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</si>
  <si>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</si>
  <si>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</si>
  <si>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</si>
  <si>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</si>
  <si>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</si>
  <si>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</si>
  <si>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</si>
  <si>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</si>
  <si>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</si>
  <si>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</si>
  <si>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</si>
  <si>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</si>
  <si>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</si>
  <si>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</si>
  <si>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</si>
  <si>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</si>
  <si>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</si>
  <si>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</si>
  <si>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</si>
  <si>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</si>
  <si>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</si>
  <si>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</si>
  <si>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</si>
  <si>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</si>
  <si>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</si>
  <si>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</si>
  <si>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</si>
  <si>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</si>
  <si>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</si>
  <si>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</si>
  <si>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</si>
  <si>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</si>
  <si>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</si>
  <si>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</si>
  <si>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</si>
  <si>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</si>
  <si>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</si>
  <si>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</si>
  <si>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</si>
  <si>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</si>
  <si>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</si>
  <si>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</si>
  <si>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</si>
  <si>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</si>
  <si>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</si>
  <si>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</si>
  <si>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</si>
  <si>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</si>
  <si>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</si>
  <si>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</si>
  <si>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</si>
  <si>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</si>
  <si>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</si>
  <si>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</si>
  <si>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</si>
  <si>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</si>
  <si>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</si>
  <si>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</si>
  <si>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</si>
  <si>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</si>
  <si>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</si>
  <si>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</si>
  <si>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</si>
  <si>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</si>
  <si>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</si>
  <si>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</si>
  <si>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</si>
  <si>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</si>
  <si>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</si>
  <si>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</si>
  <si>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</si>
  <si>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</si>
  <si>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</si>
  <si>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</si>
  <si>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</si>
  <si>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</si>
  <si>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</si>
  <si>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</si>
  <si>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</si>
  <si>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</si>
  <si>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</si>
  <si>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</si>
  <si>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</si>
  <si>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</si>
  <si>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</si>
  <si>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</si>
  <si>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</si>
  <si>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</si>
  <si>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</si>
  <si>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</si>
  <si>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</si>
  <si>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</si>
  <si>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</si>
  <si>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</si>
  <si>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</si>
  <si>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</si>
  <si>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</si>
  <si>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</si>
  <si>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</si>
  <si>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</si>
  <si>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</si>
  <si>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</si>
  <si>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</si>
  <si>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</si>
  <si>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</si>
  <si>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</si>
  <si>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</si>
  <si>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</si>
  <si>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</si>
  <si>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</si>
  <si>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</si>
  <si>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</si>
  <si>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</si>
  <si>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</si>
  <si>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</si>
  <si>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</si>
  <si>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</si>
  <si>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</si>
  <si>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</si>
  <si>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</si>
  <si>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</si>
  <si>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</si>
  <si>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</si>
  <si>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</si>
  <si>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</si>
  <si>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</si>
  <si>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</si>
  <si>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</si>
  <si>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</si>
  <si>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</si>
  <si>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</si>
  <si>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</si>
  <si>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</si>
  <si>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</si>
  <si>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</si>
  <si>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</si>
  <si>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</si>
  <si>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</si>
  <si>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</si>
  <si>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</si>
  <si>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</si>
  <si>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</si>
  <si>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</si>
  <si>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</si>
  <si>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</si>
  <si>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</si>
  <si>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</si>
  <si>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</si>
  <si>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</si>
  <si>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</si>
  <si>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</si>
  <si>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</si>
  <si>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</si>
  <si>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</si>
  <si>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</si>
  <si>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</si>
  <si>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</si>
  <si>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</si>
  <si>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</si>
  <si>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</si>
  <si>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</si>
  <si>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</si>
  <si>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</si>
  <si>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</si>
  <si>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</si>
  <si>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</si>
  <si>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</si>
  <si>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</si>
  <si>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</si>
  <si>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</si>
  <si>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</si>
  <si>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</si>
  <si>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</si>
  <si>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</si>
  <si>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</si>
  <si>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</si>
  <si>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</si>
  <si>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</si>
  <si>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</si>
  <si>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</si>
  <si>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</si>
  <si>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</si>
  <si>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</si>
  <si>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</si>
  <si>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</si>
  <si>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</si>
  <si>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</si>
  <si>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</si>
  <si>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</si>
  <si>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</si>
  <si>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</si>
  <si>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</si>
  <si>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</si>
  <si>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</si>
  <si>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</si>
  <si>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</si>
  <si>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</si>
  <si>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</si>
  <si>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</si>
  <si>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</si>
  <si>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</si>
  <si>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</si>
  <si>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</si>
  <si>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</si>
  <si>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</si>
  <si>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</si>
  <si>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</si>
  <si>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</si>
  <si>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</si>
  <si>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</si>
  <si>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</si>
  <si>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</si>
  <si>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</si>
  <si>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</si>
  <si>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</si>
  <si>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</si>
  <si>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</si>
  <si>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</si>
  <si>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</si>
  <si>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</si>
  <si>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</si>
  <si>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</si>
  <si>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</si>
  <si>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</si>
  <si>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</si>
  <si>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</si>
  <si>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</si>
  <si>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</si>
  <si>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</si>
  <si>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</si>
  <si>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</si>
  <si>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</si>
  <si>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</si>
  <si>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</si>
  <si>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</si>
  <si>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</si>
  <si>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</si>
  <si>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</si>
  <si>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</si>
  <si>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</si>
  <si>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</si>
  <si>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</si>
  <si>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</si>
  <si>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</si>
  <si>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</si>
  <si>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</si>
  <si>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</si>
  <si>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</si>
  <si>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</si>
  <si>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</si>
  <si>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</si>
  <si>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</si>
  <si>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</si>
  <si>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</si>
  <si>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</si>
  <si>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</si>
  <si>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</si>
  <si>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</si>
  <si>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</si>
  <si>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</si>
  <si>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</si>
  <si>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</si>
  <si>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</si>
  <si>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</si>
  <si>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</si>
  <si>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</si>
  <si>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</si>
  <si>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</si>
  <si>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</si>
  <si>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</si>
  <si>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</si>
  <si>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</si>
  <si>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</si>
  <si>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</si>
  <si>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</si>
  <si>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</si>
  <si>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</si>
  <si>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</si>
  <si>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</si>
  <si>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</si>
  <si>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</si>
  <si>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</si>
  <si>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</si>
  <si>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</si>
  <si>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</si>
  <si>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</si>
  <si>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</si>
  <si>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</si>
  <si>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</si>
  <si>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</si>
  <si>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</si>
  <si>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</si>
  <si>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</si>
  <si>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</si>
  <si>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</si>
  <si>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</si>
  <si>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</si>
  <si>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</si>
  <si>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</si>
  <si>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</si>
  <si>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</si>
  <si>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</si>
  <si>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</si>
  <si>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</si>
  <si>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</si>
  <si>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</si>
  <si>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</si>
  <si>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</si>
  <si>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</si>
  <si>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</si>
  <si>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</si>
  <si>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</si>
  <si>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</si>
  <si>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</si>
  <si>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</si>
  <si>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</si>
  <si>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</si>
  <si>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</si>
  <si>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</si>
  <si>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</si>
  <si>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</si>
  <si>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</si>
  <si>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</si>
  <si>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</si>
  <si>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</si>
  <si>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</si>
  <si>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</si>
  <si>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</si>
  <si>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</si>
  <si>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</si>
  <si>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</si>
  <si>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</si>
  <si>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</si>
  <si>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</si>
  <si>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</si>
  <si>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</si>
  <si>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</si>
  <si>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</si>
  <si>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</si>
  <si>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</si>
  <si>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</si>
  <si>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</si>
  <si>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</si>
  <si>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</si>
  <si>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</si>
  <si>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</si>
  <si>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</si>
  <si>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</si>
  <si>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</si>
  <si>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</si>
  <si>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</si>
  <si>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</si>
  <si>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</si>
  <si>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</si>
  <si>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</si>
  <si>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</si>
  <si>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</si>
  <si>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</si>
  <si>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</si>
  <si>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</si>
  <si>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</si>
  <si>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</si>
  <si>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</si>
  <si>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</si>
  <si>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</si>
  <si>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</si>
  <si>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</si>
  <si>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</si>
  <si>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</si>
  <si>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</si>
  <si>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</si>
  <si>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</si>
  <si>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</si>
  <si>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</si>
  <si>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</si>
  <si>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</si>
  <si>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</si>
  <si>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</si>
  <si>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</si>
  <si>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</si>
  <si>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</si>
  <si>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</si>
  <si>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</si>
  <si>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</si>
  <si>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</si>
  <si>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</si>
  <si>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</si>
  <si>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</si>
  <si>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</si>
  <si>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</si>
  <si>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</si>
  <si>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</si>
  <si>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</si>
  <si>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</si>
  <si>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</si>
  <si>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</si>
  <si>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</si>
  <si>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</si>
  <si>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</si>
  <si>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</si>
  <si>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</si>
  <si>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</si>
  <si>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</si>
  <si>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</si>
  <si>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</si>
  <si>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</si>
  <si>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</si>
  <si>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</si>
  <si>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</si>
  <si>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</si>
  <si>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</si>
  <si>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</si>
  <si>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</si>
  <si>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</si>
  <si>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</si>
  <si>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</si>
  <si>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</si>
  <si>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</si>
  <si>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</si>
  <si>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</si>
  <si>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</si>
  <si>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</si>
  <si>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</si>
  <si>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</si>
  <si>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</si>
  <si>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</si>
  <si>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</si>
  <si>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</si>
  <si>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</si>
  <si>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</si>
  <si>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</si>
  <si>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</si>
  <si>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</si>
  <si>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</si>
  <si>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</si>
  <si>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</si>
  <si>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</si>
  <si>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</si>
  <si>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</si>
  <si>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</si>
  <si>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</si>
  <si>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</si>
  <si>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</si>
  <si>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</si>
  <si>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</si>
  <si>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</si>
  <si>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</si>
  <si>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</si>
  <si>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</si>
  <si>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</si>
  <si>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</si>
  <si>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</si>
  <si>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</si>
  <si>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</si>
  <si>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</si>
  <si>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</si>
  <si>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</si>
  <si>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</si>
  <si>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</si>
  <si>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</si>
  <si>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</si>
  <si>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</si>
  <si>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</si>
  <si>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</si>
  <si>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</si>
  <si>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</si>
  <si>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</si>
  <si>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</si>
  <si>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</si>
  <si>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</si>
  <si>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</si>
  <si>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</si>
  <si>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</si>
  <si>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</si>
  <si>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</si>
  <si>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</si>
  <si>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</si>
  <si>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</si>
  <si>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</si>
  <si>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</si>
  <si>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</si>
  <si>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</si>
  <si>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</si>
  <si>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</si>
  <si>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</si>
  <si>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</si>
  <si>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</si>
  <si>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</si>
  <si>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</si>
  <si>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</si>
  <si>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</si>
  <si>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</si>
  <si>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</si>
  <si>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</si>
  <si>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</si>
  <si>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</si>
  <si>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</si>
  <si>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</si>
  <si>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</si>
  <si>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</si>
  <si>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</si>
  <si>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</si>
  <si>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</si>
  <si>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</si>
  <si>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</si>
  <si>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</si>
  <si>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</si>
  <si>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</si>
  <si>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</si>
  <si>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</si>
  <si>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</si>
  <si>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</si>
  <si>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</si>
  <si>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</si>
  <si>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</si>
  <si>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</si>
  <si>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</si>
  <si>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</si>
  <si>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</si>
  <si>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</si>
  <si>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</si>
  <si>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</si>
  <si>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</si>
  <si>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</si>
  <si>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</si>
  <si>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</si>
  <si>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</si>
  <si>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</si>
  <si>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</si>
  <si>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</si>
  <si>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</si>
  <si>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</si>
  <si>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</si>
  <si>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</si>
  <si>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</si>
  <si>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</si>
  <si>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</si>
  <si>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</si>
  <si>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</si>
  <si>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</si>
  <si>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</si>
  <si>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</si>
  <si>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</si>
  <si>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</si>
  <si>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</si>
  <si>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</si>
  <si>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</si>
  <si>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</si>
  <si>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</si>
  <si>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</si>
  <si>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</si>
  <si>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</si>
  <si>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</si>
  <si>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</si>
  <si>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</si>
  <si>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</si>
  <si>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</si>
  <si>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</si>
  <si>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</si>
  <si>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</si>
  <si>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</si>
  <si>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</si>
  <si>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</si>
  <si>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</si>
  <si>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</si>
  <si>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</si>
  <si>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</si>
  <si>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</si>
  <si>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</si>
  <si>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</si>
  <si>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</si>
  <si>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</si>
  <si>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</si>
  <si>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</si>
  <si>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</si>
  <si>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</si>
  <si>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</si>
  <si>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</si>
  <si>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</si>
  <si>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</si>
  <si>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</si>
  <si>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</si>
  <si>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</si>
  <si>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</si>
  <si>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</si>
  <si>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</si>
  <si>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</si>
  <si>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</si>
  <si>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</si>
  <si>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</si>
  <si>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</si>
  <si>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</si>
  <si>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</si>
  <si>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</si>
  <si>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</si>
  <si>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</si>
  <si>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</si>
  <si>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</si>
  <si>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</si>
  <si>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</si>
  <si>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</si>
  <si>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</si>
  <si>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</si>
  <si>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</si>
  <si>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</si>
  <si>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</si>
  <si>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</si>
  <si>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</si>
  <si>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</si>
  <si>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</si>
  <si>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</si>
  <si>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</si>
  <si>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</si>
  <si>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</si>
  <si>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</si>
  <si>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</si>
  <si>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</si>
  <si>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</si>
  <si>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</si>
  <si>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</si>
  <si>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</si>
  <si>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</si>
  <si>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</si>
  <si>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</si>
  <si>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</si>
  <si>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</si>
  <si>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</si>
  <si>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</si>
  <si>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</si>
  <si>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</si>
  <si>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</si>
  <si>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</si>
  <si>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</si>
  <si>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</si>
  <si>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</si>
  <si>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</si>
  <si>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</si>
  <si>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</si>
  <si>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</si>
  <si>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</si>
  <si>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</si>
  <si>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</si>
  <si>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</si>
  <si>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</si>
  <si>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</si>
  <si>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</si>
  <si>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</si>
  <si>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</si>
  <si>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</si>
  <si>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</si>
  <si>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</si>
  <si>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</si>
  <si>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</si>
  <si>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</si>
  <si>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</si>
  <si>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</si>
  <si>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</si>
  <si>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</si>
  <si>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</si>
  <si>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</si>
  <si>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</si>
  <si>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</si>
  <si>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</si>
  <si>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</si>
  <si>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</si>
  <si>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</si>
  <si>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</si>
  <si>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</si>
  <si>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</si>
  <si>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</si>
  <si>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</si>
  <si>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</si>
  <si>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</si>
  <si>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</si>
  <si>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</si>
  <si>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</si>
  <si>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</si>
  <si>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</si>
  <si>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</si>
  <si>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</si>
  <si>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</si>
  <si>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</si>
  <si>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</si>
  <si>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</si>
  <si>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</si>
  <si>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</si>
  <si>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</si>
  <si>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</si>
  <si>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</si>
  <si>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</si>
  <si>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</si>
  <si>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</si>
  <si>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</si>
  <si>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</si>
  <si>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</si>
  <si>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</si>
  <si>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</si>
  <si>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</si>
  <si>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</si>
  <si>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</si>
  <si>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</si>
  <si>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</si>
  <si>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</si>
  <si>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</si>
  <si>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</si>
  <si>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</si>
  <si>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</si>
  <si>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</si>
  <si>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</si>
  <si>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</si>
  <si>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</si>
  <si>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</si>
  <si>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</si>
  <si>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</si>
  <si>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</si>
  <si>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</si>
  <si>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</si>
  <si>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</si>
  <si>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</si>
  <si>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</si>
  <si>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</si>
  <si>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</si>
  <si>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</si>
  <si>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</si>
  <si>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</si>
  <si>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</si>
  <si>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</si>
  <si>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</si>
  <si>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</si>
  <si>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</si>
  <si>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</si>
  <si>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</si>
  <si>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</si>
  <si>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</si>
  <si>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</si>
  <si>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</si>
  <si>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</si>
  <si>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</si>
  <si>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</si>
  <si>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</si>
  <si>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</si>
  <si>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</si>
  <si>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</si>
  <si>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</si>
  <si>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</si>
  <si>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</si>
  <si>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</si>
  <si>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</si>
  <si>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</si>
  <si>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</si>
  <si>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</si>
  <si>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</si>
  <si>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</si>
  <si>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</si>
  <si>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</si>
  <si>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</si>
  <si>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</si>
  <si>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</si>
  <si>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</si>
  <si>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</si>
  <si>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</si>
  <si>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</si>
  <si>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</si>
  <si>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</si>
  <si>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</si>
  <si>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</si>
  <si>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</si>
  <si>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</si>
  <si>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</si>
  <si>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</si>
  <si>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</si>
  <si>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</si>
  <si>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</si>
  <si>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</si>
  <si>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</si>
  <si>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</si>
  <si>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</si>
  <si>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</si>
  <si>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</si>
  <si>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</si>
  <si>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</si>
  <si>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</si>
  <si>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</si>
  <si>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</si>
  <si>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</si>
  <si>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</si>
  <si>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</si>
  <si>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</si>
  <si>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</si>
  <si>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</si>
  <si>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</si>
  <si>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</si>
  <si>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</si>
  <si>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</si>
  <si>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</si>
  <si>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</si>
  <si>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</si>
  <si>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</si>
  <si>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</si>
  <si>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</si>
  <si>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</si>
  <si>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</si>
  <si>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</si>
  <si>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</si>
  <si>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</si>
  <si>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</si>
  <si>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</si>
  <si>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</si>
  <si>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</si>
  <si>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</si>
  <si>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</si>
  <si>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</si>
  <si>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</si>
  <si>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</si>
  <si>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</si>
  <si>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</si>
  <si>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</si>
  <si>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</si>
  <si>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</si>
  <si>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</si>
  <si>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</si>
  <si>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</si>
  <si>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</si>
  <si>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</si>
  <si>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</si>
  <si>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</si>
  <si>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</si>
  <si>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</si>
  <si>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</si>
  <si>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</si>
  <si>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</si>
  <si>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</si>
  <si>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</si>
  <si>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</si>
  <si>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</si>
  <si>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</si>
  <si>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</si>
  <si>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</si>
  <si>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</si>
  <si>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</si>
  <si>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</si>
  <si>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</si>
  <si>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</si>
  <si>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</si>
  <si>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</si>
  <si>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</si>
  <si>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</si>
  <si>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</si>
  <si>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</si>
  <si>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</si>
  <si>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</si>
  <si>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</si>
  <si>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</si>
  <si>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</si>
  <si>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</si>
  <si>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</si>
  <si>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</si>
  <si>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</si>
  <si>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</si>
  <si>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</si>
  <si>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</si>
  <si>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</si>
  <si>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</si>
  <si>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</si>
  <si>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</si>
  <si>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</si>
  <si>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</si>
  <si>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</si>
  <si>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</si>
  <si>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</si>
  <si>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</si>
  <si>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</si>
  <si>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</si>
  <si>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</si>
  <si>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</si>
  <si>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</si>
  <si>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</si>
  <si>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</si>
  <si>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</si>
  <si>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</si>
  <si>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</si>
  <si>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</si>
  <si>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</si>
  <si>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</si>
  <si>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</si>
  <si>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</si>
  <si>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</si>
  <si>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</si>
  <si>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</si>
  <si>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</si>
  <si>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</si>
  <si>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</si>
  <si>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</si>
  <si>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</si>
  <si>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</si>
  <si>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</si>
  <si>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</si>
  <si>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</si>
  <si>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</si>
  <si>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</si>
  <si>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</si>
  <si>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</si>
  <si>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</si>
  <si>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</si>
  <si>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</si>
  <si>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</si>
  <si>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</si>
  <si>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</si>
  <si>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</si>
  <si>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</si>
  <si>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</si>
  <si>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</si>
  <si>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</si>
  <si>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</si>
  <si>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</si>
  <si>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</si>
  <si>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</si>
  <si>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</si>
  <si>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</si>
  <si>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</si>
  <si>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</si>
  <si>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</si>
  <si>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</si>
  <si>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</si>
  <si>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</si>
  <si>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</si>
  <si>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</si>
  <si>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</si>
  <si>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</si>
  <si>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</si>
  <si>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</si>
  <si>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</si>
  <si>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</si>
  <si>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</si>
  <si>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</si>
  <si>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</si>
  <si>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</si>
  <si>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</si>
  <si>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</si>
  <si>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</si>
  <si>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</si>
  <si>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</si>
  <si>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</si>
  <si>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</si>
  <si>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</si>
  <si>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</si>
  <si>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</si>
  <si>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</si>
  <si>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</si>
  <si>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</si>
  <si>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</si>
  <si>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</si>
  <si>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</si>
  <si>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</si>
  <si>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</si>
  <si>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</si>
  <si>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</si>
  <si>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</si>
  <si>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</si>
  <si>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</si>
  <si>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</si>
  <si>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</si>
  <si>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</si>
  <si>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</si>
  <si>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</si>
  <si>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</si>
  <si>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</si>
  <si>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</si>
  <si>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</si>
  <si>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</si>
  <si>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</si>
  <si>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</si>
  <si>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</si>
  <si>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</si>
  <si>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</si>
  <si>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</si>
  <si>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</si>
  <si>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</si>
  <si>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</si>
  <si>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</si>
  <si>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</si>
  <si>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</si>
  <si>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</si>
  <si>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</si>
  <si>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</si>
  <si>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</si>
  <si>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</si>
  <si>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</si>
  <si>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</si>
  <si>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</si>
  <si>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</si>
  <si>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</si>
  <si>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</si>
  <si>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</si>
  <si>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</si>
  <si>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</si>
  <si>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</si>
  <si>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</si>
  <si>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</si>
  <si>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</si>
  <si>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</si>
  <si>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</si>
  <si>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</si>
  <si>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</si>
  <si>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</si>
  <si>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</si>
  <si>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</si>
  <si>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</si>
  <si>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</si>
  <si>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</si>
  <si>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</si>
  <si>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</si>
  <si>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</si>
  <si>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</si>
  <si>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</si>
  <si>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</si>
  <si>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</si>
  <si>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</si>
  <si>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</si>
  <si>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</si>
  <si>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</si>
  <si>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</si>
  <si>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</si>
  <si>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</si>
  <si>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</si>
  <si>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</si>
  <si>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</si>
  <si>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</si>
  <si>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</si>
  <si>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</si>
  <si>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</si>
  <si>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</si>
  <si>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</si>
  <si>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</si>
  <si>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</si>
  <si>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</si>
  <si>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</si>
  <si>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</si>
  <si>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</si>
  <si>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</si>
  <si>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</si>
  <si>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</si>
  <si>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</si>
  <si>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</si>
  <si>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</si>
  <si>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</si>
  <si>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</si>
  <si>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</si>
  <si>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</si>
  <si>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</si>
  <si>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</si>
  <si>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</si>
  <si>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</si>
  <si>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</si>
  <si>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</si>
  <si>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</si>
  <si>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</si>
  <si>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</si>
  <si>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</si>
  <si>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</si>
  <si>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</si>
  <si>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</si>
  <si>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</si>
  <si>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</si>
  <si>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</si>
  <si>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</si>
  <si>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</si>
  <si>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</si>
  <si>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</si>
  <si>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</si>
  <si>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</si>
  <si>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</si>
  <si>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</si>
  <si>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</si>
  <si>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</si>
  <si>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</si>
  <si>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</si>
  <si>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</si>
  <si>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</si>
  <si>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</si>
  <si>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</si>
  <si>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</si>
  <si>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</si>
  <si>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</si>
  <si>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</si>
  <si>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</si>
  <si>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</si>
  <si>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</si>
  <si>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</si>
  <si>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</si>
  <si>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</si>
  <si>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</si>
  <si>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</si>
  <si>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</si>
  <si>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</si>
  <si>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</si>
  <si>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</si>
  <si>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</si>
  <si>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</si>
  <si>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</si>
  <si>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</si>
  <si>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</si>
  <si>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</si>
  <si>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</si>
  <si>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</si>
  <si>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</si>
  <si>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</si>
  <si>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</si>
  <si>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</si>
  <si>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</si>
  <si>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</si>
  <si>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</si>
  <si>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</si>
  <si>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</si>
  <si>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</si>
  <si>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</si>
  <si>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</si>
  <si>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</si>
  <si>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</si>
  <si>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</si>
  <si>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</si>
  <si>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</si>
  <si>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</si>
  <si>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</si>
  <si>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</si>
  <si>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</si>
  <si>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</si>
  <si>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</si>
  <si>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</si>
  <si>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</si>
  <si>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</si>
  <si>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</si>
  <si>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</si>
  <si>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</si>
  <si>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</si>
  <si>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</si>
  <si>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</si>
  <si>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</si>
  <si>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</si>
  <si>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</si>
  <si>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</si>
  <si>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</si>
  <si>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</si>
  <si>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</si>
  <si>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</si>
  <si>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</si>
  <si>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</si>
  <si>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</si>
  <si>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</si>
  <si>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</si>
  <si>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</si>
  <si>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</si>
  <si>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</si>
  <si>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</si>
  <si>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</si>
  <si>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</si>
  <si>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</si>
  <si>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</si>
  <si>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</si>
  <si>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</si>
  <si>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</si>
  <si>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</si>
  <si>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</si>
  <si>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</si>
  <si>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</si>
  <si>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</si>
  <si>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</si>
  <si>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</si>
  <si>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</si>
  <si>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</si>
  <si>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</si>
  <si>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</si>
  <si>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</si>
  <si>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</si>
  <si>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</si>
  <si>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</si>
  <si>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</si>
  <si>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</si>
  <si>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</si>
  <si>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</si>
  <si>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</si>
  <si>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</si>
  <si>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</si>
  <si>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</si>
  <si>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</si>
  <si>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</si>
  <si>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</si>
  <si>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</si>
  <si>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</si>
  <si>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</si>
  <si>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</si>
  <si>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</si>
  <si>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</si>
  <si>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</si>
  <si>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</si>
  <si>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</si>
  <si>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</si>
  <si>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</si>
  <si>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</si>
  <si>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</si>
  <si>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</si>
  <si>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</si>
  <si>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</si>
  <si>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</si>
  <si>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</si>
  <si>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</si>
  <si>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</si>
  <si>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</si>
  <si>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</si>
  <si>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</si>
  <si>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</si>
  <si>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</si>
  <si>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</si>
  <si>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</si>
  <si>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</si>
  <si>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</si>
  <si>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</si>
  <si>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</si>
  <si>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</si>
  <si>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</si>
  <si>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</si>
  <si>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</si>
  <si>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</si>
  <si>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</si>
  <si>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</si>
  <si>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</si>
  <si>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</si>
  <si>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</si>
  <si>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</si>
  <si>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</si>
  <si>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</si>
  <si>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</si>
  <si>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</si>
  <si>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</si>
  <si>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</si>
  <si>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</si>
  <si>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</si>
  <si>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</si>
  <si>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</si>
  <si>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</si>
  <si>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</si>
  <si>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</si>
  <si>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</si>
  <si>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</si>
  <si>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</si>
  <si>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</si>
  <si>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</si>
  <si>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</si>
  <si>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</si>
  <si>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</si>
  <si>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</si>
  <si>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</si>
  <si>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</si>
  <si>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</si>
  <si>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</si>
  <si>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</si>
  <si>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</si>
  <si>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</si>
  <si>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</si>
  <si>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</si>
  <si>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</si>
  <si>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</si>
  <si>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</si>
  <si>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</si>
  <si>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</si>
  <si>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</si>
  <si>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</si>
  <si>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</si>
  <si>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</si>
  <si>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</si>
  <si>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</si>
  <si>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</si>
  <si>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</si>
  <si>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</si>
  <si>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</si>
  <si>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</si>
  <si>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</si>
  <si>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</si>
  <si>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</si>
  <si>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</si>
  <si>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</si>
  <si>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</si>
  <si>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</si>
  <si>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</si>
  <si>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</si>
  <si>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</si>
  <si>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</si>
  <si>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</si>
  <si>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</si>
  <si>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</si>
  <si>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</si>
  <si>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</si>
  <si>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</si>
  <si>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</si>
  <si>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</si>
  <si>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</si>
  <si>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</si>
  <si>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</si>
  <si>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</si>
  <si>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</si>
  <si>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</si>
  <si>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</si>
  <si>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</si>
  <si>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</si>
  <si>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</si>
  <si>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</si>
  <si>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</si>
  <si>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</si>
  <si>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</si>
  <si>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</si>
  <si>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</si>
  <si>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</si>
  <si>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</si>
  <si>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</si>
  <si>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</si>
  <si>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</si>
  <si>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</si>
  <si>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</si>
  <si>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</si>
  <si>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</si>
  <si>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</si>
  <si>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</si>
  <si>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</si>
  <si>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</si>
  <si>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</si>
  <si>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</si>
  <si>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</si>
  <si>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</si>
  <si>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</si>
  <si>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</si>
  <si>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</si>
  <si>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</si>
  <si>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</si>
  <si>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</si>
  <si>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</si>
  <si>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</si>
  <si>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</si>
  <si>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</si>
  <si>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</si>
  <si>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</si>
  <si>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</si>
  <si>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</si>
  <si>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</si>
  <si>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</si>
  <si>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</si>
  <si>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</si>
  <si>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</si>
  <si>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</si>
  <si>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</si>
  <si>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</si>
  <si>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</si>
  <si>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</si>
  <si>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</si>
  <si>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</si>
  <si>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</si>
  <si>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</si>
  <si>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</si>
  <si>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</si>
  <si>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</si>
  <si>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</si>
  <si>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</si>
  <si>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</si>
  <si>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</si>
  <si>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</si>
  <si>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</si>
  <si>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</si>
  <si>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</si>
  <si>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</si>
  <si>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</si>
  <si>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</si>
  <si>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</si>
  <si>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</si>
  <si>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</si>
  <si>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</si>
  <si>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</si>
  <si>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</si>
  <si>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</si>
  <si>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</si>
  <si>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</si>
  <si>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</si>
  <si>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</si>
  <si>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</si>
  <si>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</si>
  <si>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</si>
  <si>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</si>
  <si>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</si>
  <si>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</si>
  <si>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</si>
  <si>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</si>
  <si>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</si>
  <si>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</si>
  <si>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</si>
  <si>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</si>
  <si>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</si>
  <si>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</si>
  <si>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</si>
  <si>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</si>
  <si>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</si>
  <si>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</si>
  <si>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</si>
  <si>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</si>
  <si>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</si>
  <si>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</si>
  <si>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</si>
  <si>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</si>
  <si>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</si>
  <si>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</si>
  <si>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</si>
  <si>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</si>
  <si>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</si>
  <si>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</si>
  <si>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</si>
  <si>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</si>
  <si>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</si>
  <si>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</si>
  <si>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</si>
  <si>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</si>
  <si>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</si>
  <si>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</si>
  <si>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</si>
  <si>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</si>
  <si>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</si>
  <si>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</si>
  <si>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</si>
  <si>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</si>
  <si>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</si>
  <si>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</si>
  <si>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</si>
  <si>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</si>
  <si>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</si>
  <si>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</si>
  <si>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</si>
  <si>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</si>
  <si>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Henderson</t>
  </si>
  <si>
    <t>Biggsville</t>
  </si>
  <si>
    <t>markey-paula@wc235.k12.il.us</t>
  </si>
  <si>
    <t>Mrs. Paula Markey</t>
  </si>
  <si>
    <t>309-627-2371</t>
  </si>
  <si>
    <t>309-627-2453</t>
  </si>
  <si>
    <t>Cavanaugh, Davies, Blackman &amp; Cramblet, CPA's</t>
  </si>
  <si>
    <t>Rod Davies</t>
  </si>
  <si>
    <t>1021 North Main Street, PO Box 318</t>
  </si>
  <si>
    <t>Monmouth</t>
  </si>
  <si>
    <t>IL</t>
  </si>
  <si>
    <t>309-734-2330</t>
  </si>
  <si>
    <t>309-734-2349</t>
  </si>
  <si>
    <t>cdbccpas@monmouthcpa.com</t>
  </si>
  <si>
    <t>Mrs. Jodi Scott</t>
  </si>
  <si>
    <t>309-734-6822</t>
  </si>
  <si>
    <t>309-734-2452</t>
  </si>
  <si>
    <t>Cavanaugh, Davies, Blackman &amp; Cramblet</t>
  </si>
  <si>
    <t>NEXTERA Energy/Constellation</t>
  </si>
  <si>
    <t>Western Area Plan</t>
  </si>
  <si>
    <t>Delabar CTE System</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</si>
  <si>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</si>
  <si>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</si>
  <si>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</si>
  <si>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</si>
  <si>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</si>
  <si>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District to hire extra bookkeeping personnel at this time.</t>
  </si>
  <si>
    <t>2018-001</t>
  </si>
  <si>
    <t>Inadequate Segregation of Duties</t>
  </si>
  <si>
    <t>Repeat Finding - Corrective Action is not Practical</t>
  </si>
  <si>
    <t>in the Current Circumstances.</t>
  </si>
  <si>
    <t>Education Fund</t>
  </si>
  <si>
    <t>Other District/School Activity Revenue #1790, Page 10, Line 81</t>
  </si>
  <si>
    <t>Other Local Revenues #1999, Page 11, Line 107</t>
  </si>
  <si>
    <t>Operations and Maintenance Fund</t>
  </si>
  <si>
    <t>Debt Services Fund</t>
  </si>
  <si>
    <t>Debt Service - other #5400, Page 18, Line 171</t>
  </si>
  <si>
    <t>Other local Revenues #1999, Page 11, Line 107</t>
  </si>
  <si>
    <t>Schedule of Restricted Local Tax Levies and Selected Revenue Sources</t>
  </si>
  <si>
    <t>Midwest Bus Sales Inc</t>
  </si>
  <si>
    <t>40-2550-300</t>
  </si>
  <si>
    <t>2013 General Obligation Life Safety Bonds</t>
  </si>
  <si>
    <t>2016 General Obligation Life Safety Bonds</t>
  </si>
  <si>
    <t>Sales to Pupils - Other #1614, Page 10, Line 72</t>
  </si>
  <si>
    <t>$3,816  Milk Money</t>
  </si>
  <si>
    <t>$435  Enrichment Program</t>
  </si>
  <si>
    <t>Sales - Other  #1829, Page 10, Line 91</t>
  </si>
  <si>
    <t>$1,050 Chromebook Sales</t>
  </si>
  <si>
    <t>$45,877  E-Rate</t>
  </si>
  <si>
    <t>$1,538  Sub Reimbursement</t>
  </si>
  <si>
    <t>$592  Refunds</t>
  </si>
  <si>
    <t>Other Restricted Revenue from State Sources #3999, Page 12, Line 168</t>
  </si>
  <si>
    <t>$750  State Library Grant</t>
  </si>
  <si>
    <t>Title I - Other #4399, Page 13, Line 203</t>
  </si>
  <si>
    <t xml:space="preserve">$10,233  #4331 Title I - School Improvement </t>
  </si>
  <si>
    <t>$562  Restitution</t>
  </si>
  <si>
    <t>$318  Bond Administrative Fees</t>
  </si>
  <si>
    <t>$189  Refunds</t>
  </si>
  <si>
    <t>Other Disbursements, Page 25, Line 22</t>
  </si>
  <si>
    <t>$53,502  Special Education Tuition</t>
  </si>
  <si>
    <t>$20,000  Permanent Transfer to Operation and Maintenance Fund</t>
  </si>
  <si>
    <t>$2,605  Benefits &amp; Supplies</t>
  </si>
  <si>
    <t>Illinois Compiled Statutes require all key administrative employees, including teachers holding an administrative certificate earning over $50,000, and board members to file economic interest statements with the office of the County Clerk by May 1st.</t>
  </si>
  <si>
    <t>No employees or board members filed economic interest statements by May 1st.</t>
  </si>
  <si>
    <t>A staff member should be appointed to make sure that the required economic interest statements are filed on a timely basis.</t>
  </si>
  <si>
    <t>A staff member was advised by the county that the economic interest statements could be filed after the next board meeting, which was after the May 1st deadline.</t>
  </si>
  <si>
    <t>Other Payments to In-State Govt. Units #4190, Page 16, Line 83</t>
  </si>
  <si>
    <t>$2,144  Return 2018 Ag Education Grant to ISBE</t>
  </si>
  <si>
    <t>Trans-Pupil Transportation-Purchased Services</t>
  </si>
  <si>
    <t>1514 Old US Rt 34</t>
  </si>
  <si>
    <t>Illinois Public Funds Deposit Act requires that the District's funds deposited in financial institutions must be insured or secured with acceptable collateral.  Acceptable collateral includes certain U.S. Government or government agency securities, certain state or political subdivision debt obligations, surety bonds, or certain letters of credit.</t>
  </si>
  <si>
    <t>The treasurer and office personnel should monitor the District's cash positions in local banks to ensure adequate deposit insurance and acceptable collateral.</t>
  </si>
  <si>
    <t>The superintendent will appoint an office staff member to monitor bank balances and levels of bank collateralization.</t>
  </si>
  <si>
    <t>West Central Special Ed Co-op</t>
  </si>
  <si>
    <t>Western Area Purchasing Co-op</t>
  </si>
  <si>
    <t>At year end, $6,102 of the District's uninsured deposits were not collateralized.</t>
  </si>
  <si>
    <t xml:space="preserve">A superintendent's office staff member will remind employees and board members that economic interest statements need to be filed by May 1st. </t>
  </si>
  <si>
    <t>jscott@roe33.net</t>
  </si>
  <si>
    <t>PDF in Opinion Tab with Signature</t>
  </si>
  <si>
    <t>West Central CUSD 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</si>
</sst>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8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0" fontId="55" fillId="0" borderId="0" xfId="3" applyFont="1" applyAlignment="1" applyProtection="1">
      <alignment horizontal="center" vertical="center"/>
    </xf>
    <xf numFmtId="164" fontId="66" fillId="0" borderId="0" xfId="0" applyNumberFormat="1" applyFont="1"/>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1</xdr:col>
          <xdr:colOff>981075</xdr:colOff>
          <xdr:row>10</xdr:row>
          <xdr:rowOff>9525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4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1108363</xdr:colOff>
          <xdr:row>5</xdr:row>
          <xdr:rowOff>130752</xdr:rowOff>
        </xdr:from>
        <xdr:to>
          <xdr:col>1</xdr:col>
          <xdr:colOff>2022763</xdr:colOff>
          <xdr:row>10</xdr:row>
          <xdr:rowOff>4330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4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2152650</xdr:colOff>
          <xdr:row>5</xdr:row>
          <xdr:rowOff>134215</xdr:rowOff>
        </xdr:from>
        <xdr:to>
          <xdr:col>1</xdr:col>
          <xdr:colOff>3067050</xdr:colOff>
          <xdr:row>10</xdr:row>
          <xdr:rowOff>7793</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1400-000003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5" t="s">
        <v>1943</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2065</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2065</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33036235026</v>
      </c>
      <c r="B13" s="1988"/>
      <c r="C13" s="1988"/>
      <c r="D13" s="1988"/>
      <c r="E13" s="1988"/>
      <c r="F13" s="1988"/>
      <c r="G13" s="1988"/>
      <c r="H13" s="1989"/>
      <c r="I13" s="31"/>
      <c r="J13" s="30"/>
      <c r="K13" s="28"/>
      <c r="L13" s="30"/>
      <c r="M13" s="30"/>
      <c r="N13" s="30"/>
      <c r="O13" s="30"/>
      <c r="P13" s="30"/>
      <c r="Q13" s="30"/>
      <c r="R13" s="30"/>
      <c r="S13" s="30"/>
      <c r="T13" s="1992" t="s">
        <v>2072</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2066</v>
      </c>
      <c r="B15" s="1990"/>
      <c r="C15" s="1990"/>
      <c r="D15" s="1990"/>
      <c r="E15" s="1990"/>
      <c r="F15" s="1990"/>
      <c r="G15" s="1990"/>
      <c r="H15" s="1991"/>
      <c r="T15" s="1953" t="s">
        <v>2073</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2145</v>
      </c>
      <c r="B17" s="2015"/>
      <c r="C17" s="2015"/>
      <c r="D17" s="2015"/>
      <c r="E17" s="2015"/>
      <c r="F17" s="2015"/>
      <c r="G17" s="2015"/>
      <c r="H17" s="2016"/>
      <c r="T17" s="2002" t="s">
        <v>2074</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2135</v>
      </c>
      <c r="B19" s="1986"/>
      <c r="C19" s="1986"/>
      <c r="D19" s="1986"/>
      <c r="E19" s="1986"/>
      <c r="F19" s="1986"/>
      <c r="G19" s="1986"/>
      <c r="H19" s="1984"/>
      <c r="I19" s="30"/>
      <c r="J19" s="99"/>
      <c r="K19" s="40"/>
      <c r="L19" s="38"/>
      <c r="M19" s="112" t="s">
        <v>315</v>
      </c>
      <c r="P19" s="27"/>
      <c r="Q19" s="27"/>
      <c r="R19" s="27"/>
      <c r="S19" s="31"/>
      <c r="T19" s="1985" t="s">
        <v>2075</v>
      </c>
      <c r="U19" s="1983"/>
      <c r="V19" s="1983"/>
      <c r="W19" s="1984"/>
      <c r="X19" s="2000" t="s">
        <v>2076</v>
      </c>
      <c r="Y19" s="2001"/>
      <c r="Z19" s="1998">
        <v>61462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2067</v>
      </c>
      <c r="B21" s="1983"/>
      <c r="C21" s="1983"/>
      <c r="D21" s="1983"/>
      <c r="E21" s="1983"/>
      <c r="F21" s="1983"/>
      <c r="G21" s="1983"/>
      <c r="H21" s="1984"/>
      <c r="I21" s="2008" t="s">
        <v>678</v>
      </c>
      <c r="J21" s="1971"/>
      <c r="K21" s="1971"/>
      <c r="L21" s="1971"/>
      <c r="M21" s="1971"/>
      <c r="N21" s="1971"/>
      <c r="O21" s="1971"/>
      <c r="P21" s="1971"/>
      <c r="Q21" s="1971"/>
      <c r="R21" s="1971"/>
      <c r="S21" s="1972"/>
      <c r="T21" s="1950" t="s">
        <v>2077</v>
      </c>
      <c r="U21" s="1951"/>
      <c r="V21" s="1951"/>
      <c r="W21" s="1951"/>
      <c r="X21" s="1964" t="s">
        <v>2078</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t="s">
        <v>2068</v>
      </c>
      <c r="B23" s="2006"/>
      <c r="C23" s="2006"/>
      <c r="D23" s="2006"/>
      <c r="E23" s="2006"/>
      <c r="F23" s="2006"/>
      <c r="G23" s="2006"/>
      <c r="H23" s="2007"/>
      <c r="T23" s="1945">
        <v>60.008476000000002</v>
      </c>
      <c r="U23" s="1946"/>
      <c r="V23" s="1946"/>
      <c r="W23" s="1946"/>
      <c r="X23" s="1961">
        <v>44562</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61418</v>
      </c>
      <c r="B25" s="1983"/>
      <c r="C25" s="1983"/>
      <c r="D25" s="1983"/>
      <c r="E25" s="1983"/>
      <c r="F25" s="1983"/>
      <c r="G25" s="1983"/>
      <c r="H25" s="1984"/>
      <c r="I25" s="113"/>
      <c r="J25" s="2049"/>
      <c r="K25" s="2049"/>
      <c r="L25" s="2049"/>
      <c r="M25" s="2049"/>
      <c r="N25" s="2049"/>
      <c r="O25" s="2049"/>
      <c r="P25" s="2049"/>
      <c r="Q25" s="2049"/>
      <c r="R25" s="2049"/>
      <c r="S25" s="2050"/>
      <c r="T25" s="1942" t="s">
        <v>2079</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2069</v>
      </c>
      <c r="B38" s="2015"/>
      <c r="C38" s="2015"/>
      <c r="D38" s="2015"/>
      <c r="E38" s="2015"/>
      <c r="F38" s="1983"/>
      <c r="G38" s="1983"/>
      <c r="H38" s="1984"/>
      <c r="I38" s="2034"/>
      <c r="J38" s="1954"/>
      <c r="K38" s="1954"/>
      <c r="L38" s="1954"/>
      <c r="M38" s="1954"/>
      <c r="N38" s="1954"/>
      <c r="O38" s="1954"/>
      <c r="P38" s="1955"/>
      <c r="Q38" s="1955"/>
      <c r="R38" s="1955"/>
      <c r="S38" s="1956"/>
      <c r="T38" s="1953" t="s">
        <v>2080</v>
      </c>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2068</v>
      </c>
      <c r="B40" s="2042"/>
      <c r="C40" s="2043"/>
      <c r="D40" s="2043"/>
      <c r="E40" s="2043"/>
      <c r="F40" s="2044"/>
      <c r="G40" s="2044"/>
      <c r="H40" s="2045"/>
      <c r="I40" s="1957"/>
      <c r="J40" s="1959"/>
      <c r="K40" s="1959"/>
      <c r="L40" s="1959"/>
      <c r="M40" s="1959"/>
      <c r="N40" s="1959"/>
      <c r="O40" s="1959"/>
      <c r="P40" s="1959"/>
      <c r="Q40" s="1959"/>
      <c r="R40" s="1959"/>
      <c r="S40" s="1960"/>
      <c r="T40" s="1957" t="s">
        <v>2143</v>
      </c>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2070</v>
      </c>
      <c r="B42" s="2032"/>
      <c r="C42" s="2033"/>
      <c r="D42" s="2046" t="s">
        <v>2071</v>
      </c>
      <c r="E42" s="2032"/>
      <c r="F42" s="2032"/>
      <c r="G42" s="2032"/>
      <c r="H42" s="2033"/>
      <c r="I42" s="1952"/>
      <c r="J42" s="1948"/>
      <c r="K42" s="1948"/>
      <c r="L42" s="1948"/>
      <c r="M42" s="1948"/>
      <c r="N42" s="1948"/>
      <c r="O42" s="1949"/>
      <c r="P42" s="1947"/>
      <c r="Q42" s="1948"/>
      <c r="R42" s="1948"/>
      <c r="S42" s="1949"/>
      <c r="T42" s="1952" t="s">
        <v>2081</v>
      </c>
      <c r="U42" s="1948"/>
      <c r="V42" s="1948"/>
      <c r="W42" s="1949"/>
      <c r="X42" s="1947" t="s">
        <v>2082</v>
      </c>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2065</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2083</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2144</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2" colorId="8" zoomScale="110" zoomScaleNormal="110" workbookViewId="0">
      <selection activeCell="X24" sqref="X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144613446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2.5972700000000001E-2</v>
      </c>
      <c r="E10" s="356" t="s">
        <v>1005</v>
      </c>
      <c r="F10" s="355">
        <v>6.4999999999999997E-3</v>
      </c>
      <c r="G10" s="356" t="s">
        <v>1005</v>
      </c>
      <c r="H10" s="355">
        <v>2E-3</v>
      </c>
      <c r="I10" s="356" t="s">
        <v>1006</v>
      </c>
      <c r="J10" s="1731">
        <f>ROUND(D10+F10+H10,5)</f>
        <v>3.4470000000000001E-2</v>
      </c>
      <c r="K10" s="222"/>
      <c r="L10" s="355">
        <v>1.3829999999999999E-3</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8506736</v>
      </c>
      <c r="E16" s="356"/>
      <c r="F16" s="1732">
        <f>SUM('Acct Summary 7-8'!C17,'Acct Summary 7-8'!D17,'Acct Summary 7-8'!F17)</f>
        <v>7822214</v>
      </c>
      <c r="G16" s="356"/>
      <c r="H16" s="1732">
        <f>SUM(D16-F16)</f>
        <v>684522</v>
      </c>
      <c r="I16" s="222"/>
      <c r="J16" s="1732">
        <f>SUM('Acct Summary 7-8'!C81,'Acct Summary 7-8'!D81,'Acct Summary 7-8'!F81,'Acct Summary 7-8'!I81)</f>
        <v>9041997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19956655.548</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2875150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8"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 Central CUSD 235</v>
      </c>
      <c r="E7" s="391"/>
      <c r="G7" s="252"/>
      <c r="H7" s="387"/>
      <c r="I7" s="387"/>
      <c r="J7" s="387"/>
      <c r="K7" s="387"/>
      <c r="L7" s="329"/>
      <c r="M7" s="329"/>
      <c r="N7" s="329"/>
      <c r="O7" s="329"/>
      <c r="P7" s="329"/>
    </row>
    <row r="8" spans="1:18" ht="12.75" x14ac:dyDescent="0.2">
      <c r="A8" s="329"/>
      <c r="B8" s="329"/>
      <c r="C8" s="389" t="s">
        <v>1125</v>
      </c>
      <c r="D8" s="392">
        <f>COVER!A13</f>
        <v>33036235026</v>
      </c>
      <c r="E8" s="393"/>
      <c r="G8" s="329"/>
      <c r="H8" s="329"/>
      <c r="I8" s="329"/>
      <c r="J8" s="329"/>
      <c r="K8" s="329"/>
      <c r="L8" s="329"/>
      <c r="M8" s="329"/>
      <c r="N8" s="329"/>
      <c r="O8" s="329"/>
      <c r="P8" s="329"/>
    </row>
    <row r="9" spans="1:18" ht="12.75" x14ac:dyDescent="0.2">
      <c r="A9" s="329"/>
      <c r="B9" s="329"/>
      <c r="C9" s="389" t="s">
        <v>713</v>
      </c>
      <c r="D9" s="394" t="str">
        <f>COVER!A15</f>
        <v>Henderson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9041997</v>
      </c>
      <c r="I12" s="404"/>
      <c r="J12" s="404"/>
      <c r="K12" s="405">
        <f>TRUNC((H12/H13*100000),5)/100000</f>
        <v>1.0629220184999999</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8506736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7822214</v>
      </c>
      <c r="I17" s="404"/>
      <c r="J17" s="416"/>
      <c r="K17" s="405">
        <f>TRUNC((H17/H18*100000),5)/100000</f>
        <v>0.91953176869999997</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8506736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9041997</v>
      </c>
      <c r="I24" s="422"/>
      <c r="J24" s="422"/>
      <c r="K24" s="423">
        <f>TRUNC(((H24/H25*100000)/100000),2)</f>
        <v>416.13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21728.372220000001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4237101.66108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2875150</v>
      </c>
      <c r="I32" s="420"/>
      <c r="J32" s="420"/>
      <c r="K32" s="423">
        <f>TRUNC(100-((((H32/H33*100))*100)/100),2)</f>
        <v>85.59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19956655.548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21" activePane="bottomLeft" state="frozen"/>
      <selection activeCell="X24" sqref="X24"/>
      <selection pane="bottomLeft" activeCell="X24" sqref="X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1609486</v>
      </c>
      <c r="D4" s="466">
        <v>1363417</v>
      </c>
      <c r="E4" s="466">
        <v>258686</v>
      </c>
      <c r="F4" s="466">
        <v>714072</v>
      </c>
      <c r="G4" s="466">
        <v>283714</v>
      </c>
      <c r="H4" s="466">
        <v>7595</v>
      </c>
      <c r="I4" s="466">
        <v>527396</v>
      </c>
      <c r="J4" s="467">
        <v>429863</v>
      </c>
      <c r="K4" s="466">
        <v>891296</v>
      </c>
      <c r="L4" s="466">
        <v>109559</v>
      </c>
      <c r="M4" s="468"/>
      <c r="N4" s="469"/>
    </row>
    <row r="5" spans="1:14" x14ac:dyDescent="0.2">
      <c r="A5" s="463" t="s">
        <v>992</v>
      </c>
      <c r="B5" s="470">
        <v>120</v>
      </c>
      <c r="C5" s="465">
        <v>3850483</v>
      </c>
      <c r="D5" s="466">
        <v>454142</v>
      </c>
      <c r="E5" s="466"/>
      <c r="F5" s="466">
        <v>131501</v>
      </c>
      <c r="G5" s="466">
        <v>169557</v>
      </c>
      <c r="H5" s="466"/>
      <c r="I5" s="466">
        <v>391500</v>
      </c>
      <c r="J5" s="467"/>
      <c r="K5" s="471">
        <v>205363</v>
      </c>
      <c r="L5" s="472">
        <v>61251</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5459969</v>
      </c>
      <c r="D13" s="1736">
        <f t="shared" ref="D13:L13" si="0">SUM(D4:D12)</f>
        <v>1817559</v>
      </c>
      <c r="E13" s="1736">
        <f t="shared" si="0"/>
        <v>258686</v>
      </c>
      <c r="F13" s="1736">
        <f t="shared" si="0"/>
        <v>845573</v>
      </c>
      <c r="G13" s="1736">
        <f t="shared" si="0"/>
        <v>453271</v>
      </c>
      <c r="H13" s="1736">
        <f t="shared" si="0"/>
        <v>7595</v>
      </c>
      <c r="I13" s="1736">
        <f t="shared" si="0"/>
        <v>918896</v>
      </c>
      <c r="J13" s="1736">
        <f t="shared" si="0"/>
        <v>429863</v>
      </c>
      <c r="K13" s="1736">
        <f t="shared" si="0"/>
        <v>1096659</v>
      </c>
      <c r="L13" s="1736">
        <f t="shared" si="0"/>
        <v>170810</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42500</v>
      </c>
      <c r="N16" s="484"/>
    </row>
    <row r="17" spans="1:14" s="485" customFormat="1" ht="12.75" customHeight="1" x14ac:dyDescent="0.2">
      <c r="A17" s="482" t="s">
        <v>1403</v>
      </c>
      <c r="B17" s="483">
        <v>230</v>
      </c>
      <c r="C17" s="477"/>
      <c r="D17" s="477"/>
      <c r="E17" s="477"/>
      <c r="F17" s="477"/>
      <c r="G17" s="477"/>
      <c r="H17" s="477"/>
      <c r="I17" s="477"/>
      <c r="J17" s="477"/>
      <c r="K17" s="477"/>
      <c r="L17" s="477"/>
      <c r="M17" s="467">
        <v>7709371</v>
      </c>
      <c r="N17" s="484"/>
    </row>
    <row r="18" spans="1:14" s="485" customFormat="1" ht="12.75" customHeight="1" x14ac:dyDescent="0.2">
      <c r="A18" s="482" t="s">
        <v>1404</v>
      </c>
      <c r="B18" s="483">
        <v>240</v>
      </c>
      <c r="C18" s="477"/>
      <c r="D18" s="477"/>
      <c r="E18" s="477"/>
      <c r="F18" s="477"/>
      <c r="G18" s="477"/>
      <c r="H18" s="477"/>
      <c r="I18" s="477"/>
      <c r="J18" s="477"/>
      <c r="K18" s="477"/>
      <c r="L18" s="477"/>
      <c r="M18" s="467">
        <v>6983776</v>
      </c>
      <c r="N18" s="484"/>
    </row>
    <row r="19" spans="1:14" s="485" customFormat="1" ht="12.75" customHeight="1" x14ac:dyDescent="0.2">
      <c r="A19" s="482" t="s">
        <v>1405</v>
      </c>
      <c r="B19" s="483">
        <v>250</v>
      </c>
      <c r="C19" s="477"/>
      <c r="D19" s="477"/>
      <c r="E19" s="477"/>
      <c r="F19" s="477"/>
      <c r="G19" s="477"/>
      <c r="H19" s="477"/>
      <c r="I19" s="477"/>
      <c r="J19" s="477"/>
      <c r="K19" s="477"/>
      <c r="L19" s="477"/>
      <c r="M19" s="467">
        <v>1206220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258686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2616464</v>
      </c>
    </row>
    <row r="23" spans="1:14" ht="13.5" customHeight="1" thickBot="1" x14ac:dyDescent="0.25">
      <c r="A23" s="1735" t="s">
        <v>643</v>
      </c>
      <c r="B23" s="1740"/>
      <c r="C23" s="468"/>
      <c r="D23" s="468"/>
      <c r="E23" s="468"/>
      <c r="F23" s="468"/>
      <c r="G23" s="468"/>
      <c r="H23" s="468"/>
      <c r="I23" s="468"/>
      <c r="J23" s="468"/>
      <c r="K23" s="468"/>
      <c r="L23" s="468"/>
      <c r="M23" s="1687">
        <f>SUM(M15:M22)</f>
        <v>15941867</v>
      </c>
      <c r="N23" s="1687">
        <f>SUM(N21:N22)</f>
        <v>2875150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170810</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170810</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2875150</v>
      </c>
    </row>
    <row r="37" spans="1:14" ht="13.5" thickBot="1" x14ac:dyDescent="0.25">
      <c r="A37" s="1735" t="s">
        <v>653</v>
      </c>
      <c r="B37" s="1740"/>
      <c r="C37" s="477"/>
      <c r="D37" s="477"/>
      <c r="E37" s="477"/>
      <c r="F37" s="477"/>
      <c r="G37" s="477"/>
      <c r="H37" s="477"/>
      <c r="I37" s="477"/>
      <c r="J37" s="477"/>
      <c r="K37" s="477"/>
      <c r="L37" s="480"/>
      <c r="M37" s="468"/>
      <c r="N37" s="1687">
        <f>SUM(N36:N36)</f>
        <v>2875150</v>
      </c>
    </row>
    <row r="38" spans="1:14" s="329" customFormat="1" ht="13.5" customHeight="1" thickTop="1" x14ac:dyDescent="0.2">
      <c r="A38" s="496" t="s">
        <v>420</v>
      </c>
      <c r="B38" s="483">
        <v>714</v>
      </c>
      <c r="C38" s="466">
        <v>53340</v>
      </c>
      <c r="D38" s="466"/>
      <c r="E38" s="466"/>
      <c r="F38" s="466"/>
      <c r="G38" s="466">
        <v>79928</v>
      </c>
      <c r="H38" s="466"/>
      <c r="I38" s="466"/>
      <c r="J38" s="467"/>
      <c r="K38" s="466"/>
      <c r="L38" s="481"/>
      <c r="M38" s="497"/>
      <c r="N38" s="497"/>
    </row>
    <row r="39" spans="1:14" s="329" customFormat="1" ht="13.5" customHeight="1" x14ac:dyDescent="0.2">
      <c r="A39" s="496" t="s">
        <v>342</v>
      </c>
      <c r="B39" s="483">
        <v>730</v>
      </c>
      <c r="C39" s="466">
        <v>5406629</v>
      </c>
      <c r="D39" s="466">
        <v>1817559</v>
      </c>
      <c r="E39" s="466">
        <v>258686</v>
      </c>
      <c r="F39" s="466">
        <v>845573</v>
      </c>
      <c r="G39" s="466">
        <v>373343</v>
      </c>
      <c r="H39" s="466">
        <v>7595</v>
      </c>
      <c r="I39" s="466">
        <v>918896</v>
      </c>
      <c r="J39" s="467">
        <v>429863</v>
      </c>
      <c r="K39" s="466">
        <v>1096659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15941867</v>
      </c>
      <c r="N40" s="497"/>
    </row>
    <row r="41" spans="1:14" ht="13.5" customHeight="1" thickBot="1" x14ac:dyDescent="0.25">
      <c r="A41" s="1735" t="s">
        <v>655</v>
      </c>
      <c r="B41" s="1705"/>
      <c r="C41" s="1687">
        <f>(SUM(C34,C37,C38,C39))</f>
        <v>5459969</v>
      </c>
      <c r="D41" s="1687">
        <f t="shared" ref="D41:L41" si="2">SUM(D34,D37,D38:D39)</f>
        <v>1817559</v>
      </c>
      <c r="E41" s="1687">
        <f t="shared" si="2"/>
        <v>258686</v>
      </c>
      <c r="F41" s="1687">
        <f t="shared" si="2"/>
        <v>845573</v>
      </c>
      <c r="G41" s="1687">
        <f t="shared" si="2"/>
        <v>453271</v>
      </c>
      <c r="H41" s="1687">
        <f t="shared" si="2"/>
        <v>7595</v>
      </c>
      <c r="I41" s="1687">
        <f t="shared" si="2"/>
        <v>918896</v>
      </c>
      <c r="J41" s="1687">
        <f t="shared" si="2"/>
        <v>429863</v>
      </c>
      <c r="K41" s="1687">
        <f t="shared" si="2"/>
        <v>1096659</v>
      </c>
      <c r="L41" s="1687">
        <f t="shared" si="2"/>
        <v>170810</v>
      </c>
      <c r="M41" s="1687">
        <f>SUM(M40)</f>
        <v>15941867</v>
      </c>
      <c r="N41" s="1687">
        <f>SUM(N37)</f>
        <v>2875150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51" activePane="bottomLeft" state="frozen"/>
      <selection activeCell="X24" sqref="X24"/>
      <selection pane="bottomLeft" activeCell="X24" sqref="X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6" t="s">
        <v>1499</v>
      </c>
      <c r="B4" s="1927">
        <v>1000</v>
      </c>
      <c r="C4" s="1741">
        <f>'Revenues 9-14'!C109</f>
        <v>4128665</v>
      </c>
      <c r="D4" s="1741">
        <f>'Revenues 9-14'!D109</f>
        <v>887761</v>
      </c>
      <c r="E4" s="1741">
        <f>'Revenues 9-14'!E109</f>
        <v>473488</v>
      </c>
      <c r="F4" s="1741">
        <f>'Revenues 9-14'!F109</f>
        <v>277396</v>
      </c>
      <c r="G4" s="1741">
        <f>'Revenues 9-14'!G109</f>
        <v>330842</v>
      </c>
      <c r="H4" s="1741">
        <f>'Revenues 9-14'!H109</f>
        <v>6631</v>
      </c>
      <c r="I4" s="1741">
        <f>'Revenues 9-14'!I109</f>
        <v>27847</v>
      </c>
      <c r="J4" s="1741">
        <f>'Revenues 9-14'!J109</f>
        <v>229656</v>
      </c>
      <c r="K4" s="1741">
        <f>'Revenues 9-14'!K109</f>
        <v>78704</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2195637</v>
      </c>
      <c r="D6" s="1742">
        <f>'Revenues 9-14'!D170</f>
        <v>40000</v>
      </c>
      <c r="E6" s="1742">
        <f>'Revenues 9-14'!E170</f>
        <v>0</v>
      </c>
      <c r="F6" s="1742">
        <f>'Revenues 9-14'!F170</f>
        <v>540062</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409368</v>
      </c>
      <c r="D7" s="1742">
        <f>'Revenues 9-14'!D267</f>
        <v>0</v>
      </c>
      <c r="E7" s="1742">
        <f>'Revenues 9-14'!E267</f>
        <v>0</v>
      </c>
      <c r="F7" s="1742">
        <f>'Revenues 9-14'!F267</f>
        <v>0</v>
      </c>
      <c r="G7" s="1742">
        <f>'Revenues 9-14'!G267</f>
        <v>2990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6733670</v>
      </c>
      <c r="D8" s="1687">
        <f t="shared" ref="D8:K8" si="0">SUM(D4:D7)</f>
        <v>927761</v>
      </c>
      <c r="E8" s="1687">
        <f t="shared" si="0"/>
        <v>473488</v>
      </c>
      <c r="F8" s="1687">
        <f t="shared" si="0"/>
        <v>817458</v>
      </c>
      <c r="G8" s="1687">
        <f t="shared" si="0"/>
        <v>333832</v>
      </c>
      <c r="H8" s="1687">
        <f t="shared" si="0"/>
        <v>6631</v>
      </c>
      <c r="I8" s="1687">
        <f t="shared" si="0"/>
        <v>27847</v>
      </c>
      <c r="J8" s="1687">
        <f t="shared" si="0"/>
        <v>229656</v>
      </c>
      <c r="K8" s="1687">
        <f t="shared" si="0"/>
        <v>78704</v>
      </c>
      <c r="L8" s="347"/>
    </row>
    <row r="9" spans="1:13" ht="15.75" thickTop="1" x14ac:dyDescent="0.2">
      <c r="A9" s="514" t="s">
        <v>1653</v>
      </c>
      <c r="B9" s="515">
        <v>3998</v>
      </c>
      <c r="C9" s="481">
        <v>2717208</v>
      </c>
      <c r="D9" s="516"/>
      <c r="E9" s="481"/>
      <c r="F9" s="481"/>
      <c r="G9" s="517"/>
      <c r="H9" s="481"/>
      <c r="I9" s="509" t="s">
        <v>1169</v>
      </c>
      <c r="J9" s="478"/>
      <c r="K9" s="481"/>
      <c r="L9" s="347"/>
    </row>
    <row r="10" spans="1:13" s="519" customFormat="1" ht="13.5" thickBot="1" x14ac:dyDescent="0.25">
      <c r="A10" s="1735" t="s">
        <v>1173</v>
      </c>
      <c r="B10" s="1708"/>
      <c r="C10" s="1687">
        <f>SUM(C8:C9)</f>
        <v>9450878</v>
      </c>
      <c r="D10" s="1687">
        <f t="shared" ref="D10:K10" si="1">SUM(D8:D9)</f>
        <v>927761</v>
      </c>
      <c r="E10" s="1687">
        <f t="shared" si="1"/>
        <v>473488</v>
      </c>
      <c r="F10" s="1687">
        <f t="shared" si="1"/>
        <v>817458</v>
      </c>
      <c r="G10" s="1687">
        <f t="shared" si="1"/>
        <v>333832</v>
      </c>
      <c r="H10" s="1687">
        <f t="shared" si="1"/>
        <v>6631</v>
      </c>
      <c r="I10" s="1687">
        <f t="shared" si="1"/>
        <v>27847</v>
      </c>
      <c r="J10" s="1687">
        <f t="shared" si="1"/>
        <v>229656</v>
      </c>
      <c r="K10" s="1687">
        <f t="shared" si="1"/>
        <v>78704</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1">
        <f>'Expenditures 15-22'!K33</f>
        <v>4511376</v>
      </c>
      <c r="D12" s="520" t="s">
        <v>1169</v>
      </c>
      <c r="E12" s="468" t="s">
        <v>1169</v>
      </c>
      <c r="F12" s="468" t="s">
        <v>1169</v>
      </c>
      <c r="G12" s="1741">
        <f>'Expenditures 15-22'!K229</f>
        <v>137756</v>
      </c>
      <c r="H12" s="521"/>
      <c r="I12" s="468" t="s">
        <v>1169</v>
      </c>
      <c r="J12" s="468" t="s">
        <v>1169</v>
      </c>
      <c r="K12" s="521" t="s">
        <v>1169</v>
      </c>
      <c r="L12" s="347"/>
    </row>
    <row r="13" spans="1:13" ht="15.75" customHeight="1" x14ac:dyDescent="0.2">
      <c r="A13" s="1576" t="s">
        <v>457</v>
      </c>
      <c r="B13" s="1578">
        <v>2000</v>
      </c>
      <c r="C13" s="1742">
        <f>'Expenditures 15-22'!K74</f>
        <v>1752173</v>
      </c>
      <c r="D13" s="1742">
        <f>'Expenditures 15-22'!K129</f>
        <v>652265</v>
      </c>
      <c r="E13" s="469" t="s">
        <v>1169</v>
      </c>
      <c r="F13" s="1742">
        <f>'Expenditures 15-22'!K184</f>
        <v>679299</v>
      </c>
      <c r="G13" s="1742">
        <f>'Expenditures 15-22'!K279</f>
        <v>183059</v>
      </c>
      <c r="H13" s="1742">
        <f>'Expenditures 15-22'!K303</f>
        <v>0</v>
      </c>
      <c r="I13" s="468" t="s">
        <v>1169</v>
      </c>
      <c r="J13" s="1742">
        <f>'Expenditures 15-22'!K330</f>
        <v>199706</v>
      </c>
      <c r="K13" s="1746">
        <f>'Expenditures 15-22'!K352</f>
        <v>300808</v>
      </c>
      <c r="L13" s="347"/>
    </row>
    <row r="14" spans="1:13" ht="15.75" customHeight="1" x14ac:dyDescent="0.2">
      <c r="A14" s="1576" t="s">
        <v>449</v>
      </c>
      <c r="B14" s="1578">
        <v>3000</v>
      </c>
      <c r="C14" s="1742">
        <f>'Expenditures 15-22'!K75</f>
        <v>1761</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225340</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464384</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6490650</v>
      </c>
      <c r="D17" s="1687">
        <f t="shared" si="2"/>
        <v>652265</v>
      </c>
      <c r="E17" s="1687">
        <f t="shared" si="2"/>
        <v>464384</v>
      </c>
      <c r="F17" s="1687">
        <f t="shared" si="2"/>
        <v>679299</v>
      </c>
      <c r="G17" s="1687">
        <f t="shared" si="2"/>
        <v>320815</v>
      </c>
      <c r="H17" s="1687">
        <f t="shared" si="2"/>
        <v>0</v>
      </c>
      <c r="I17" s="468"/>
      <c r="J17" s="1687">
        <f>SUM(J12:J16)</f>
        <v>199706</v>
      </c>
      <c r="K17" s="1687">
        <f>SUM(K12:K16)</f>
        <v>300808</v>
      </c>
      <c r="L17" s="347"/>
    </row>
    <row r="18" spans="1:12" ht="15" customHeight="1" thickTop="1" x14ac:dyDescent="0.2">
      <c r="A18" s="1743" t="s">
        <v>1654</v>
      </c>
      <c r="B18" s="1744">
        <v>4180</v>
      </c>
      <c r="C18" s="1741">
        <f t="shared" ref="C18:H18" si="3">C9</f>
        <v>2717208</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9207858</v>
      </c>
      <c r="D19" s="1687">
        <f t="shared" si="4"/>
        <v>652265</v>
      </c>
      <c r="E19" s="1687">
        <f t="shared" si="4"/>
        <v>464384</v>
      </c>
      <c r="F19" s="1687">
        <f t="shared" si="4"/>
        <v>679299</v>
      </c>
      <c r="G19" s="1687">
        <f t="shared" si="4"/>
        <v>320815</v>
      </c>
      <c r="H19" s="1687">
        <f t="shared" si="4"/>
        <v>0</v>
      </c>
      <c r="I19" s="468"/>
      <c r="J19" s="1687">
        <f>SUM(J17:J18)</f>
        <v>199706</v>
      </c>
      <c r="K19" s="1687">
        <f>SUM(K17:K18)</f>
        <v>300808</v>
      </c>
      <c r="L19" s="347"/>
    </row>
    <row r="20" spans="1:12" ht="16.5" thickTop="1" thickBot="1" x14ac:dyDescent="0.25">
      <c r="A20" s="2127" t="s">
        <v>1655</v>
      </c>
      <c r="B20" s="2128"/>
      <c r="C20" s="1745">
        <f>C8-C17</f>
        <v>243020</v>
      </c>
      <c r="D20" s="1745">
        <f t="shared" ref="D20:K20" si="5">D8-D17</f>
        <v>275496</v>
      </c>
      <c r="E20" s="1745">
        <f t="shared" si="5"/>
        <v>9104</v>
      </c>
      <c r="F20" s="1745">
        <f t="shared" si="5"/>
        <v>138159</v>
      </c>
      <c r="G20" s="1745">
        <f t="shared" si="5"/>
        <v>13017</v>
      </c>
      <c r="H20" s="1745">
        <f t="shared" si="5"/>
        <v>6631</v>
      </c>
      <c r="I20" s="1745">
        <f t="shared" si="5"/>
        <v>27847</v>
      </c>
      <c r="J20" s="1745">
        <f t="shared" si="5"/>
        <v>29950</v>
      </c>
      <c r="K20" s="1745">
        <f t="shared" si="5"/>
        <v>-222104</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v>20000</v>
      </c>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v>10051</v>
      </c>
      <c r="E36" s="467"/>
      <c r="F36" s="467">
        <v>12281</v>
      </c>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2">
        <f>SUM(C24:C43)</f>
        <v>0</v>
      </c>
      <c r="D44" s="1702">
        <f t="shared" ref="D44:K44" si="6">SUM(D24:D43)</f>
        <v>30051</v>
      </c>
      <c r="E44" s="1702">
        <f t="shared" si="6"/>
        <v>0</v>
      </c>
      <c r="F44" s="1702">
        <f t="shared" si="6"/>
        <v>12281</v>
      </c>
      <c r="G44" s="1702">
        <f t="shared" si="6"/>
        <v>0</v>
      </c>
      <c r="H44" s="1702">
        <f t="shared" si="6"/>
        <v>0</v>
      </c>
      <c r="I44" s="1702">
        <f t="shared" si="6"/>
        <v>0</v>
      </c>
      <c r="J44" s="1702">
        <f t="shared" si="6"/>
        <v>0</v>
      </c>
      <c r="K44" s="1702">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20000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2">
        <f t="shared" ref="C76:K76" si="7">SUM(C47:C75)</f>
        <v>0</v>
      </c>
      <c r="D76" s="1702">
        <f t="shared" si="7"/>
        <v>0</v>
      </c>
      <c r="E76" s="1702">
        <f t="shared" si="7"/>
        <v>0</v>
      </c>
      <c r="F76" s="1702">
        <f t="shared" si="7"/>
        <v>0</v>
      </c>
      <c r="G76" s="1702">
        <f t="shared" si="7"/>
        <v>0</v>
      </c>
      <c r="H76" s="1702">
        <f t="shared" si="7"/>
        <v>20000</v>
      </c>
      <c r="I76" s="1702">
        <f t="shared" si="7"/>
        <v>0</v>
      </c>
      <c r="J76" s="1702">
        <f t="shared" si="7"/>
        <v>0</v>
      </c>
      <c r="K76" s="1702">
        <f t="shared" si="7"/>
        <v>0</v>
      </c>
      <c r="L76" s="524"/>
    </row>
    <row r="77" spans="1:12" ht="14.25" thickTop="1" thickBot="1" x14ac:dyDescent="0.25">
      <c r="A77" s="2119" t="s">
        <v>1177</v>
      </c>
      <c r="B77" s="2120"/>
      <c r="C77" s="1702">
        <f t="shared" ref="C77:K77" si="8">C44-C76</f>
        <v>0</v>
      </c>
      <c r="D77" s="1702">
        <f t="shared" si="8"/>
        <v>30051</v>
      </c>
      <c r="E77" s="1702">
        <f t="shared" si="8"/>
        <v>0</v>
      </c>
      <c r="F77" s="1702">
        <f t="shared" si="8"/>
        <v>12281</v>
      </c>
      <c r="G77" s="1702">
        <f t="shared" si="8"/>
        <v>0</v>
      </c>
      <c r="H77" s="1702">
        <f t="shared" si="8"/>
        <v>-20000</v>
      </c>
      <c r="I77" s="1702">
        <f t="shared" si="8"/>
        <v>0</v>
      </c>
      <c r="J77" s="1702">
        <f t="shared" si="8"/>
        <v>0</v>
      </c>
      <c r="K77" s="1702">
        <f t="shared" si="8"/>
        <v>0</v>
      </c>
      <c r="L77" s="347"/>
    </row>
    <row r="78" spans="1:12" ht="21.75" customHeight="1" thickTop="1" thickBot="1" x14ac:dyDescent="0.25">
      <c r="A78" s="2123" t="s">
        <v>597</v>
      </c>
      <c r="B78" s="2124"/>
      <c r="C78" s="1701">
        <f t="shared" ref="C78:K78" si="9">C20+C77</f>
        <v>243020</v>
      </c>
      <c r="D78" s="1701">
        <f t="shared" si="9"/>
        <v>305547</v>
      </c>
      <c r="E78" s="1701">
        <f t="shared" si="9"/>
        <v>9104</v>
      </c>
      <c r="F78" s="1701">
        <f t="shared" si="9"/>
        <v>150440</v>
      </c>
      <c r="G78" s="1701">
        <f t="shared" si="9"/>
        <v>13017</v>
      </c>
      <c r="H78" s="1701">
        <f t="shared" si="9"/>
        <v>-13369</v>
      </c>
      <c r="I78" s="1701">
        <f t="shared" si="9"/>
        <v>27847</v>
      </c>
      <c r="J78" s="1701">
        <f t="shared" si="9"/>
        <v>29950</v>
      </c>
      <c r="K78" s="1701">
        <f t="shared" si="9"/>
        <v>-222104</v>
      </c>
      <c r="L78" s="533"/>
    </row>
    <row r="79" spans="1:12" ht="13.5" thickTop="1" x14ac:dyDescent="0.2">
      <c r="A79" s="1494" t="s">
        <v>1947</v>
      </c>
      <c r="B79" s="534"/>
      <c r="C79" s="478">
        <v>5216949</v>
      </c>
      <c r="D79" s="535">
        <v>1512012</v>
      </c>
      <c r="E79" s="535">
        <v>249582</v>
      </c>
      <c r="F79" s="535">
        <v>695133</v>
      </c>
      <c r="G79" s="535">
        <v>440254</v>
      </c>
      <c r="H79" s="535">
        <v>20964</v>
      </c>
      <c r="I79" s="535">
        <v>891049</v>
      </c>
      <c r="J79" s="535">
        <v>399913</v>
      </c>
      <c r="K79" s="535">
        <v>1318763</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7">
        <f>(SUM(C78:C80))</f>
        <v>5459969</v>
      </c>
      <c r="D81" s="1687">
        <f>SUM(D78:D80)</f>
        <v>1817559</v>
      </c>
      <c r="E81" s="1687">
        <f t="shared" ref="E81:K81" si="10">SUM(E78:E80)</f>
        <v>258686</v>
      </c>
      <c r="F81" s="1687">
        <f t="shared" si="10"/>
        <v>845573</v>
      </c>
      <c r="G81" s="1687">
        <f t="shared" si="10"/>
        <v>453271</v>
      </c>
      <c r="H81" s="1687">
        <f t="shared" si="10"/>
        <v>7595</v>
      </c>
      <c r="I81" s="1687">
        <f t="shared" si="10"/>
        <v>918896</v>
      </c>
      <c r="J81" s="1687">
        <f t="shared" si="10"/>
        <v>429863</v>
      </c>
      <c r="K81" s="1687">
        <f t="shared" si="10"/>
        <v>1096659</v>
      </c>
      <c r="L81" s="347"/>
    </row>
    <row r="82" spans="1:12" ht="0.75" customHeight="1" thickTop="1" thickBot="1" x14ac:dyDescent="0.25">
      <c r="A82" s="536" t="s">
        <v>343</v>
      </c>
      <c r="B82" s="537"/>
      <c r="C82" s="538">
        <f>(C81-C79)</f>
        <v>243020</v>
      </c>
      <c r="D82" s="538">
        <f t="shared" ref="D82:K82" si="11">(D81-D79)</f>
        <v>305547</v>
      </c>
      <c r="E82" s="538">
        <f t="shared" si="11"/>
        <v>9104</v>
      </c>
      <c r="F82" s="538">
        <f t="shared" si="11"/>
        <v>150440</v>
      </c>
      <c r="G82" s="538">
        <f t="shared" si="11"/>
        <v>13017</v>
      </c>
      <c r="H82" s="538">
        <f t="shared" si="11"/>
        <v>-13369</v>
      </c>
      <c r="I82" s="538">
        <f t="shared" si="11"/>
        <v>27847</v>
      </c>
      <c r="J82" s="538">
        <f t="shared" si="11"/>
        <v>29950</v>
      </c>
      <c r="K82" s="538">
        <f t="shared" si="11"/>
        <v>-222104</v>
      </c>
    </row>
    <row r="83" spans="1:12" ht="14.25" hidden="1" thickTop="1" thickBot="1" x14ac:dyDescent="0.25">
      <c r="A83" s="539" t="s">
        <v>344</v>
      </c>
      <c r="B83" s="464"/>
      <c r="C83" s="540">
        <f>C82/C81</f>
        <v>4.4509410218263143E-2</v>
      </c>
      <c r="D83" s="540">
        <f t="shared" ref="D83:K83" si="12">D82/D81</f>
        <v>0.16810843554459581</v>
      </c>
      <c r="E83" s="540">
        <f t="shared" si="12"/>
        <v>3.5193245865644061E-2</v>
      </c>
      <c r="F83" s="540">
        <f t="shared" si="12"/>
        <v>0.17791485773552373</v>
      </c>
      <c r="G83" s="540">
        <f t="shared" si="12"/>
        <v>2.8717919302139339E-2</v>
      </c>
      <c r="H83" s="540">
        <f t="shared" si="12"/>
        <v>-1.7602369980250165</v>
      </c>
      <c r="I83" s="540">
        <f t="shared" si="12"/>
        <v>3.0304844073758073E-2</v>
      </c>
      <c r="J83" s="540">
        <f t="shared" si="12"/>
        <v>6.9673361047589574E-2</v>
      </c>
      <c r="K83" s="540">
        <f t="shared" si="12"/>
        <v>-0.2025278596172557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3" activePane="bottomLeft" state="frozen"/>
      <selection activeCell="X24" sqref="X24"/>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3591690</v>
      </c>
      <c r="D5" s="481">
        <v>874849</v>
      </c>
      <c r="E5" s="466">
        <v>469207</v>
      </c>
      <c r="F5" s="548">
        <v>269187</v>
      </c>
      <c r="G5" s="466">
        <v>111990</v>
      </c>
      <c r="H5" s="466"/>
      <c r="I5" s="466">
        <v>20003</v>
      </c>
      <c r="J5" s="467">
        <v>218394</v>
      </c>
      <c r="K5" s="466">
        <v>67204</v>
      </c>
    </row>
    <row r="6" spans="1:12" ht="15" x14ac:dyDescent="0.2">
      <c r="A6" s="463" t="s">
        <v>1662</v>
      </c>
      <c r="B6" s="470">
        <v>1130</v>
      </c>
      <c r="C6" s="466"/>
      <c r="D6" s="466"/>
      <c r="E6" s="475"/>
      <c r="F6" s="475"/>
      <c r="G6" s="468"/>
      <c r="H6" s="468"/>
      <c r="I6" s="468"/>
      <c r="J6" s="468"/>
      <c r="K6" s="468"/>
    </row>
    <row r="7" spans="1:12" x14ac:dyDescent="0.2">
      <c r="A7" s="463" t="s">
        <v>110</v>
      </c>
      <c r="B7" s="549">
        <v>1140</v>
      </c>
      <c r="C7" s="466">
        <v>53436</v>
      </c>
      <c r="D7" s="466"/>
      <c r="E7" s="468"/>
      <c r="F7" s="467"/>
      <c r="G7" s="467"/>
      <c r="H7" s="467"/>
      <c r="I7" s="468"/>
      <c r="J7" s="468"/>
      <c r="K7" s="468"/>
    </row>
    <row r="8" spans="1:12" x14ac:dyDescent="0.2">
      <c r="A8" s="463" t="s">
        <v>413</v>
      </c>
      <c r="B8" s="470">
        <v>1150</v>
      </c>
      <c r="C8" s="475"/>
      <c r="D8" s="475"/>
      <c r="E8" s="477"/>
      <c r="F8" s="477"/>
      <c r="G8" s="481">
        <v>188989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3645126</v>
      </c>
      <c r="D12" s="1706">
        <f t="shared" si="0"/>
        <v>874849</v>
      </c>
      <c r="E12" s="1706">
        <f t="shared" si="0"/>
        <v>469207</v>
      </c>
      <c r="F12" s="1706">
        <f t="shared" si="0"/>
        <v>269187</v>
      </c>
      <c r="G12" s="1706">
        <f t="shared" si="0"/>
        <v>300979</v>
      </c>
      <c r="H12" s="1706">
        <f t="shared" si="0"/>
        <v>0</v>
      </c>
      <c r="I12" s="1706">
        <f t="shared" si="0"/>
        <v>20003</v>
      </c>
      <c r="J12" s="1706">
        <f t="shared" si="0"/>
        <v>218394</v>
      </c>
      <c r="K12" s="1687">
        <f t="shared" si="0"/>
        <v>67204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4451</v>
      </c>
      <c r="D14" s="466">
        <v>1070</v>
      </c>
      <c r="E14" s="466"/>
      <c r="F14" s="466">
        <v>329</v>
      </c>
      <c r="G14" s="466">
        <v>367</v>
      </c>
      <c r="H14" s="466"/>
      <c r="I14" s="466"/>
      <c r="J14" s="467">
        <v>267</v>
      </c>
      <c r="K14" s="466">
        <v>82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203276</v>
      </c>
      <c r="D16" s="466"/>
      <c r="E16" s="466"/>
      <c r="F16" s="466"/>
      <c r="G16" s="466">
        <v>24000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207727</v>
      </c>
      <c r="D18" s="1709">
        <f t="shared" ref="D18:K18" si="1">SUM(D14:D17)</f>
        <v>1070</v>
      </c>
      <c r="E18" s="1709">
        <f t="shared" si="1"/>
        <v>0</v>
      </c>
      <c r="F18" s="1709">
        <f t="shared" si="1"/>
        <v>329</v>
      </c>
      <c r="G18" s="1709">
        <f t="shared" si="1"/>
        <v>24367</v>
      </c>
      <c r="H18" s="1709">
        <f t="shared" si="1"/>
        <v>0</v>
      </c>
      <c r="I18" s="1709">
        <f t="shared" si="1"/>
        <v>0</v>
      </c>
      <c r="J18" s="1709">
        <f t="shared" si="1"/>
        <v>267</v>
      </c>
      <c r="K18" s="1710">
        <f t="shared" si="1"/>
        <v>82</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37204</v>
      </c>
      <c r="D65" s="466">
        <v>6055</v>
      </c>
      <c r="E65" s="466">
        <v>4281</v>
      </c>
      <c r="F65" s="467">
        <v>7691</v>
      </c>
      <c r="G65" s="466">
        <v>5496</v>
      </c>
      <c r="H65" s="466">
        <v>239</v>
      </c>
      <c r="I65" s="466">
        <v>7844</v>
      </c>
      <c r="J65" s="467">
        <v>4821</v>
      </c>
      <c r="K65" s="466">
        <v>11418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37204</v>
      </c>
      <c r="D67" s="1687">
        <f t="shared" ref="D67:K67" si="2">SUM(D65:D66)</f>
        <v>6055</v>
      </c>
      <c r="E67" s="1687">
        <f t="shared" si="2"/>
        <v>4281</v>
      </c>
      <c r="F67" s="1687">
        <f t="shared" si="2"/>
        <v>7691</v>
      </c>
      <c r="G67" s="1687">
        <f t="shared" si="2"/>
        <v>5496</v>
      </c>
      <c r="H67" s="1687">
        <f t="shared" si="2"/>
        <v>239</v>
      </c>
      <c r="I67" s="1687">
        <f t="shared" si="2"/>
        <v>7844</v>
      </c>
      <c r="J67" s="1687">
        <f t="shared" si="2"/>
        <v>4821</v>
      </c>
      <c r="K67" s="1687">
        <f t="shared" si="2"/>
        <v>11418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73554</v>
      </c>
      <c r="D69" s="468"/>
      <c r="E69" s="468"/>
      <c r="F69" s="468"/>
      <c r="G69" s="468"/>
      <c r="H69" s="468"/>
      <c r="I69" s="468"/>
      <c r="J69" s="468"/>
      <c r="K69" s="468"/>
    </row>
    <row r="70" spans="1:11" ht="12.75" customHeight="1" x14ac:dyDescent="0.2">
      <c r="A70" s="463" t="s">
        <v>997</v>
      </c>
      <c r="B70" s="470">
        <v>1612</v>
      </c>
      <c r="C70" s="551">
        <v>13492</v>
      </c>
      <c r="D70" s="468"/>
      <c r="E70" s="468"/>
      <c r="F70" s="468"/>
      <c r="G70" s="468"/>
      <c r="H70" s="468"/>
      <c r="I70" s="468"/>
      <c r="J70" s="468"/>
      <c r="K70" s="468"/>
    </row>
    <row r="71" spans="1:11" ht="12.75" customHeight="1" x14ac:dyDescent="0.2">
      <c r="A71" s="463" t="s">
        <v>273</v>
      </c>
      <c r="B71" s="470">
        <v>1613</v>
      </c>
      <c r="C71" s="551">
        <v>10516</v>
      </c>
      <c r="D71" s="468"/>
      <c r="E71" s="468"/>
      <c r="F71" s="468"/>
      <c r="G71" s="468"/>
      <c r="H71" s="468"/>
      <c r="I71" s="468"/>
      <c r="J71" s="468"/>
      <c r="K71" s="468"/>
    </row>
    <row r="72" spans="1:11" ht="12.75" customHeight="1" x14ac:dyDescent="0.2">
      <c r="A72" s="463" t="s">
        <v>24</v>
      </c>
      <c r="B72" s="470">
        <v>1614</v>
      </c>
      <c r="C72" s="551">
        <v>3816</v>
      </c>
      <c r="D72" s="468"/>
      <c r="E72" s="468"/>
      <c r="F72" s="468"/>
      <c r="G72" s="468"/>
      <c r="H72" s="468"/>
      <c r="I72" s="468"/>
      <c r="J72" s="468"/>
      <c r="K72" s="468"/>
    </row>
    <row r="73" spans="1:11" ht="12.75" customHeight="1" x14ac:dyDescent="0.2">
      <c r="A73" s="463" t="s">
        <v>998</v>
      </c>
      <c r="B73" s="470">
        <v>1620</v>
      </c>
      <c r="C73" s="551">
        <v>8482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109860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15975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4845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435</v>
      </c>
      <c r="D81" s="466"/>
      <c r="E81" s="468"/>
      <c r="F81" s="468"/>
      <c r="G81" s="468"/>
      <c r="H81" s="468"/>
      <c r="I81" s="468"/>
      <c r="J81" s="468"/>
      <c r="K81" s="468"/>
    </row>
    <row r="82" spans="1:11" ht="12.75" customHeight="1" thickBot="1" x14ac:dyDescent="0.25">
      <c r="A82" s="1707" t="s">
        <v>241</v>
      </c>
      <c r="B82" s="1708"/>
      <c r="C82" s="1706">
        <f>SUM(C77:C81)</f>
        <v>21255</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32529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1050</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33579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5225</v>
      </c>
      <c r="E95" s="521"/>
      <c r="F95" s="521"/>
      <c r="G95" s="521"/>
      <c r="H95" s="521"/>
      <c r="I95" s="521"/>
      <c r="J95" s="521"/>
      <c r="K95" s="521"/>
    </row>
    <row r="96" spans="1:11" ht="12.75" customHeight="1" x14ac:dyDescent="0.2">
      <c r="A96" s="463" t="s">
        <v>391</v>
      </c>
      <c r="B96" s="470">
        <v>1920</v>
      </c>
      <c r="C96" s="551">
        <v>11875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4987</v>
      </c>
      <c r="D99" s="466"/>
      <c r="E99" s="466"/>
      <c r="F99" s="466"/>
      <c r="G99" s="466"/>
      <c r="H99" s="466"/>
      <c r="I99" s="468"/>
      <c r="J99" s="467">
        <v>6174</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9045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6392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48007</v>
      </c>
      <c r="D107" s="466">
        <v>562</v>
      </c>
      <c r="E107" s="466"/>
      <c r="F107" s="466">
        <v>189</v>
      </c>
      <c r="G107" s="466"/>
      <c r="H107" s="466"/>
      <c r="I107" s="466"/>
      <c r="J107" s="467"/>
      <c r="K107" s="466"/>
    </row>
    <row r="108" spans="1:12" ht="12.75" customHeight="1" thickBot="1" x14ac:dyDescent="0.25">
      <c r="A108" s="1707" t="s">
        <v>487</v>
      </c>
      <c r="B108" s="1711"/>
      <c r="C108" s="1706">
        <f>SUM(C95:C107)</f>
        <v>73914</v>
      </c>
      <c r="D108" s="1706">
        <f t="shared" ref="D108:K108" si="3">SUM(D95:D107)</f>
        <v>5787</v>
      </c>
      <c r="E108" s="1706">
        <f t="shared" si="3"/>
        <v>0</v>
      </c>
      <c r="F108" s="1706">
        <f t="shared" si="3"/>
        <v>189</v>
      </c>
      <c r="G108" s="1706">
        <f t="shared" si="3"/>
        <v>0</v>
      </c>
      <c r="H108" s="1706">
        <f t="shared" si="3"/>
        <v>6392</v>
      </c>
      <c r="I108" s="1706">
        <f t="shared" si="3"/>
        <v>0</v>
      </c>
      <c r="J108" s="1706">
        <f t="shared" si="3"/>
        <v>6174</v>
      </c>
      <c r="K108" s="1687">
        <f t="shared" si="3"/>
        <v>0</v>
      </c>
    </row>
    <row r="109" spans="1:12" ht="14.25" thickTop="1" thickBot="1" x14ac:dyDescent="0.25">
      <c r="A109" s="1712" t="s">
        <v>248</v>
      </c>
      <c r="B109" s="1713" t="s">
        <v>570</v>
      </c>
      <c r="C109" s="1714">
        <f t="shared" ref="C109:K109" si="4">SUM(C12,C18,C40,C63,C67,C75,C82,C93,C108,)</f>
        <v>4128665</v>
      </c>
      <c r="D109" s="1714">
        <f t="shared" si="4"/>
        <v>887761</v>
      </c>
      <c r="E109" s="1714">
        <f t="shared" si="4"/>
        <v>473488</v>
      </c>
      <c r="F109" s="1714">
        <f t="shared" si="4"/>
        <v>277396</v>
      </c>
      <c r="G109" s="1714">
        <f t="shared" si="4"/>
        <v>330842</v>
      </c>
      <c r="H109" s="1714">
        <f t="shared" si="4"/>
        <v>6631</v>
      </c>
      <c r="I109" s="1714">
        <f t="shared" si="4"/>
        <v>27847</v>
      </c>
      <c r="J109" s="1714">
        <f t="shared" si="4"/>
        <v>229656</v>
      </c>
      <c r="K109" s="1701">
        <f t="shared" si="4"/>
        <v>78704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1867311</v>
      </c>
      <c r="D117" s="481">
        <v>40000</v>
      </c>
      <c r="E117" s="466"/>
      <c r="F117" s="481">
        <v>10000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1867311</v>
      </c>
      <c r="D122" s="1706">
        <f t="shared" si="5"/>
        <v>40000</v>
      </c>
      <c r="E122" s="1706">
        <f t="shared" si="5"/>
        <v>0</v>
      </c>
      <c r="F122" s="1706">
        <f t="shared" si="5"/>
        <v>10000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5392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29372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34764</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21523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21523</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4534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10769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357384</v>
      </c>
      <c r="G152" s="467"/>
      <c r="H152" s="468"/>
      <c r="I152" s="468"/>
      <c r="J152" s="468"/>
      <c r="K152" s="468"/>
    </row>
    <row r="153" spans="1:11" ht="12.75" customHeight="1" x14ac:dyDescent="0.2">
      <c r="A153" s="463" t="s">
        <v>1057</v>
      </c>
      <c r="B153" s="562">
        <v>3510</v>
      </c>
      <c r="C153" s="551"/>
      <c r="D153" s="466"/>
      <c r="E153" s="561"/>
      <c r="F153" s="466">
        <v>172678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530062</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255986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5" t="s">
        <v>398</v>
      </c>
      <c r="B169" s="2146"/>
      <c r="C169" s="1721">
        <f t="shared" ref="C169:K169" si="6">SUM(C132,C141,C145,C146:C150,C155,C156:C167,C168)</f>
        <v>328326</v>
      </c>
      <c r="D169" s="1721">
        <f t="shared" si="6"/>
        <v>0</v>
      </c>
      <c r="E169" s="1721">
        <f t="shared" si="6"/>
        <v>0</v>
      </c>
      <c r="F169" s="1721">
        <f t="shared" si="6"/>
        <v>530062</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2195637</v>
      </c>
      <c r="D170" s="1714">
        <f t="shared" si="7"/>
        <v>40000</v>
      </c>
      <c r="E170" s="1714">
        <f t="shared" si="7"/>
        <v>0</v>
      </c>
      <c r="F170" s="1714">
        <f t="shared" si="7"/>
        <v>540062</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196879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70072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266951</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89306</v>
      </c>
      <c r="D200" s="466"/>
      <c r="E200" s="468"/>
      <c r="F200" s="466"/>
      <c r="G200" s="466">
        <v>2990</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10233</v>
      </c>
      <c r="D203" s="466"/>
      <c r="E203" s="468"/>
      <c r="F203" s="466"/>
      <c r="G203" s="466"/>
      <c r="H203" s="468"/>
      <c r="I203" s="468"/>
      <c r="J203" s="468"/>
      <c r="K203" s="468"/>
    </row>
    <row r="204" spans="1:11" ht="12.75" customHeight="1" thickBot="1" x14ac:dyDescent="0.25">
      <c r="A204" s="1707" t="s">
        <v>400</v>
      </c>
      <c r="B204" s="1708"/>
      <c r="C204" s="1706">
        <f>SUM(C200:C203)</f>
        <v>99539</v>
      </c>
      <c r="D204" s="1706">
        <f>SUM(D200:D203)</f>
        <v>0</v>
      </c>
      <c r="E204" s="468"/>
      <c r="F204" s="1706">
        <f>SUM(F200:F203)</f>
        <v>0</v>
      </c>
      <c r="G204" s="1706">
        <f>SUM(G200:G203)</f>
        <v>2990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15858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13952</v>
      </c>
      <c r="D263" s="576"/>
      <c r="E263" s="468"/>
      <c r="F263" s="576"/>
      <c r="G263" s="576"/>
      <c r="H263" s="468"/>
      <c r="I263" s="468"/>
      <c r="J263" s="468"/>
      <c r="K263" s="468"/>
    </row>
    <row r="264" spans="1:11" ht="12.75" customHeight="1" thickTop="1" thickBot="1" x14ac:dyDescent="0.25">
      <c r="A264" s="463" t="s">
        <v>377</v>
      </c>
      <c r="B264" s="470">
        <v>4992</v>
      </c>
      <c r="C264" s="575">
        <v>13068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409368</v>
      </c>
      <c r="D266" s="1714">
        <f t="shared" si="10"/>
        <v>0</v>
      </c>
      <c r="E266" s="1714">
        <f t="shared" si="10"/>
        <v>0</v>
      </c>
      <c r="F266" s="1714">
        <f t="shared" si="10"/>
        <v>0</v>
      </c>
      <c r="G266" s="1714">
        <f t="shared" si="10"/>
        <v>2990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409368</v>
      </c>
      <c r="D267" s="1714">
        <f>SUM(D175,D181,D266)</f>
        <v>0</v>
      </c>
      <c r="E267" s="1714">
        <f>SUM(E175,E266)</f>
        <v>0</v>
      </c>
      <c r="F267" s="1714">
        <f t="shared" ref="F267:K267" si="11">SUM(F175,F181,F266)</f>
        <v>0</v>
      </c>
      <c r="G267" s="1714">
        <f t="shared" si="11"/>
        <v>2990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6733670</v>
      </c>
      <c r="D268" s="1714">
        <f t="shared" si="12"/>
        <v>927761</v>
      </c>
      <c r="E268" s="1714">
        <f t="shared" si="12"/>
        <v>473488</v>
      </c>
      <c r="F268" s="1714">
        <f t="shared" si="12"/>
        <v>817458</v>
      </c>
      <c r="G268" s="1714">
        <f t="shared" si="12"/>
        <v>333832</v>
      </c>
      <c r="H268" s="1714">
        <f t="shared" si="12"/>
        <v>6631</v>
      </c>
      <c r="I268" s="1714">
        <f t="shared" si="12"/>
        <v>27847</v>
      </c>
      <c r="J268" s="1714">
        <f t="shared" si="12"/>
        <v>229656</v>
      </c>
      <c r="K268" s="1701">
        <f t="shared" si="12"/>
        <v>78704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2" activePane="bottomLeft" state="frozen"/>
      <selection activeCell="X24" sqref="X24"/>
      <selection pane="bottomLeft" activeCell="X24" sqref="X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2268049</v>
      </c>
      <c r="D5" s="466">
        <v>314896</v>
      </c>
      <c r="E5" s="466">
        <v>22272</v>
      </c>
      <c r="F5" s="466">
        <v>26655</v>
      </c>
      <c r="G5" s="466"/>
      <c r="H5" s="466">
        <v>3985</v>
      </c>
      <c r="I5" s="467"/>
      <c r="J5" s="467"/>
      <c r="K5" s="1670">
        <f>SUM(C5:J5)</f>
        <v>2635857</v>
      </c>
      <c r="L5" s="466">
        <v>2945057</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v>187127</v>
      </c>
      <c r="D7" s="467">
        <v>31118</v>
      </c>
      <c r="E7" s="467">
        <v>1084</v>
      </c>
      <c r="F7" s="467">
        <v>15669</v>
      </c>
      <c r="G7" s="467">
        <v>679</v>
      </c>
      <c r="H7" s="467"/>
      <c r="I7" s="467"/>
      <c r="J7" s="467"/>
      <c r="K7" s="1670">
        <f t="shared" ref="K7:K32" si="0">SUM(C7:J7)</f>
        <v>235677</v>
      </c>
      <c r="L7" s="466">
        <v>371900</v>
      </c>
    </row>
    <row r="8" spans="1:14" x14ac:dyDescent="0.2">
      <c r="A8" s="1504" t="s">
        <v>164</v>
      </c>
      <c r="B8" s="614">
        <v>1200</v>
      </c>
      <c r="C8" s="466">
        <v>578817</v>
      </c>
      <c r="D8" s="466">
        <v>103817</v>
      </c>
      <c r="E8" s="466">
        <v>3264</v>
      </c>
      <c r="F8" s="466">
        <v>1235</v>
      </c>
      <c r="G8" s="466"/>
      <c r="H8" s="466"/>
      <c r="I8" s="467"/>
      <c r="J8" s="467"/>
      <c r="K8" s="1670">
        <f t="shared" si="0"/>
        <v>687133</v>
      </c>
      <c r="L8" s="466">
        <v>675100</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84366</v>
      </c>
      <c r="D10" s="466">
        <v>6492</v>
      </c>
      <c r="E10" s="466">
        <v>25406</v>
      </c>
      <c r="F10" s="466">
        <v>102468</v>
      </c>
      <c r="G10" s="466">
        <v>18276</v>
      </c>
      <c r="H10" s="466"/>
      <c r="I10" s="467"/>
      <c r="J10" s="467"/>
      <c r="K10" s="1670">
        <f t="shared" si="0"/>
        <v>237008</v>
      </c>
      <c r="L10" s="466">
        <v>156525</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v>258343</v>
      </c>
      <c r="D13" s="466">
        <v>30466</v>
      </c>
      <c r="E13" s="466">
        <v>21187</v>
      </c>
      <c r="F13" s="466">
        <v>15238</v>
      </c>
      <c r="G13" s="466">
        <v>152851</v>
      </c>
      <c r="H13" s="466"/>
      <c r="I13" s="467"/>
      <c r="J13" s="467"/>
      <c r="K13" s="1670">
        <f t="shared" si="0"/>
        <v>478085</v>
      </c>
      <c r="L13" s="466">
        <v>516725</v>
      </c>
    </row>
    <row r="14" spans="1:14" x14ac:dyDescent="0.2">
      <c r="A14" s="1504" t="s">
        <v>963</v>
      </c>
      <c r="B14" s="614">
        <v>1500</v>
      </c>
      <c r="C14" s="466">
        <v>125679</v>
      </c>
      <c r="D14" s="466">
        <v>1136</v>
      </c>
      <c r="E14" s="466">
        <v>23814</v>
      </c>
      <c r="F14" s="466">
        <v>31110</v>
      </c>
      <c r="G14" s="466">
        <v>4842</v>
      </c>
      <c r="H14" s="466">
        <v>5750</v>
      </c>
      <c r="I14" s="467"/>
      <c r="J14" s="467"/>
      <c r="K14" s="1670">
        <f t="shared" si="0"/>
        <v>192331</v>
      </c>
      <c r="L14" s="466">
        <v>238425</v>
      </c>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v>3371</v>
      </c>
      <c r="D16" s="466">
        <v>25</v>
      </c>
      <c r="E16" s="466">
        <v>158</v>
      </c>
      <c r="F16" s="466">
        <v>1336</v>
      </c>
      <c r="G16" s="466"/>
      <c r="H16" s="466"/>
      <c r="I16" s="467"/>
      <c r="J16" s="467"/>
      <c r="K16" s="1670">
        <f t="shared" si="0"/>
        <v>4890</v>
      </c>
      <c r="L16" s="466">
        <v>5600</v>
      </c>
    </row>
    <row r="17" spans="1:12" x14ac:dyDescent="0.2">
      <c r="A17" s="1504" t="s">
        <v>724</v>
      </c>
      <c r="B17" s="614" t="s">
        <v>162</v>
      </c>
      <c r="C17" s="467">
        <v>23273</v>
      </c>
      <c r="D17" s="467">
        <v>351</v>
      </c>
      <c r="E17" s="467">
        <v>2896</v>
      </c>
      <c r="F17" s="467"/>
      <c r="G17" s="467"/>
      <c r="H17" s="467"/>
      <c r="I17" s="467"/>
      <c r="J17" s="467"/>
      <c r="K17" s="1670">
        <f t="shared" si="0"/>
        <v>26520</v>
      </c>
      <c r="L17" s="466">
        <v>28420</v>
      </c>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v>13875</v>
      </c>
      <c r="I22" s="616"/>
      <c r="J22" s="477"/>
      <c r="K22" s="1670">
        <f t="shared" si="0"/>
        <v>13875</v>
      </c>
      <c r="L22" s="471">
        <v>40000</v>
      </c>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3529025</v>
      </c>
      <c r="D33" s="1669">
        <f t="shared" ref="D33:L33" si="1">SUM(D5:D32)</f>
        <v>488301</v>
      </c>
      <c r="E33" s="1669">
        <f t="shared" si="1"/>
        <v>100081</v>
      </c>
      <c r="F33" s="1669">
        <f t="shared" si="1"/>
        <v>193711</v>
      </c>
      <c r="G33" s="1669">
        <f t="shared" si="1"/>
        <v>176648</v>
      </c>
      <c r="H33" s="1669">
        <f t="shared" si="1"/>
        <v>23610</v>
      </c>
      <c r="I33" s="1669">
        <f t="shared" si="1"/>
        <v>0</v>
      </c>
      <c r="J33" s="1669">
        <f t="shared" si="1"/>
        <v>0</v>
      </c>
      <c r="K33" s="1669">
        <f t="shared" si="1"/>
        <v>4511376</v>
      </c>
      <c r="L33" s="1669">
        <f t="shared" si="1"/>
        <v>4977752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row>
    <row r="37" spans="1:14" x14ac:dyDescent="0.2">
      <c r="A37" s="1504" t="s">
        <v>1090</v>
      </c>
      <c r="B37" s="614">
        <v>2120</v>
      </c>
      <c r="C37" s="466">
        <v>52054</v>
      </c>
      <c r="D37" s="466">
        <v>7826</v>
      </c>
      <c r="E37" s="466">
        <v>933</v>
      </c>
      <c r="F37" s="466">
        <v>206</v>
      </c>
      <c r="G37" s="466"/>
      <c r="H37" s="466"/>
      <c r="I37" s="467"/>
      <c r="J37" s="467"/>
      <c r="K37" s="1670">
        <f t="shared" si="2"/>
        <v>61019</v>
      </c>
      <c r="L37" s="466">
        <v>65625</v>
      </c>
    </row>
    <row r="38" spans="1:14" x14ac:dyDescent="0.2">
      <c r="A38" s="1504" t="s">
        <v>198</v>
      </c>
      <c r="B38" s="614">
        <v>2130</v>
      </c>
      <c r="C38" s="466">
        <v>24894</v>
      </c>
      <c r="D38" s="466">
        <v>4518</v>
      </c>
      <c r="E38" s="466">
        <v>582</v>
      </c>
      <c r="F38" s="466">
        <v>610</v>
      </c>
      <c r="G38" s="466"/>
      <c r="H38" s="466"/>
      <c r="I38" s="467"/>
      <c r="J38" s="467"/>
      <c r="K38" s="1670">
        <f t="shared" si="2"/>
        <v>30604</v>
      </c>
      <c r="L38" s="466">
        <v>38000</v>
      </c>
    </row>
    <row r="39" spans="1:14" x14ac:dyDescent="0.2">
      <c r="A39" s="1504" t="s">
        <v>199</v>
      </c>
      <c r="B39" s="614">
        <v>2140</v>
      </c>
      <c r="C39" s="466">
        <v>69780</v>
      </c>
      <c r="D39" s="466">
        <v>14671</v>
      </c>
      <c r="E39" s="466">
        <v>2250</v>
      </c>
      <c r="F39" s="466">
        <v>160</v>
      </c>
      <c r="G39" s="466"/>
      <c r="H39" s="466"/>
      <c r="I39" s="467"/>
      <c r="J39" s="467"/>
      <c r="K39" s="1670">
        <f t="shared" si="2"/>
        <v>86861</v>
      </c>
      <c r="L39" s="466">
        <v>80925</v>
      </c>
    </row>
    <row r="40" spans="1:14" x14ac:dyDescent="0.2">
      <c r="A40" s="1504" t="s">
        <v>200</v>
      </c>
      <c r="B40" s="614">
        <v>2150</v>
      </c>
      <c r="C40" s="466">
        <v>50259</v>
      </c>
      <c r="D40" s="466">
        <v>7778</v>
      </c>
      <c r="E40" s="466">
        <v>959</v>
      </c>
      <c r="F40" s="466">
        <v>79</v>
      </c>
      <c r="G40" s="466"/>
      <c r="H40" s="466"/>
      <c r="I40" s="467"/>
      <c r="J40" s="467"/>
      <c r="K40" s="1670">
        <f t="shared" si="2"/>
        <v>59075</v>
      </c>
      <c r="L40" s="466">
        <v>65100</v>
      </c>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196987</v>
      </c>
      <c r="D42" s="1669">
        <f t="shared" ref="D42:L42" si="3">SUM(D36:D41)</f>
        <v>34793</v>
      </c>
      <c r="E42" s="1669">
        <f t="shared" si="3"/>
        <v>4724</v>
      </c>
      <c r="F42" s="1669">
        <f t="shared" si="3"/>
        <v>1055</v>
      </c>
      <c r="G42" s="1669">
        <f t="shared" si="3"/>
        <v>0</v>
      </c>
      <c r="H42" s="1669">
        <f t="shared" si="3"/>
        <v>0</v>
      </c>
      <c r="I42" s="1669">
        <f t="shared" si="3"/>
        <v>0</v>
      </c>
      <c r="J42" s="1669">
        <f t="shared" si="3"/>
        <v>0</v>
      </c>
      <c r="K42" s="1669">
        <f t="shared" si="3"/>
        <v>237559</v>
      </c>
      <c r="L42" s="1669">
        <f t="shared" si="3"/>
        <v>249650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4475</v>
      </c>
      <c r="F44" s="481"/>
      <c r="G44" s="481"/>
      <c r="H44" s="481"/>
      <c r="I44" s="467"/>
      <c r="J44" s="467"/>
      <c r="K44" s="1671">
        <f>SUM(C44:J44)</f>
        <v>4475</v>
      </c>
      <c r="L44" s="481">
        <v>6220</v>
      </c>
    </row>
    <row r="45" spans="1:14" x14ac:dyDescent="0.2">
      <c r="A45" s="1504" t="s">
        <v>815</v>
      </c>
      <c r="B45" s="614">
        <v>2220</v>
      </c>
      <c r="C45" s="466">
        <v>99542</v>
      </c>
      <c r="D45" s="466">
        <v>15251</v>
      </c>
      <c r="E45" s="466">
        <v>1595</v>
      </c>
      <c r="F45" s="466">
        <v>1430</v>
      </c>
      <c r="G45" s="466"/>
      <c r="H45" s="466"/>
      <c r="I45" s="467"/>
      <c r="J45" s="467"/>
      <c r="K45" s="1671">
        <f>SUM(C45:J45)</f>
        <v>117818</v>
      </c>
      <c r="L45" s="466">
        <v>120885</v>
      </c>
    </row>
    <row r="46" spans="1:14" x14ac:dyDescent="0.2">
      <c r="A46" s="1504" t="s">
        <v>816</v>
      </c>
      <c r="B46" s="614">
        <v>2230</v>
      </c>
      <c r="C46" s="466"/>
      <c r="D46" s="466"/>
      <c r="E46" s="466">
        <v>6987</v>
      </c>
      <c r="F46" s="466"/>
      <c r="G46" s="466"/>
      <c r="H46" s="466"/>
      <c r="I46" s="467"/>
      <c r="J46" s="467"/>
      <c r="K46" s="1671">
        <f>SUM(C46:J46)</f>
        <v>6987</v>
      </c>
      <c r="L46" s="466">
        <v>8500</v>
      </c>
    </row>
    <row r="47" spans="1:14" ht="12.75" customHeight="1" thickBot="1" x14ac:dyDescent="0.25">
      <c r="A47" s="1667" t="s">
        <v>561</v>
      </c>
      <c r="B47" s="1668" t="s">
        <v>32</v>
      </c>
      <c r="C47" s="1669">
        <f>SUM(C44:C46)</f>
        <v>99542</v>
      </c>
      <c r="D47" s="1669">
        <f t="shared" ref="D47:K47" si="4">SUM(D44:D46)</f>
        <v>15251</v>
      </c>
      <c r="E47" s="1669">
        <f t="shared" si="4"/>
        <v>13057</v>
      </c>
      <c r="F47" s="1669">
        <f t="shared" si="4"/>
        <v>1430</v>
      </c>
      <c r="G47" s="1669">
        <f t="shared" si="4"/>
        <v>0</v>
      </c>
      <c r="H47" s="1669">
        <f t="shared" si="4"/>
        <v>0</v>
      </c>
      <c r="I47" s="1669">
        <f t="shared" si="4"/>
        <v>0</v>
      </c>
      <c r="J47" s="1669">
        <f t="shared" si="4"/>
        <v>0</v>
      </c>
      <c r="K47" s="1669">
        <f t="shared" si="4"/>
        <v>129280</v>
      </c>
      <c r="L47" s="1669">
        <f>SUM(L44:L46)</f>
        <v>135605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37590</v>
      </c>
      <c r="F49" s="481">
        <v>353</v>
      </c>
      <c r="G49" s="481"/>
      <c r="H49" s="481">
        <v>5421</v>
      </c>
      <c r="I49" s="467"/>
      <c r="J49" s="467"/>
      <c r="K49" s="1671">
        <f>SUM(C49:J49)</f>
        <v>43364</v>
      </c>
      <c r="L49" s="481">
        <v>78300</v>
      </c>
    </row>
    <row r="50" spans="1:14" x14ac:dyDescent="0.2">
      <c r="A50" s="1504" t="s">
        <v>818</v>
      </c>
      <c r="B50" s="614">
        <v>2320</v>
      </c>
      <c r="C50" s="466">
        <v>180102</v>
      </c>
      <c r="D50" s="466">
        <v>6733</v>
      </c>
      <c r="E50" s="466">
        <v>6247</v>
      </c>
      <c r="F50" s="466">
        <v>1638</v>
      </c>
      <c r="G50" s="466"/>
      <c r="H50" s="466">
        <v>1057</v>
      </c>
      <c r="I50" s="467"/>
      <c r="J50" s="467"/>
      <c r="K50" s="1671">
        <f>SUM(C50:J50)</f>
        <v>195777</v>
      </c>
      <c r="L50" s="466">
        <v>198638</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v>241</v>
      </c>
      <c r="G52" s="474"/>
      <c r="H52" s="474"/>
      <c r="I52" s="474"/>
      <c r="J52" s="474"/>
      <c r="K52" s="1671">
        <f>SUM(C52:J52)</f>
        <v>241</v>
      </c>
      <c r="L52" s="474">
        <v>20000</v>
      </c>
    </row>
    <row r="53" spans="1:14" ht="12.75" customHeight="1" thickBot="1" x14ac:dyDescent="0.25">
      <c r="A53" s="1667" t="s">
        <v>717</v>
      </c>
      <c r="B53" s="1668" t="s">
        <v>33</v>
      </c>
      <c r="C53" s="1669">
        <f>SUM(C49:C52)</f>
        <v>180102</v>
      </c>
      <c r="D53" s="1669">
        <f t="shared" ref="D53:L53" si="5">SUM(D49:D52)</f>
        <v>6733</v>
      </c>
      <c r="E53" s="1669">
        <f t="shared" si="5"/>
        <v>43837</v>
      </c>
      <c r="F53" s="1669">
        <f t="shared" si="5"/>
        <v>2232</v>
      </c>
      <c r="G53" s="1669">
        <f t="shared" si="5"/>
        <v>0</v>
      </c>
      <c r="H53" s="1669">
        <f t="shared" si="5"/>
        <v>6478</v>
      </c>
      <c r="I53" s="1669">
        <f t="shared" si="5"/>
        <v>0</v>
      </c>
      <c r="J53" s="1669">
        <f t="shared" si="5"/>
        <v>0</v>
      </c>
      <c r="K53" s="1669">
        <f t="shared" si="5"/>
        <v>239382</v>
      </c>
      <c r="L53" s="1669">
        <f t="shared" si="5"/>
        <v>296938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524501</v>
      </c>
      <c r="D55" s="481">
        <v>66267</v>
      </c>
      <c r="E55" s="481">
        <v>23013</v>
      </c>
      <c r="F55" s="481">
        <v>3422</v>
      </c>
      <c r="G55" s="481"/>
      <c r="H55" s="481">
        <v>664</v>
      </c>
      <c r="I55" s="467"/>
      <c r="J55" s="467"/>
      <c r="K55" s="1671">
        <f>SUM(C55:J55)</f>
        <v>617867</v>
      </c>
      <c r="L55" s="481">
        <v>659300</v>
      </c>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524501</v>
      </c>
      <c r="D57" s="1673">
        <f t="shared" ref="D57:K57" si="6">SUM(D55:D56)</f>
        <v>66267</v>
      </c>
      <c r="E57" s="1673">
        <f t="shared" si="6"/>
        <v>23013</v>
      </c>
      <c r="F57" s="1673">
        <f t="shared" si="6"/>
        <v>3422</v>
      </c>
      <c r="G57" s="1673">
        <f t="shared" si="6"/>
        <v>0</v>
      </c>
      <c r="H57" s="1673">
        <f t="shared" si="6"/>
        <v>664</v>
      </c>
      <c r="I57" s="1673">
        <f t="shared" si="6"/>
        <v>0</v>
      </c>
      <c r="J57" s="1673">
        <f t="shared" si="6"/>
        <v>0</v>
      </c>
      <c r="K57" s="1673">
        <f t="shared" si="6"/>
        <v>617867</v>
      </c>
      <c r="L57" s="1669">
        <f>SUM(L55:L56)</f>
        <v>659300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v>86950</v>
      </c>
      <c r="D60" s="466">
        <v>17309</v>
      </c>
      <c r="E60" s="466">
        <v>2417</v>
      </c>
      <c r="F60" s="466">
        <v>920</v>
      </c>
      <c r="G60" s="466"/>
      <c r="H60" s="466">
        <v>231</v>
      </c>
      <c r="I60" s="467"/>
      <c r="J60" s="467"/>
      <c r="K60" s="1671">
        <f t="shared" si="7"/>
        <v>107827</v>
      </c>
      <c r="L60" s="466">
        <v>117350</v>
      </c>
      <c r="M60" s="609"/>
      <c r="N60" s="609"/>
    </row>
    <row r="61" spans="1:14" s="343" customFormat="1" x14ac:dyDescent="0.2">
      <c r="A61" s="1504" t="s">
        <v>197</v>
      </c>
      <c r="B61" s="614">
        <v>2540</v>
      </c>
      <c r="C61" s="466"/>
      <c r="D61" s="466">
        <v>13722</v>
      </c>
      <c r="E61" s="466"/>
      <c r="F61" s="466">
        <v>134</v>
      </c>
      <c r="G61" s="466"/>
      <c r="H61" s="466"/>
      <c r="I61" s="467"/>
      <c r="J61" s="467"/>
      <c r="K61" s="1671">
        <f t="shared" si="7"/>
        <v>13856</v>
      </c>
      <c r="L61" s="466">
        <v>10700</v>
      </c>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v>161480</v>
      </c>
      <c r="D63" s="466">
        <v>46189</v>
      </c>
      <c r="E63" s="466">
        <v>4314</v>
      </c>
      <c r="F63" s="466">
        <v>161293</v>
      </c>
      <c r="G63" s="466"/>
      <c r="H63" s="466">
        <v>1664</v>
      </c>
      <c r="I63" s="467"/>
      <c r="J63" s="467"/>
      <c r="K63" s="1671">
        <f t="shared" si="7"/>
        <v>374940</v>
      </c>
      <c r="L63" s="466">
        <v>438750</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248430</v>
      </c>
      <c r="D65" s="1669">
        <f t="shared" ref="D65:L65" si="8">SUM(D59:D64)</f>
        <v>77220</v>
      </c>
      <c r="E65" s="1669">
        <f t="shared" si="8"/>
        <v>6731</v>
      </c>
      <c r="F65" s="1669">
        <f t="shared" si="8"/>
        <v>162347</v>
      </c>
      <c r="G65" s="1669">
        <f t="shared" si="8"/>
        <v>0</v>
      </c>
      <c r="H65" s="1669">
        <f t="shared" si="8"/>
        <v>1895</v>
      </c>
      <c r="I65" s="1669">
        <f t="shared" si="8"/>
        <v>0</v>
      </c>
      <c r="J65" s="1669">
        <f t="shared" si="8"/>
        <v>0</v>
      </c>
      <c r="K65" s="1669">
        <f t="shared" si="8"/>
        <v>496623</v>
      </c>
      <c r="L65" s="1669">
        <f t="shared" si="8"/>
        <v>566800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v>26201</v>
      </c>
      <c r="D71" s="466">
        <v>5261</v>
      </c>
      <c r="E71" s="466"/>
      <c r="F71" s="466"/>
      <c r="G71" s="466"/>
      <c r="H71" s="466"/>
      <c r="I71" s="467"/>
      <c r="J71" s="467"/>
      <c r="K71" s="1671">
        <f>SUM(C71:J71)</f>
        <v>31462</v>
      </c>
      <c r="L71" s="466">
        <v>31225</v>
      </c>
      <c r="M71" s="609"/>
      <c r="N71" s="609"/>
    </row>
    <row r="72" spans="1:14" s="343" customFormat="1" ht="12.75" customHeight="1" thickBot="1" x14ac:dyDescent="0.25">
      <c r="A72" s="1667" t="s">
        <v>37</v>
      </c>
      <c r="B72" s="1674" t="s">
        <v>36</v>
      </c>
      <c r="C72" s="1669">
        <f>SUM(C67:C71)</f>
        <v>26201</v>
      </c>
      <c r="D72" s="1669">
        <f t="shared" ref="D72:K72" si="9">SUM(D67:D71)</f>
        <v>5261</v>
      </c>
      <c r="E72" s="1669">
        <f t="shared" si="9"/>
        <v>0</v>
      </c>
      <c r="F72" s="1669">
        <f t="shared" si="9"/>
        <v>0</v>
      </c>
      <c r="G72" s="1669">
        <f t="shared" si="9"/>
        <v>0</v>
      </c>
      <c r="H72" s="1669">
        <f t="shared" si="9"/>
        <v>0</v>
      </c>
      <c r="I72" s="1669">
        <f t="shared" si="9"/>
        <v>0</v>
      </c>
      <c r="J72" s="1669">
        <f t="shared" si="9"/>
        <v>0</v>
      </c>
      <c r="K72" s="1669">
        <f t="shared" si="9"/>
        <v>31462</v>
      </c>
      <c r="L72" s="1669">
        <f>SUM(L67:L71)</f>
        <v>31225</v>
      </c>
      <c r="M72" s="609"/>
      <c r="N72" s="609"/>
    </row>
    <row r="73" spans="1:14" s="343" customFormat="1" ht="14.25" thickTop="1" thickBot="1" x14ac:dyDescent="0.25">
      <c r="A73" s="1510" t="s">
        <v>980</v>
      </c>
      <c r="B73" s="632" t="s">
        <v>574</v>
      </c>
      <c r="C73" s="573"/>
      <c r="D73" s="573"/>
      <c r="E73" s="573"/>
      <c r="F73" s="573"/>
      <c r="G73" s="573"/>
      <c r="H73" s="573"/>
      <c r="I73" s="531"/>
      <c r="J73" s="531"/>
      <c r="K73" s="1669">
        <f>SUM(C73:J73)</f>
        <v>0</v>
      </c>
      <c r="L73" s="576">
        <v>300</v>
      </c>
      <c r="M73" s="609"/>
      <c r="N73" s="609"/>
    </row>
    <row r="74" spans="1:14" ht="12.75" customHeight="1" thickTop="1" thickBot="1" x14ac:dyDescent="0.25">
      <c r="A74" s="1667" t="s">
        <v>811</v>
      </c>
      <c r="B74" s="1675">
        <v>2000</v>
      </c>
      <c r="C74" s="1676">
        <f>SUM(C42,C47,C53,C57,C65,C72,C73)</f>
        <v>1275763</v>
      </c>
      <c r="D74" s="1676">
        <f t="shared" ref="D74:K74" si="10">SUM(D42,D47,D53,D57,D65,D72,D73)</f>
        <v>205525</v>
      </c>
      <c r="E74" s="1676">
        <f t="shared" si="10"/>
        <v>91362</v>
      </c>
      <c r="F74" s="1676">
        <f t="shared" si="10"/>
        <v>170486</v>
      </c>
      <c r="G74" s="1676">
        <f t="shared" si="10"/>
        <v>0</v>
      </c>
      <c r="H74" s="1676">
        <f t="shared" si="10"/>
        <v>9037</v>
      </c>
      <c r="I74" s="1676">
        <f t="shared" si="10"/>
        <v>0</v>
      </c>
      <c r="J74" s="1676">
        <f t="shared" si="10"/>
        <v>0</v>
      </c>
      <c r="K74" s="1676">
        <f t="shared" si="10"/>
        <v>1752173</v>
      </c>
      <c r="L74" s="1676">
        <f>SUM(L42,L47,L53,L57,L65,L72,L73)</f>
        <v>1939818</v>
      </c>
    </row>
    <row r="75" spans="1:14" s="259" customFormat="1" ht="15.75" customHeight="1" thickTop="1" thickBot="1" x14ac:dyDescent="0.25">
      <c r="A75" s="1610" t="s">
        <v>47</v>
      </c>
      <c r="B75" s="1611" t="s">
        <v>575</v>
      </c>
      <c r="C75" s="573"/>
      <c r="D75" s="573"/>
      <c r="E75" s="573"/>
      <c r="F75" s="573">
        <v>1761</v>
      </c>
      <c r="G75" s="573"/>
      <c r="H75" s="573"/>
      <c r="I75" s="531"/>
      <c r="J75" s="531"/>
      <c r="K75" s="1669">
        <f>SUM(C75:J75)</f>
        <v>1761</v>
      </c>
      <c r="L75" s="576">
        <v>3300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10844</v>
      </c>
      <c r="F78" s="616"/>
      <c r="G78" s="616"/>
      <c r="H78" s="634"/>
      <c r="I78" s="477"/>
      <c r="J78" s="477"/>
      <c r="K78" s="1670">
        <f t="shared" ref="K78:K83" si="11">SUM(C78:J78)</f>
        <v>10844</v>
      </c>
      <c r="L78" s="481">
        <v>5000</v>
      </c>
    </row>
    <row r="79" spans="1:14" x14ac:dyDescent="0.2">
      <c r="A79" s="1504" t="s">
        <v>304</v>
      </c>
      <c r="B79" s="614">
        <v>4120</v>
      </c>
      <c r="C79" s="616"/>
      <c r="D79" s="616"/>
      <c r="E79" s="466">
        <v>31010</v>
      </c>
      <c r="F79" s="616"/>
      <c r="G79" s="616"/>
      <c r="H79" s="466"/>
      <c r="I79" s="477"/>
      <c r="J79" s="477"/>
      <c r="K79" s="1670">
        <f t="shared" si="11"/>
        <v>31010</v>
      </c>
      <c r="L79" s="466">
        <v>55000</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v>500</v>
      </c>
      <c r="F81" s="616"/>
      <c r="G81" s="616"/>
      <c r="H81" s="466"/>
      <c r="I81" s="477"/>
      <c r="J81" s="477"/>
      <c r="K81" s="1670">
        <f t="shared" si="11"/>
        <v>500</v>
      </c>
      <c r="L81" s="466">
        <v>8000</v>
      </c>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v>2144</v>
      </c>
      <c r="I83" s="477"/>
      <c r="J83" s="477"/>
      <c r="K83" s="1670">
        <f t="shared" si="11"/>
        <v>2144</v>
      </c>
      <c r="L83" s="466"/>
    </row>
    <row r="84" spans="1:12" ht="13.5" thickBot="1" x14ac:dyDescent="0.25">
      <c r="A84" s="1667" t="s">
        <v>1485</v>
      </c>
      <c r="B84" s="1677">
        <v>4100</v>
      </c>
      <c r="C84" s="616"/>
      <c r="D84" s="616"/>
      <c r="E84" s="1669">
        <f>SUM(E78:E83)</f>
        <v>42354</v>
      </c>
      <c r="F84" s="616"/>
      <c r="G84" s="616"/>
      <c r="H84" s="1669">
        <f>SUM(H78:H83)</f>
        <v>2144</v>
      </c>
      <c r="I84" s="477"/>
      <c r="J84" s="477"/>
      <c r="K84" s="1669">
        <f>SUM(K78:K83)</f>
        <v>44498</v>
      </c>
      <c r="L84" s="1669">
        <f>SUM(L78:L83)</f>
        <v>68000</v>
      </c>
    </row>
    <row r="85" spans="1:12" ht="12.75" customHeight="1" thickTop="1" thickBot="1" x14ac:dyDescent="0.25">
      <c r="A85" s="1511" t="s">
        <v>255</v>
      </c>
      <c r="B85" s="635">
        <v>4210</v>
      </c>
      <c r="C85" s="616"/>
      <c r="D85" s="616"/>
      <c r="E85" s="636"/>
      <c r="F85" s="616"/>
      <c r="G85" s="616"/>
      <c r="H85" s="535"/>
      <c r="I85" s="477"/>
      <c r="J85" s="477"/>
      <c r="K85" s="1676">
        <f>H85</f>
        <v>0</v>
      </c>
      <c r="L85" s="530">
        <v>7500</v>
      </c>
    </row>
    <row r="86" spans="1:12" ht="12.75" customHeight="1" thickTop="1" thickBot="1" x14ac:dyDescent="0.25">
      <c r="A86" s="1512" t="s">
        <v>699</v>
      </c>
      <c r="B86" s="637">
        <v>4220</v>
      </c>
      <c r="C86" s="616"/>
      <c r="D86" s="616"/>
      <c r="E86" s="638"/>
      <c r="F86" s="616"/>
      <c r="G86" s="616"/>
      <c r="H86" s="467">
        <v>180842</v>
      </c>
      <c r="I86" s="477"/>
      <c r="J86" s="477"/>
      <c r="K86" s="1676">
        <f t="shared" ref="K86:K98" si="12">H86</f>
        <v>180842</v>
      </c>
      <c r="L86" s="530">
        <v>165000</v>
      </c>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180842</v>
      </c>
      <c r="I92" s="477"/>
      <c r="J92" s="477"/>
      <c r="K92" s="1676">
        <f t="shared" si="12"/>
        <v>180842</v>
      </c>
      <c r="L92" s="1669">
        <f>SUM(L85:L91)</f>
        <v>172500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42354</v>
      </c>
      <c r="F102" s="616"/>
      <c r="G102" s="616"/>
      <c r="H102" s="1676">
        <f>SUM(H84,H92,H100,H101)</f>
        <v>182986</v>
      </c>
      <c r="I102" s="477"/>
      <c r="J102" s="477"/>
      <c r="K102" s="1676">
        <f>SUM(K84,K92,K100,K101)</f>
        <v>225340</v>
      </c>
      <c r="L102" s="1676">
        <f>SUM(L84,L92,L100,L101)</f>
        <v>240500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4804788</v>
      </c>
      <c r="D114" s="1669">
        <f t="shared" ref="D114:K114" si="13">SUM(D33,D74,D75,D102,D112,D113)</f>
        <v>693826</v>
      </c>
      <c r="E114" s="1669">
        <f t="shared" si="13"/>
        <v>233797</v>
      </c>
      <c r="F114" s="1669">
        <f t="shared" si="13"/>
        <v>365958</v>
      </c>
      <c r="G114" s="1669">
        <f t="shared" si="13"/>
        <v>176648</v>
      </c>
      <c r="H114" s="1669">
        <f>SUM(H33,H74,H75,H102,H112,H113)</f>
        <v>215633</v>
      </c>
      <c r="I114" s="1669">
        <f t="shared" si="13"/>
        <v>0</v>
      </c>
      <c r="J114" s="1669">
        <f t="shared" si="13"/>
        <v>0</v>
      </c>
      <c r="K114" s="1669">
        <f t="shared" si="13"/>
        <v>6490650</v>
      </c>
      <c r="L114" s="1669">
        <f>SUM(L33,L74,L75,L102,L112,L113)</f>
        <v>7161370</v>
      </c>
    </row>
    <row r="115" spans="1:14" ht="13.5" thickTop="1" x14ac:dyDescent="0.2">
      <c r="A115" s="2182" t="s">
        <v>996</v>
      </c>
      <c r="B115" s="2183"/>
      <c r="C115" s="618"/>
      <c r="D115" s="618"/>
      <c r="E115" s="618"/>
      <c r="F115" s="618"/>
      <c r="G115" s="618"/>
      <c r="H115" s="618"/>
      <c r="I115" s="618"/>
      <c r="J115" s="618"/>
      <c r="K115" s="1683">
        <f>'Revenues 9-14'!C268-'Expenditures 15-22'!K114</f>
        <v>243020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v>242136</v>
      </c>
      <c r="D124" s="466">
        <v>41141</v>
      </c>
      <c r="E124" s="466">
        <v>124896</v>
      </c>
      <c r="F124" s="466">
        <v>188293</v>
      </c>
      <c r="G124" s="466">
        <v>55789</v>
      </c>
      <c r="H124" s="466">
        <v>10</v>
      </c>
      <c r="I124" s="467"/>
      <c r="J124" s="467"/>
      <c r="K124" s="1669">
        <f>SUM(C124:J124)</f>
        <v>652265</v>
      </c>
      <c r="L124" s="466">
        <v>1031350</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242136</v>
      </c>
      <c r="D127" s="1669">
        <f t="shared" ref="D127:L127" si="14">SUM(D122:D126)</f>
        <v>41141</v>
      </c>
      <c r="E127" s="1669">
        <f t="shared" si="14"/>
        <v>124896</v>
      </c>
      <c r="F127" s="1669">
        <f t="shared" si="14"/>
        <v>188293</v>
      </c>
      <c r="G127" s="1669">
        <f t="shared" si="14"/>
        <v>55789</v>
      </c>
      <c r="H127" s="1669">
        <f t="shared" si="14"/>
        <v>10</v>
      </c>
      <c r="I127" s="1669">
        <f t="shared" si="14"/>
        <v>0</v>
      </c>
      <c r="J127" s="1669">
        <f t="shared" si="14"/>
        <v>0</v>
      </c>
      <c r="K127" s="1669">
        <f t="shared" si="14"/>
        <v>652265</v>
      </c>
      <c r="L127" s="1669">
        <f t="shared" si="14"/>
        <v>1031350</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242136</v>
      </c>
      <c r="D129" s="1676">
        <f t="shared" ref="D129:L129" si="15">SUM(D120,D127,D128)</f>
        <v>41141</v>
      </c>
      <c r="E129" s="1676">
        <f t="shared" si="15"/>
        <v>124896</v>
      </c>
      <c r="F129" s="1676">
        <f t="shared" si="15"/>
        <v>188293</v>
      </c>
      <c r="G129" s="1676">
        <f t="shared" si="15"/>
        <v>55789</v>
      </c>
      <c r="H129" s="1676">
        <f t="shared" si="15"/>
        <v>10</v>
      </c>
      <c r="I129" s="1676">
        <f t="shared" si="15"/>
        <v>0</v>
      </c>
      <c r="J129" s="1676">
        <f t="shared" si="15"/>
        <v>0</v>
      </c>
      <c r="K129" s="1676">
        <f t="shared" si="15"/>
        <v>652265</v>
      </c>
      <c r="L129" s="1676">
        <f t="shared" si="15"/>
        <v>1031350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69">
        <f>SUM(C129,C130,C139,C149,C150)</f>
        <v>242136</v>
      </c>
      <c r="D151" s="1669">
        <f t="shared" ref="D151:K151" si="16">SUM(D129,D130,D139,D149,D150)</f>
        <v>41141</v>
      </c>
      <c r="E151" s="1669">
        <f t="shared" si="16"/>
        <v>124896</v>
      </c>
      <c r="F151" s="1669">
        <f t="shared" si="16"/>
        <v>188293</v>
      </c>
      <c r="G151" s="1669">
        <f t="shared" si="16"/>
        <v>55789</v>
      </c>
      <c r="H151" s="1669">
        <f t="shared" si="16"/>
        <v>10</v>
      </c>
      <c r="I151" s="1669">
        <f t="shared" si="16"/>
        <v>0</v>
      </c>
      <c r="J151" s="1669">
        <f t="shared" si="16"/>
        <v>0</v>
      </c>
      <c r="K151" s="1669">
        <f t="shared" si="16"/>
        <v>652265</v>
      </c>
      <c r="L151" s="1669">
        <f>SUM(L129,L130,L139,L149,L150)</f>
        <v>1031350</v>
      </c>
    </row>
    <row r="152" spans="1:14" ht="12.75" customHeight="1" thickTop="1" x14ac:dyDescent="0.2">
      <c r="A152" s="2175" t="s">
        <v>1178</v>
      </c>
      <c r="B152" s="2176"/>
      <c r="C152" s="618"/>
      <c r="D152" s="618"/>
      <c r="E152" s="618"/>
      <c r="F152" s="618"/>
      <c r="G152" s="618"/>
      <c r="H152" s="618"/>
      <c r="I152" s="618"/>
      <c r="J152" s="616"/>
      <c r="K152" s="1683">
        <f>'Revenues 9-14'!D268-'Expenditures 15-22'!K151</f>
        <v>275496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113436</v>
      </c>
      <c r="I169" s="616"/>
      <c r="J169" s="616"/>
      <c r="K169" s="1670">
        <f>SUM(C169:H169)</f>
        <v>113436</v>
      </c>
      <c r="L169" s="656">
        <v>117000</v>
      </c>
    </row>
    <row r="170" spans="1:14" ht="33.75" customHeight="1" x14ac:dyDescent="0.2">
      <c r="A170" s="669" t="s">
        <v>1670</v>
      </c>
      <c r="B170" s="671" t="s">
        <v>31</v>
      </c>
      <c r="C170" s="616"/>
      <c r="D170" s="616"/>
      <c r="E170" s="616"/>
      <c r="F170" s="616"/>
      <c r="G170" s="616"/>
      <c r="H170" s="569">
        <v>350630</v>
      </c>
      <c r="I170" s="616"/>
      <c r="J170" s="616"/>
      <c r="K170" s="1670">
        <f>SUM(C170:J170)</f>
        <v>350630</v>
      </c>
      <c r="L170" s="569">
        <v>355630</v>
      </c>
    </row>
    <row r="171" spans="1:14" ht="15.75" customHeight="1" x14ac:dyDescent="0.2">
      <c r="A171" s="621" t="s">
        <v>766</v>
      </c>
      <c r="B171" s="672" t="s">
        <v>84</v>
      </c>
      <c r="C171" s="616"/>
      <c r="D171" s="616"/>
      <c r="E171" s="466"/>
      <c r="F171" s="616"/>
      <c r="G171" s="616"/>
      <c r="H171" s="569">
        <v>318</v>
      </c>
      <c r="I171" s="477"/>
      <c r="J171" s="616"/>
      <c r="K171" s="1670">
        <f>SUM(C171:J171)</f>
        <v>318</v>
      </c>
      <c r="L171" s="569">
        <v>1400</v>
      </c>
    </row>
    <row r="172" spans="1:14" ht="12.75" customHeight="1" thickBot="1" x14ac:dyDescent="0.25">
      <c r="A172" s="1667" t="s">
        <v>638</v>
      </c>
      <c r="B172" s="1668" t="s">
        <v>492</v>
      </c>
      <c r="C172" s="616"/>
      <c r="D172" s="616"/>
      <c r="E172" s="1676">
        <f>SUM(E168,E169,E170,E171)</f>
        <v>0</v>
      </c>
      <c r="F172" s="616"/>
      <c r="G172" s="616"/>
      <c r="H172" s="1676">
        <f>SUM(H168,H169,H170,H171)</f>
        <v>464384</v>
      </c>
      <c r="I172" s="638"/>
      <c r="J172" s="616"/>
      <c r="K172" s="1676">
        <f>SUM(K168,K169,K170,K171)</f>
        <v>464384</v>
      </c>
      <c r="L172" s="1676">
        <f>SUM(L168,L169,L170,L171)</f>
        <v>474030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464384</v>
      </c>
      <c r="I174" s="638"/>
      <c r="J174" s="616"/>
      <c r="K174" s="1676">
        <f>SUM(K160,K172,K173)</f>
        <v>464384</v>
      </c>
      <c r="L174" s="1676">
        <f>SUM(L160,L172,L173)</f>
        <v>474030</v>
      </c>
    </row>
    <row r="175" spans="1:14" ht="13.5" thickTop="1" x14ac:dyDescent="0.2">
      <c r="A175" s="2182" t="s">
        <v>996</v>
      </c>
      <c r="B175" s="2183"/>
      <c r="C175" s="616"/>
      <c r="D175" s="616"/>
      <c r="E175" s="616"/>
      <c r="F175" s="616"/>
      <c r="G175" s="616"/>
      <c r="H175" s="618"/>
      <c r="I175" s="616"/>
      <c r="J175" s="616"/>
      <c r="K175" s="1683">
        <f>'Revenues 9-14'!E268-'Expenditures 15-22'!K174</f>
        <v>9104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293971</v>
      </c>
      <c r="D182" s="466">
        <v>5261</v>
      </c>
      <c r="E182" s="466">
        <v>272899</v>
      </c>
      <c r="F182" s="466">
        <v>80268</v>
      </c>
      <c r="G182" s="466">
        <v>26900</v>
      </c>
      <c r="H182" s="466"/>
      <c r="I182" s="467"/>
      <c r="J182" s="467"/>
      <c r="K182" s="1670">
        <f>SUM(C182:J182)</f>
        <v>679299</v>
      </c>
      <c r="L182" s="466">
        <v>784975</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293971</v>
      </c>
      <c r="D184" s="1676">
        <f t="shared" ref="D184:J184" si="17">SUM(D180,D182,D183)</f>
        <v>5261</v>
      </c>
      <c r="E184" s="1676">
        <f t="shared" si="17"/>
        <v>272899</v>
      </c>
      <c r="F184" s="1676">
        <f t="shared" si="17"/>
        <v>80268</v>
      </c>
      <c r="G184" s="1676">
        <f t="shared" si="17"/>
        <v>26900</v>
      </c>
      <c r="H184" s="1676">
        <f t="shared" si="17"/>
        <v>0</v>
      </c>
      <c r="I184" s="1676">
        <f t="shared" si="17"/>
        <v>0</v>
      </c>
      <c r="J184" s="1676">
        <f t="shared" si="17"/>
        <v>0</v>
      </c>
      <c r="K184" s="1676">
        <f>SUM(K180,K182,K183)</f>
        <v>679299</v>
      </c>
      <c r="L184" s="1676">
        <f>SUM(L180, L182:L183)</f>
        <v>784975</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293971</v>
      </c>
      <c r="D210" s="1669">
        <f>SUM(D184,D185)</f>
        <v>5261</v>
      </c>
      <c r="E210" s="1669">
        <f>SUM(E184,E185,E196)</f>
        <v>272899</v>
      </c>
      <c r="F210" s="1669">
        <f>SUM(F184,F185)</f>
        <v>80268</v>
      </c>
      <c r="G210" s="1669">
        <f>SUM(G184,G185)</f>
        <v>26900</v>
      </c>
      <c r="H210" s="1669">
        <f>SUM(H184,H185,H196,H208,H209)</f>
        <v>0</v>
      </c>
      <c r="I210" s="1669">
        <f>SUM(I184,I185)</f>
        <v>0</v>
      </c>
      <c r="J210" s="1669">
        <f>SUM(J184,J185)</f>
        <v>0</v>
      </c>
      <c r="K210" s="1670">
        <f>SUM(K184,K185,K196,K208,K209)</f>
        <v>679299</v>
      </c>
      <c r="L210" s="1669">
        <f>SUM(L184,L185,L196,L208,L209)</f>
        <v>784975</v>
      </c>
    </row>
    <row r="211" spans="1:14" ht="13.5" thickTop="1" x14ac:dyDescent="0.2">
      <c r="A211" s="2182" t="s">
        <v>996</v>
      </c>
      <c r="B211" s="2183"/>
      <c r="C211" s="618"/>
      <c r="D211" s="618"/>
      <c r="E211" s="618"/>
      <c r="F211" s="618"/>
      <c r="G211" s="618"/>
      <c r="H211" s="618"/>
      <c r="I211" s="616"/>
      <c r="J211" s="616"/>
      <c r="K211" s="1683">
        <f>'Revenues 9-14'!F268-'Expenditures 15-22'!K210</f>
        <v>138159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41340</v>
      </c>
      <c r="E215" s="616"/>
      <c r="F215" s="616"/>
      <c r="G215" s="616"/>
      <c r="H215" s="616"/>
      <c r="I215" s="616"/>
      <c r="J215" s="616"/>
      <c r="K215" s="1670">
        <f>D215</f>
        <v>41340</v>
      </c>
      <c r="L215" s="466">
        <v>50200</v>
      </c>
    </row>
    <row r="216" spans="1:14" x14ac:dyDescent="0.2">
      <c r="A216" s="1504" t="s">
        <v>163</v>
      </c>
      <c r="B216" s="614" t="s">
        <v>967</v>
      </c>
      <c r="C216" s="616"/>
      <c r="D216" s="467">
        <v>11836</v>
      </c>
      <c r="E216" s="616"/>
      <c r="F216" s="616"/>
      <c r="G216" s="616"/>
      <c r="H216" s="616"/>
      <c r="I216" s="616"/>
      <c r="J216" s="616"/>
      <c r="K216" s="1670">
        <f t="shared" ref="K216:K228" si="19">D216</f>
        <v>11836</v>
      </c>
      <c r="L216" s="466">
        <v>19700</v>
      </c>
    </row>
    <row r="217" spans="1:14" x14ac:dyDescent="0.2">
      <c r="A217" s="1504" t="s">
        <v>164</v>
      </c>
      <c r="B217" s="614">
        <v>1200</v>
      </c>
      <c r="C217" s="616"/>
      <c r="D217" s="466">
        <v>54462</v>
      </c>
      <c r="E217" s="616"/>
      <c r="F217" s="616"/>
      <c r="G217" s="616"/>
      <c r="H217" s="616"/>
      <c r="I217" s="616"/>
      <c r="J217" s="616"/>
      <c r="K217" s="1670">
        <f t="shared" si="19"/>
        <v>54462</v>
      </c>
      <c r="L217" s="466">
        <v>72500</v>
      </c>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v>12362</v>
      </c>
      <c r="E219" s="616"/>
      <c r="F219" s="616"/>
      <c r="G219" s="616"/>
      <c r="H219" s="616"/>
      <c r="I219" s="616"/>
      <c r="J219" s="616"/>
      <c r="K219" s="1670">
        <f t="shared" si="19"/>
        <v>12362</v>
      </c>
      <c r="L219" s="466">
        <v>14300</v>
      </c>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v>11665</v>
      </c>
      <c r="E222" s="616"/>
      <c r="F222" s="616"/>
      <c r="G222" s="616"/>
      <c r="H222" s="616"/>
      <c r="I222" s="616"/>
      <c r="J222" s="616"/>
      <c r="K222" s="1670">
        <f t="shared" si="19"/>
        <v>11665</v>
      </c>
      <c r="L222" s="466">
        <v>12770</v>
      </c>
    </row>
    <row r="223" spans="1:14" x14ac:dyDescent="0.2">
      <c r="A223" s="1504" t="s">
        <v>963</v>
      </c>
      <c r="B223" s="614">
        <v>1500</v>
      </c>
      <c r="C223" s="616"/>
      <c r="D223" s="466">
        <v>5444</v>
      </c>
      <c r="E223" s="616"/>
      <c r="F223" s="616"/>
      <c r="G223" s="616"/>
      <c r="H223" s="616"/>
      <c r="I223" s="616"/>
      <c r="J223" s="616"/>
      <c r="K223" s="1670">
        <f t="shared" si="19"/>
        <v>5444</v>
      </c>
      <c r="L223" s="466">
        <v>7050</v>
      </c>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v>310</v>
      </c>
      <c r="E225" s="616"/>
      <c r="F225" s="616"/>
      <c r="G225" s="616"/>
      <c r="H225" s="616"/>
      <c r="I225" s="616"/>
      <c r="J225" s="616"/>
      <c r="K225" s="1670">
        <f t="shared" si="19"/>
        <v>310</v>
      </c>
      <c r="L225" s="466">
        <v>740</v>
      </c>
    </row>
    <row r="226" spans="1:12" x14ac:dyDescent="0.2">
      <c r="A226" s="1504" t="s">
        <v>724</v>
      </c>
      <c r="B226" s="614" t="s">
        <v>162</v>
      </c>
      <c r="C226" s="616"/>
      <c r="D226" s="467">
        <v>337</v>
      </c>
      <c r="E226" s="616"/>
      <c r="F226" s="616"/>
      <c r="G226" s="616"/>
      <c r="H226" s="616"/>
      <c r="I226" s="616"/>
      <c r="J226" s="616"/>
      <c r="K226" s="1670">
        <f t="shared" si="19"/>
        <v>337</v>
      </c>
      <c r="L226" s="466">
        <v>400</v>
      </c>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137756</v>
      </c>
      <c r="E229" s="616"/>
      <c r="F229" s="616"/>
      <c r="G229" s="616"/>
      <c r="H229" s="616"/>
      <c r="I229" s="616"/>
      <c r="J229" s="616"/>
      <c r="K229" s="1669">
        <f>SUM(K215:K228)</f>
        <v>137756</v>
      </c>
      <c r="L229" s="1669">
        <f>SUM(L215:L228)</f>
        <v>177660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row>
    <row r="233" spans="1:12" x14ac:dyDescent="0.2">
      <c r="A233" s="1504" t="s">
        <v>1090</v>
      </c>
      <c r="B233" s="614">
        <v>2120</v>
      </c>
      <c r="C233" s="616"/>
      <c r="D233" s="466">
        <v>755</v>
      </c>
      <c r="E233" s="616"/>
      <c r="F233" s="616"/>
      <c r="G233" s="616"/>
      <c r="H233" s="616"/>
      <c r="I233" s="616"/>
      <c r="J233" s="616"/>
      <c r="K233" s="1670">
        <f t="shared" si="20"/>
        <v>755</v>
      </c>
      <c r="L233" s="466">
        <v>700</v>
      </c>
    </row>
    <row r="234" spans="1:12" x14ac:dyDescent="0.2">
      <c r="A234" s="1504" t="s">
        <v>198</v>
      </c>
      <c r="B234" s="614">
        <v>2130</v>
      </c>
      <c r="C234" s="616"/>
      <c r="D234" s="466">
        <v>4596</v>
      </c>
      <c r="E234" s="616"/>
      <c r="F234" s="616"/>
      <c r="G234" s="616"/>
      <c r="H234" s="616"/>
      <c r="I234" s="616"/>
      <c r="J234" s="616"/>
      <c r="K234" s="1670">
        <f t="shared" si="20"/>
        <v>4596</v>
      </c>
      <c r="L234" s="466">
        <v>3350</v>
      </c>
    </row>
    <row r="235" spans="1:12" x14ac:dyDescent="0.2">
      <c r="A235" s="1504" t="s">
        <v>199</v>
      </c>
      <c r="B235" s="614">
        <v>2140</v>
      </c>
      <c r="C235" s="616"/>
      <c r="D235" s="466">
        <v>1012</v>
      </c>
      <c r="E235" s="616"/>
      <c r="F235" s="616"/>
      <c r="G235" s="616"/>
      <c r="H235" s="616"/>
      <c r="I235" s="616"/>
      <c r="J235" s="616"/>
      <c r="K235" s="1670">
        <f t="shared" si="20"/>
        <v>1012</v>
      </c>
      <c r="L235" s="466">
        <v>1000</v>
      </c>
    </row>
    <row r="236" spans="1:12" x14ac:dyDescent="0.2">
      <c r="A236" s="1504" t="s">
        <v>200</v>
      </c>
      <c r="B236" s="614">
        <v>2150</v>
      </c>
      <c r="C236" s="616"/>
      <c r="D236" s="466">
        <v>729</v>
      </c>
      <c r="E236" s="616"/>
      <c r="F236" s="616"/>
      <c r="G236" s="616"/>
      <c r="H236" s="616"/>
      <c r="I236" s="616"/>
      <c r="J236" s="616"/>
      <c r="K236" s="1670">
        <f t="shared" si="20"/>
        <v>729</v>
      </c>
      <c r="L236" s="466">
        <v>750</v>
      </c>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7092</v>
      </c>
      <c r="E238" s="616"/>
      <c r="F238" s="616"/>
      <c r="G238" s="616"/>
      <c r="H238" s="616"/>
      <c r="I238" s="616"/>
      <c r="J238" s="616"/>
      <c r="K238" s="1669">
        <f>SUM(K232:K237)</f>
        <v>7092</v>
      </c>
      <c r="L238" s="1669">
        <f>SUM(L232:L237)</f>
        <v>5800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v>25</v>
      </c>
    </row>
    <row r="241" spans="1:12" x14ac:dyDescent="0.2">
      <c r="A241" s="1504" t="s">
        <v>815</v>
      </c>
      <c r="B241" s="614">
        <v>2220</v>
      </c>
      <c r="C241" s="616"/>
      <c r="D241" s="466">
        <v>8248</v>
      </c>
      <c r="E241" s="616"/>
      <c r="F241" s="616"/>
      <c r="G241" s="616"/>
      <c r="H241" s="616"/>
      <c r="I241" s="616"/>
      <c r="J241" s="616"/>
      <c r="K241" s="1671">
        <f>D241</f>
        <v>8248</v>
      </c>
      <c r="L241" s="466">
        <v>9500</v>
      </c>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8248</v>
      </c>
      <c r="E243" s="616"/>
      <c r="F243" s="616"/>
      <c r="G243" s="616"/>
      <c r="H243" s="616"/>
      <c r="I243" s="616"/>
      <c r="J243" s="616"/>
      <c r="K243" s="1669">
        <f>SUM(K240:K242)</f>
        <v>8248</v>
      </c>
      <c r="L243" s="1669">
        <f>SUM(L240:L242)</f>
        <v>9525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v>2300</v>
      </c>
    </row>
    <row r="246" spans="1:12" x14ac:dyDescent="0.2">
      <c r="A246" s="1504" t="s">
        <v>818</v>
      </c>
      <c r="B246" s="614">
        <v>2320</v>
      </c>
      <c r="C246" s="616"/>
      <c r="D246" s="466">
        <v>8313</v>
      </c>
      <c r="E246" s="616"/>
      <c r="F246" s="616"/>
      <c r="G246" s="616"/>
      <c r="H246" s="616"/>
      <c r="I246" s="616"/>
      <c r="J246" s="616"/>
      <c r="K246" s="1671">
        <f t="shared" ref="K246:K256" si="21">D246</f>
        <v>8313</v>
      </c>
      <c r="L246" s="466">
        <v>11100</v>
      </c>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8313</v>
      </c>
      <c r="E257" s="616"/>
      <c r="F257" s="616"/>
      <c r="G257" s="616"/>
      <c r="H257" s="616"/>
      <c r="I257" s="616"/>
      <c r="J257" s="616"/>
      <c r="K257" s="1669">
        <f>SUM(K245:K256)</f>
        <v>8313</v>
      </c>
      <c r="L257" s="1669">
        <f>SUM(L245:L256)</f>
        <v>13400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28357</v>
      </c>
      <c r="E259" s="616"/>
      <c r="F259" s="616"/>
      <c r="G259" s="616"/>
      <c r="H259" s="616"/>
      <c r="I259" s="616"/>
      <c r="J259" s="616"/>
      <c r="K259" s="1671">
        <f>D259</f>
        <v>28357</v>
      </c>
      <c r="L259" s="481">
        <v>35000</v>
      </c>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28357</v>
      </c>
      <c r="E261" s="616"/>
      <c r="F261" s="616"/>
      <c r="G261" s="616"/>
      <c r="H261" s="616"/>
      <c r="I261" s="616"/>
      <c r="J261" s="616"/>
      <c r="K261" s="1669">
        <f>SUM(K259:K260)</f>
        <v>28357</v>
      </c>
      <c r="L261" s="1669">
        <f>SUM(L259:L260)</f>
        <v>35000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v>15211</v>
      </c>
      <c r="E264" s="616"/>
      <c r="F264" s="616"/>
      <c r="G264" s="616"/>
      <c r="H264" s="616"/>
      <c r="I264" s="616"/>
      <c r="J264" s="616"/>
      <c r="K264" s="1671">
        <f t="shared" ref="K264:K269" si="22">D264</f>
        <v>15211</v>
      </c>
      <c r="L264" s="466">
        <v>17700</v>
      </c>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v>43185</v>
      </c>
      <c r="E266" s="616"/>
      <c r="F266" s="616"/>
      <c r="G266" s="616"/>
      <c r="H266" s="616"/>
      <c r="I266" s="616"/>
      <c r="J266" s="616"/>
      <c r="K266" s="1671">
        <f t="shared" si="22"/>
        <v>43185</v>
      </c>
      <c r="L266" s="466">
        <v>59100</v>
      </c>
    </row>
    <row r="267" spans="1:14" x14ac:dyDescent="0.2">
      <c r="A267" s="1504" t="s">
        <v>953</v>
      </c>
      <c r="B267" s="614">
        <v>2550</v>
      </c>
      <c r="C267" s="616"/>
      <c r="D267" s="466">
        <v>40358</v>
      </c>
      <c r="E267" s="616"/>
      <c r="F267" s="616"/>
      <c r="G267" s="616"/>
      <c r="H267" s="616"/>
      <c r="I267" s="616"/>
      <c r="J267" s="616"/>
      <c r="K267" s="1671">
        <f t="shared" si="22"/>
        <v>40358</v>
      </c>
      <c r="L267" s="466">
        <v>53200</v>
      </c>
    </row>
    <row r="268" spans="1:14" x14ac:dyDescent="0.2">
      <c r="A268" s="1504" t="s">
        <v>100</v>
      </c>
      <c r="B268" s="614">
        <v>2560</v>
      </c>
      <c r="C268" s="616"/>
      <c r="D268" s="466">
        <v>27896</v>
      </c>
      <c r="E268" s="616"/>
      <c r="F268" s="616"/>
      <c r="G268" s="616"/>
      <c r="H268" s="616"/>
      <c r="I268" s="616"/>
      <c r="J268" s="616"/>
      <c r="K268" s="1671">
        <f t="shared" si="22"/>
        <v>27896</v>
      </c>
      <c r="L268" s="466">
        <v>37750</v>
      </c>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126650</v>
      </c>
      <c r="E270" s="616"/>
      <c r="F270" s="616"/>
      <c r="G270" s="616"/>
      <c r="H270" s="616"/>
      <c r="I270" s="616"/>
      <c r="J270" s="616"/>
      <c r="K270" s="1669">
        <f>SUM(K263:K269)</f>
        <v>126650</v>
      </c>
      <c r="L270" s="1669">
        <f>SUM(L263:L269)</f>
        <v>167750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v>4399</v>
      </c>
      <c r="E276" s="616"/>
      <c r="F276" s="616"/>
      <c r="G276" s="616"/>
      <c r="H276" s="616"/>
      <c r="I276" s="616"/>
      <c r="J276" s="616"/>
      <c r="K276" s="1671">
        <f>D276</f>
        <v>4399</v>
      </c>
      <c r="L276" s="466">
        <v>4700</v>
      </c>
    </row>
    <row r="277" spans="1:12" ht="12.75" customHeight="1" thickBot="1" x14ac:dyDescent="0.25">
      <c r="A277" s="1690" t="s">
        <v>37</v>
      </c>
      <c r="B277" s="1668" t="s">
        <v>36</v>
      </c>
      <c r="C277" s="616"/>
      <c r="D277" s="1669">
        <f>SUM(D272:D276)</f>
        <v>4399</v>
      </c>
      <c r="E277" s="616"/>
      <c r="F277" s="616"/>
      <c r="G277" s="616"/>
      <c r="H277" s="616"/>
      <c r="I277" s="616"/>
      <c r="J277" s="616"/>
      <c r="K277" s="1669">
        <f>SUM(K272:K276)</f>
        <v>4399</v>
      </c>
      <c r="L277" s="1669">
        <f>SUM(L272:L276)</f>
        <v>4700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183059</v>
      </c>
      <c r="E279" s="616"/>
      <c r="F279" s="616"/>
      <c r="G279" s="616"/>
      <c r="H279" s="616"/>
      <c r="I279" s="616"/>
      <c r="J279" s="616"/>
      <c r="K279" s="1676">
        <f>SUM(K238,K243,K257,K261,K270,K277,K278)</f>
        <v>183059</v>
      </c>
      <c r="L279" s="1676">
        <f>SUM(L238,L243,L257,L261,L270,L277,L278)</f>
        <v>236175</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69">
        <f>SUM(D229,D279,D280,D285)</f>
        <v>320815</v>
      </c>
      <c r="E295" s="616"/>
      <c r="F295" s="616"/>
      <c r="G295" s="616"/>
      <c r="H295" s="1669">
        <f>H293</f>
        <v>0</v>
      </c>
      <c r="I295" s="616"/>
      <c r="J295" s="616"/>
      <c r="K295" s="1669">
        <f>SUM(K229,K279,K280,K285,K293,K294)</f>
        <v>320815</v>
      </c>
      <c r="L295" s="1669">
        <f>SUM(L229,L279,L280,L285,L293,L294)</f>
        <v>413835</v>
      </c>
    </row>
    <row r="296" spans="1:14" ht="13.5" thickTop="1" x14ac:dyDescent="0.2">
      <c r="A296" s="2182" t="s">
        <v>996</v>
      </c>
      <c r="B296" s="2183"/>
      <c r="C296" s="616"/>
      <c r="D296" s="618"/>
      <c r="E296" s="616"/>
      <c r="F296" s="616"/>
      <c r="G296" s="616"/>
      <c r="H296" s="687"/>
      <c r="I296" s="616"/>
      <c r="J296" s="616"/>
      <c r="K296" s="1683">
        <f>'Revenues 9-14'!G268-'Expenditures 15-22'!K295</f>
        <v>13017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6" t="s">
        <v>996</v>
      </c>
      <c r="B313" s="2167"/>
      <c r="C313" s="626"/>
      <c r="D313" s="626"/>
      <c r="E313" s="626"/>
      <c r="F313" s="626"/>
      <c r="G313" s="626"/>
      <c r="H313" s="626"/>
      <c r="I313" s="626"/>
      <c r="J313" s="626"/>
      <c r="K313" s="1684">
        <f>'Revenues 9-14'!H268-'Expenditures 15-22'!K312</f>
        <v>6631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0">
        <f t="shared" ref="K320:K327" si="24">SUM(C320:J320)</f>
        <v>0</v>
      </c>
      <c r="L320" s="467">
        <v>60000</v>
      </c>
      <c r="M320" s="665"/>
      <c r="N320" s="665"/>
    </row>
    <row r="321" spans="1:14" s="674" customFormat="1" x14ac:dyDescent="0.2">
      <c r="A321" s="1519" t="s">
        <v>300</v>
      </c>
      <c r="B321" s="697" t="s">
        <v>283</v>
      </c>
      <c r="C321" s="467"/>
      <c r="D321" s="467"/>
      <c r="E321" s="467">
        <v>14660</v>
      </c>
      <c r="F321" s="467"/>
      <c r="G321" s="467"/>
      <c r="H321" s="467"/>
      <c r="I321" s="467"/>
      <c r="J321" s="467"/>
      <c r="K321" s="1670">
        <f t="shared" si="24"/>
        <v>14660</v>
      </c>
      <c r="L321" s="467">
        <v>30000</v>
      </c>
      <c r="M321" s="665"/>
      <c r="N321" s="665"/>
    </row>
    <row r="322" spans="1:14" s="674" customFormat="1" x14ac:dyDescent="0.2">
      <c r="A322" s="1519" t="s">
        <v>238</v>
      </c>
      <c r="B322" s="697" t="s">
        <v>284</v>
      </c>
      <c r="C322" s="467"/>
      <c r="D322" s="467"/>
      <c r="E322" s="467">
        <v>151455</v>
      </c>
      <c r="F322" s="467"/>
      <c r="G322" s="467"/>
      <c r="H322" s="467"/>
      <c r="I322" s="467"/>
      <c r="J322" s="467"/>
      <c r="K322" s="1670">
        <f t="shared" si="24"/>
        <v>151455</v>
      </c>
      <c r="L322" s="467">
        <v>115000</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v>6029</v>
      </c>
      <c r="F325" s="467">
        <v>2301</v>
      </c>
      <c r="G325" s="467"/>
      <c r="H325" s="467"/>
      <c r="I325" s="467"/>
      <c r="J325" s="467"/>
      <c r="K325" s="1670">
        <f t="shared" si="24"/>
        <v>8330</v>
      </c>
      <c r="L325" s="467">
        <v>7000</v>
      </c>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v>25261</v>
      </c>
      <c r="F327" s="467"/>
      <c r="G327" s="467"/>
      <c r="H327" s="467"/>
      <c r="I327" s="467"/>
      <c r="J327" s="467"/>
      <c r="K327" s="1670">
        <f t="shared" si="24"/>
        <v>25261</v>
      </c>
      <c r="L327" s="467">
        <v>50000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197405</v>
      </c>
      <c r="F330" s="1669">
        <f t="shared" si="25"/>
        <v>2301</v>
      </c>
      <c r="G330" s="1669">
        <f t="shared" si="25"/>
        <v>0</v>
      </c>
      <c r="H330" s="1669">
        <f t="shared" si="25"/>
        <v>0</v>
      </c>
      <c r="I330" s="1669">
        <f t="shared" si="25"/>
        <v>0</v>
      </c>
      <c r="J330" s="1669">
        <f t="shared" si="25"/>
        <v>0</v>
      </c>
      <c r="K330" s="1669">
        <f>SUM(K319:K329)</f>
        <v>199706</v>
      </c>
      <c r="L330" s="1669">
        <f>SUM(L319:L329)</f>
        <v>262000</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197405</v>
      </c>
      <c r="F342" s="1669">
        <f>SUM(F330)</f>
        <v>2301</v>
      </c>
      <c r="G342" s="1669">
        <f>SUM(G330)</f>
        <v>0</v>
      </c>
      <c r="H342" s="1669">
        <f>SUM(H330,H334,H340)</f>
        <v>0</v>
      </c>
      <c r="I342" s="1669">
        <f>SUM(I330)</f>
        <v>0</v>
      </c>
      <c r="J342" s="1669">
        <f>SUM(J330)</f>
        <v>0</v>
      </c>
      <c r="K342" s="1669">
        <f>SUM(K330,K334,K340)</f>
        <v>199706</v>
      </c>
      <c r="L342" s="1676">
        <f>SUM(L330,L334,L340,L341)</f>
        <v>262000</v>
      </c>
    </row>
    <row r="343" spans="1:14" ht="12.75" customHeight="1" thickTop="1" x14ac:dyDescent="0.2">
      <c r="A343" s="2168" t="s">
        <v>996</v>
      </c>
      <c r="B343" s="2169"/>
      <c r="C343" s="616"/>
      <c r="D343" s="616"/>
      <c r="E343" s="616"/>
      <c r="F343" s="616"/>
      <c r="G343" s="616"/>
      <c r="H343" s="616"/>
      <c r="I343" s="616"/>
      <c r="J343" s="616"/>
      <c r="K343" s="1683">
        <f>'Revenues 9-14'!J268-'Expenditures 15-22'!K342</f>
        <v>29950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300808</v>
      </c>
      <c r="H348" s="466"/>
      <c r="I348" s="467"/>
      <c r="J348" s="467"/>
      <c r="K348" s="1670">
        <f>SUM(C348:J348)</f>
        <v>300808</v>
      </c>
      <c r="L348" s="466">
        <v>501000</v>
      </c>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300808</v>
      </c>
      <c r="H350" s="1669">
        <f t="shared" si="26"/>
        <v>0</v>
      </c>
      <c r="I350" s="1669">
        <f t="shared" si="26"/>
        <v>0</v>
      </c>
      <c r="J350" s="1669">
        <f t="shared" si="26"/>
        <v>0</v>
      </c>
      <c r="K350" s="1669">
        <f t="shared" si="26"/>
        <v>300808</v>
      </c>
      <c r="L350" s="1669">
        <f t="shared" si="26"/>
        <v>501000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300808</v>
      </c>
      <c r="H352" s="1669">
        <f t="shared" si="27"/>
        <v>0</v>
      </c>
      <c r="I352" s="1669">
        <f t="shared" si="27"/>
        <v>0</v>
      </c>
      <c r="J352" s="1669">
        <f t="shared" si="27"/>
        <v>0</v>
      </c>
      <c r="K352" s="1669">
        <f t="shared" si="27"/>
        <v>300808</v>
      </c>
      <c r="L352" s="1669">
        <f t="shared" si="27"/>
        <v>501000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300808</v>
      </c>
      <c r="H367" s="1669">
        <f t="shared" si="28"/>
        <v>0</v>
      </c>
      <c r="I367" s="1669">
        <f t="shared" si="28"/>
        <v>0</v>
      </c>
      <c r="J367" s="1669">
        <f t="shared" si="28"/>
        <v>0</v>
      </c>
      <c r="K367" s="1669">
        <f t="shared" si="28"/>
        <v>300808</v>
      </c>
      <c r="L367" s="1669">
        <f t="shared" si="28"/>
        <v>501000</v>
      </c>
    </row>
    <row r="368" spans="1:14" ht="13.5" thickTop="1" x14ac:dyDescent="0.2">
      <c r="A368" s="2182" t="s">
        <v>996</v>
      </c>
      <c r="B368" s="2183"/>
      <c r="C368" s="654"/>
      <c r="D368" s="654"/>
      <c r="E368" s="626"/>
      <c r="F368" s="626"/>
      <c r="G368" s="626"/>
      <c r="H368" s="626"/>
      <c r="I368" s="626"/>
      <c r="J368" s="623"/>
      <c r="K368" s="1670">
        <f>'Revenues 9-14'!K268-'Expenditures 15-22'!K367</f>
        <v>-222104</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X24" sqref="X2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8">
        <f>'Revenues 9-14'!C5</f>
        <v>3591690</v>
      </c>
      <c r="C4" s="1524"/>
      <c r="D4" s="1751">
        <f>B4-C4</f>
        <v>3591690</v>
      </c>
      <c r="E4" s="1524">
        <v>3756002</v>
      </c>
      <c r="F4" s="1751">
        <f>E4-C4</f>
        <v>3756002</v>
      </c>
    </row>
    <row r="5" spans="1:6" ht="13.7" customHeight="1" x14ac:dyDescent="0.2">
      <c r="A5" s="715" t="s">
        <v>870</v>
      </c>
      <c r="B5" s="1749">
        <f>'Revenues 9-14'!D5</f>
        <v>874849</v>
      </c>
      <c r="C5" s="585"/>
      <c r="D5" s="1752">
        <f t="shared" ref="D5:D18" si="0">B5-C5</f>
        <v>874849</v>
      </c>
      <c r="E5" s="585">
        <v>939987</v>
      </c>
      <c r="F5" s="1752">
        <f>E5-C5</f>
        <v>939987</v>
      </c>
    </row>
    <row r="6" spans="1:6" ht="13.7" customHeight="1" x14ac:dyDescent="0.2">
      <c r="A6" s="715" t="s">
        <v>411</v>
      </c>
      <c r="B6" s="1749">
        <f>'Revenues 9-14'!E5</f>
        <v>469207</v>
      </c>
      <c r="C6" s="585"/>
      <c r="D6" s="1752">
        <f t="shared" si="0"/>
        <v>469207</v>
      </c>
      <c r="E6" s="585">
        <v>463613</v>
      </c>
      <c r="F6" s="1752">
        <f t="shared" ref="F6:F18" si="1">E6-C6</f>
        <v>463613</v>
      </c>
    </row>
    <row r="7" spans="1:6" ht="13.7" customHeight="1" x14ac:dyDescent="0.2">
      <c r="A7" s="715" t="s">
        <v>155</v>
      </c>
      <c r="B7" s="1749">
        <f>'Revenues 9-14'!F5</f>
        <v>269187</v>
      </c>
      <c r="C7" s="585"/>
      <c r="D7" s="1752">
        <f t="shared" si="0"/>
        <v>269187</v>
      </c>
      <c r="E7" s="585">
        <v>289227</v>
      </c>
      <c r="F7" s="1752">
        <f t="shared" si="1"/>
        <v>289227</v>
      </c>
    </row>
    <row r="8" spans="1:6" ht="13.7" customHeight="1" x14ac:dyDescent="0.2">
      <c r="A8" s="715" t="s">
        <v>1179</v>
      </c>
      <c r="B8" s="1749">
        <f>'Revenues 9-14'!G5</f>
        <v>111990</v>
      </c>
      <c r="C8" s="585"/>
      <c r="D8" s="1752">
        <f t="shared" si="0"/>
        <v>111990</v>
      </c>
      <c r="E8" s="585">
        <v>112307</v>
      </c>
      <c r="F8" s="1752">
        <f t="shared" si="1"/>
        <v>112307</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20003</v>
      </c>
      <c r="C10" s="585"/>
      <c r="D10" s="1752">
        <f t="shared" si="0"/>
        <v>20003</v>
      </c>
      <c r="E10" s="585">
        <v>20000</v>
      </c>
      <c r="F10" s="1752">
        <f t="shared" si="1"/>
        <v>20000</v>
      </c>
    </row>
    <row r="11" spans="1:6" x14ac:dyDescent="0.2">
      <c r="A11" s="715" t="s">
        <v>409</v>
      </c>
      <c r="B11" s="1749">
        <f>'Revenues 9-14'!J5</f>
        <v>218394</v>
      </c>
      <c r="C11" s="585"/>
      <c r="D11" s="1752">
        <f t="shared" si="0"/>
        <v>218394</v>
      </c>
      <c r="E11" s="585">
        <v>218916</v>
      </c>
      <c r="F11" s="1752">
        <f t="shared" si="1"/>
        <v>218916</v>
      </c>
    </row>
    <row r="12" spans="1:6" ht="13.7" customHeight="1" x14ac:dyDescent="0.2">
      <c r="A12" s="715" t="s">
        <v>157</v>
      </c>
      <c r="B12" s="1749">
        <f>'Revenues 9-14'!K5</f>
        <v>67204</v>
      </c>
      <c r="C12" s="585"/>
      <c r="D12" s="1752">
        <f t="shared" si="0"/>
        <v>67204</v>
      </c>
      <c r="E12" s="585">
        <v>72307</v>
      </c>
      <c r="F12" s="1752">
        <f t="shared" si="1"/>
        <v>72307</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53436</v>
      </c>
      <c r="C14" s="585"/>
      <c r="D14" s="1752">
        <f t="shared" si="0"/>
        <v>53436</v>
      </c>
      <c r="E14" s="585">
        <v>57845</v>
      </c>
      <c r="F14" s="1752">
        <f t="shared" si="1"/>
        <v>57845</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188989</v>
      </c>
      <c r="C16" s="585"/>
      <c r="D16" s="1752">
        <f t="shared" si="0"/>
        <v>188989</v>
      </c>
      <c r="E16" s="585">
        <v>189993</v>
      </c>
      <c r="F16" s="1752">
        <f t="shared" si="1"/>
        <v>189993</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5864949</v>
      </c>
      <c r="C19" s="1750">
        <f>SUM(C4:C18)</f>
        <v>0</v>
      </c>
      <c r="D19" s="1750">
        <f>SUM(D4:D18)</f>
        <v>5864949</v>
      </c>
      <c r="E19" s="1750">
        <f>SUM(E4:E18)</f>
        <v>6120197</v>
      </c>
      <c r="F19" s="1750">
        <f>SUM(F4:F18)</f>
        <v>6120197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0" colorId="8" zoomScale="110" zoomScaleNormal="110" workbookViewId="0">
      <selection activeCell="X24" sqref="X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2" t="s">
        <v>1954</v>
      </c>
      <c r="D2" s="723" t="s">
        <v>1955</v>
      </c>
      <c r="E2" s="723" t="s">
        <v>1956</v>
      </c>
      <c r="F2" s="1882" t="s">
        <v>1957</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4">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88" t="s">
        <v>631</v>
      </c>
      <c r="B15" s="2189"/>
      <c r="C15" s="1754">
        <f>SUM(C6:C14)</f>
        <v>0</v>
      </c>
      <c r="D15" s="1754">
        <f>SUM(D6:D14)</f>
        <v>0</v>
      </c>
      <c r="E15" s="1754">
        <f>SUM(E6:E14)</f>
        <v>0</v>
      </c>
      <c r="F15" s="1754">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4">
        <f>SUM(C17+D17)-E17</f>
        <v>0</v>
      </c>
    </row>
    <row r="18" spans="1:11" ht="12.75" customHeight="1" thickTop="1" thickBot="1" x14ac:dyDescent="0.25">
      <c r="A18" s="2211" t="s">
        <v>6</v>
      </c>
      <c r="B18" s="2212"/>
      <c r="C18" s="726"/>
      <c r="D18" s="585"/>
      <c r="E18" s="726"/>
      <c r="F18" s="1754">
        <f>SUM(C18+D18)-E18</f>
        <v>0</v>
      </c>
    </row>
    <row r="19" spans="1:11" ht="12.75" customHeight="1" thickTop="1" thickBot="1" x14ac:dyDescent="0.25">
      <c r="A19" s="2211" t="s">
        <v>388</v>
      </c>
      <c r="B19" s="2212"/>
      <c r="C19" s="726"/>
      <c r="D19" s="585"/>
      <c r="E19" s="726"/>
      <c r="F19" s="1754">
        <f>SUM(C19+D19)-E19</f>
        <v>0</v>
      </c>
    </row>
    <row r="20" spans="1:11" ht="12.75" customHeight="1" thickTop="1" thickBot="1" x14ac:dyDescent="0.25">
      <c r="A20" s="2211" t="s">
        <v>448</v>
      </c>
      <c r="B20" s="2212"/>
      <c r="C20" s="726"/>
      <c r="D20" s="585"/>
      <c r="E20" s="726"/>
      <c r="F20" s="1754">
        <f>SUM(C20+D20)-E20</f>
        <v>0</v>
      </c>
    </row>
    <row r="21" spans="1:11" ht="14.25" thickTop="1" thickBot="1" x14ac:dyDescent="0.25">
      <c r="A21" s="2188" t="s">
        <v>632</v>
      </c>
      <c r="B21" s="2189"/>
      <c r="C21" s="1754">
        <f>SUM(C17:C20)</f>
        <v>0</v>
      </c>
      <c r="D21" s="1754">
        <f>SUM(D17:D20)</f>
        <v>0</v>
      </c>
      <c r="E21" s="1754">
        <f>SUM(E17:E20)</f>
        <v>0</v>
      </c>
      <c r="F21" s="1754">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4">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4">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4">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t="s">
        <v>2107</v>
      </c>
      <c r="B31" s="733">
        <v>41548</v>
      </c>
      <c r="C31" s="734">
        <v>1973610</v>
      </c>
      <c r="D31" s="735">
        <v>4</v>
      </c>
      <c r="E31" s="734">
        <v>1722780</v>
      </c>
      <c r="F31" s="734"/>
      <c r="G31" s="734"/>
      <c r="H31" s="734">
        <v>253630</v>
      </c>
      <c r="I31" s="1755">
        <f>((E31+F31)-H31)+G31</f>
        <v>1469150</v>
      </c>
      <c r="J31" s="734">
        <v>1336966</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t="s">
        <v>2108</v>
      </c>
      <c r="B33" s="733">
        <v>42403</v>
      </c>
      <c r="C33" s="734">
        <v>1675000</v>
      </c>
      <c r="D33" s="735">
        <v>4</v>
      </c>
      <c r="E33" s="734">
        <v>1503000</v>
      </c>
      <c r="F33" s="734"/>
      <c r="G33" s="734"/>
      <c r="H33" s="734">
        <v>97000</v>
      </c>
      <c r="I33" s="1755">
        <f t="shared" ref="I33:I48" si="1">((E33+F33)-H33)+G33</f>
        <v>1406000</v>
      </c>
      <c r="J33" s="734">
        <v>1279498</v>
      </c>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3648610</v>
      </c>
      <c r="D49" s="745"/>
      <c r="E49" s="1755">
        <f t="shared" ref="E49:J49" si="2">SUM(E31:E48)</f>
        <v>3225780</v>
      </c>
      <c r="F49" s="1755">
        <f t="shared" si="2"/>
        <v>0</v>
      </c>
      <c r="G49" s="1755">
        <f t="shared" si="2"/>
        <v>0</v>
      </c>
      <c r="H49" s="1755">
        <f t="shared" si="2"/>
        <v>350630</v>
      </c>
      <c r="I49" s="1755">
        <f t="shared" si="2"/>
        <v>2875150</v>
      </c>
      <c r="J49" s="1755">
        <f t="shared" si="2"/>
        <v>2616464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6" colorId="8" zoomScale="110" zoomScaleNormal="110" workbookViewId="0">
      <selection activeCell="X24" sqref="X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1962</v>
      </c>
      <c r="B3" s="2222"/>
      <c r="C3" s="2222"/>
      <c r="D3" s="2222"/>
      <c r="E3" s="2223"/>
      <c r="F3" s="763"/>
      <c r="G3" s="764"/>
      <c r="H3" s="764"/>
      <c r="I3" s="764"/>
      <c r="J3" s="765">
        <v>20964</v>
      </c>
      <c r="K3" s="765">
        <v>6064</v>
      </c>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53502</v>
      </c>
      <c r="I5" s="772"/>
      <c r="J5" s="773"/>
      <c r="K5" s="773"/>
    </row>
    <row r="6" spans="1:11" x14ac:dyDescent="0.2">
      <c r="A6" s="774" t="s">
        <v>720</v>
      </c>
      <c r="B6" s="775"/>
      <c r="C6" s="775"/>
      <c r="D6" s="775"/>
      <c r="E6" s="776"/>
      <c r="F6" s="777" t="s">
        <v>849</v>
      </c>
      <c r="G6" s="764"/>
      <c r="H6" s="764"/>
      <c r="I6" s="764"/>
      <c r="J6" s="765">
        <v>239</v>
      </c>
      <c r="K6" s="765"/>
    </row>
    <row r="7" spans="1:11" x14ac:dyDescent="0.2">
      <c r="A7" s="778" t="s">
        <v>246</v>
      </c>
      <c r="B7" s="779"/>
      <c r="C7" s="779"/>
      <c r="D7" s="779"/>
      <c r="E7" s="780"/>
      <c r="F7" s="770" t="s">
        <v>850</v>
      </c>
      <c r="G7" s="767"/>
      <c r="H7" s="767"/>
      <c r="I7" s="767"/>
      <c r="J7" s="781"/>
      <c r="K7" s="765">
        <v>9045</v>
      </c>
    </row>
    <row r="8" spans="1:11" x14ac:dyDescent="0.2">
      <c r="A8" s="778" t="s">
        <v>345</v>
      </c>
      <c r="B8" s="779"/>
      <c r="C8" s="779"/>
      <c r="D8" s="779"/>
      <c r="E8" s="780"/>
      <c r="F8" s="770" t="s">
        <v>851</v>
      </c>
      <c r="G8" s="782"/>
      <c r="H8" s="782"/>
      <c r="I8" s="782"/>
      <c r="J8" s="765">
        <v>6392</v>
      </c>
      <c r="K8" s="769"/>
    </row>
    <row r="9" spans="1:11" x14ac:dyDescent="0.2">
      <c r="A9" s="778" t="s">
        <v>138</v>
      </c>
      <c r="B9" s="779"/>
      <c r="C9" s="779"/>
      <c r="D9" s="779"/>
      <c r="E9" s="780"/>
      <c r="F9" s="777" t="s">
        <v>853</v>
      </c>
      <c r="G9" s="782"/>
      <c r="H9" s="771"/>
      <c r="I9" s="771"/>
      <c r="J9" s="781"/>
      <c r="K9" s="765">
        <v>10769</v>
      </c>
    </row>
    <row r="10" spans="1:11" x14ac:dyDescent="0.2">
      <c r="A10" s="2242" t="s">
        <v>1813</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6"/>
      <c r="G12" s="1757">
        <f>SUM(G5:G11)</f>
        <v>0</v>
      </c>
      <c r="H12" s="1757">
        <f>SUM(H5:H11)</f>
        <v>53502</v>
      </c>
      <c r="I12" s="1757">
        <f>SUM(I5:I11)</f>
        <v>0</v>
      </c>
      <c r="J12" s="1757">
        <f>SUM(J5:J11)</f>
        <v>6631</v>
      </c>
      <c r="K12" s="1757">
        <f>SUM(K5:K11)</f>
        <v>19814</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c r="I14" s="771"/>
      <c r="J14" s="773"/>
      <c r="K14" s="765">
        <v>23273</v>
      </c>
    </row>
    <row r="15" spans="1:11" x14ac:dyDescent="0.2">
      <c r="A15" s="2215" t="s">
        <v>4</v>
      </c>
      <c r="B15" s="2215"/>
      <c r="C15" s="2215"/>
      <c r="D15" s="2215"/>
      <c r="E15" s="2243"/>
      <c r="F15" s="789" t="s">
        <v>855</v>
      </c>
      <c r="G15" s="771"/>
      <c r="H15" s="764"/>
      <c r="I15" s="764"/>
      <c r="J15" s="765"/>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1809</v>
      </c>
      <c r="B19" s="2250"/>
      <c r="C19" s="2250"/>
      <c r="D19" s="2250"/>
      <c r="E19" s="2251"/>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8"/>
      <c r="G21" s="792"/>
      <c r="H21" s="796"/>
      <c r="I21" s="796"/>
      <c r="J21" s="1759">
        <f>SUM(J18:J20)</f>
        <v>0</v>
      </c>
      <c r="K21" s="793"/>
    </row>
    <row r="22" spans="1:11" ht="13.5" thickTop="1" x14ac:dyDescent="0.2">
      <c r="A22" s="2215" t="s">
        <v>1815</v>
      </c>
      <c r="B22" s="2215"/>
      <c r="C22" s="2215"/>
      <c r="D22" s="2215"/>
      <c r="E22" s="2243"/>
      <c r="F22" s="789" t="s">
        <v>862</v>
      </c>
      <c r="G22" s="782"/>
      <c r="H22" s="764">
        <v>53502</v>
      </c>
      <c r="I22" s="764"/>
      <c r="J22" s="797">
        <v>20000</v>
      </c>
      <c r="K22" s="765">
        <v>2605</v>
      </c>
    </row>
    <row r="23" spans="1:11" ht="13.5" thickBot="1" x14ac:dyDescent="0.25">
      <c r="A23" s="2236" t="s">
        <v>906</v>
      </c>
      <c r="B23" s="2235"/>
      <c r="C23" s="2235"/>
      <c r="D23" s="2235"/>
      <c r="E23" s="2235"/>
      <c r="F23" s="1760"/>
      <c r="G23" s="1757">
        <f>SUM(G14:G16,G21,G22)</f>
        <v>0</v>
      </c>
      <c r="H23" s="1757">
        <f>SUM(H14:H16,H21,H22)</f>
        <v>53502</v>
      </c>
      <c r="I23" s="1757">
        <f>SUM(I14:I16,I21,I22)</f>
        <v>0</v>
      </c>
      <c r="J23" s="1757">
        <f>SUM(J14:J16,J21,J22)</f>
        <v>20000</v>
      </c>
      <c r="K23" s="1757">
        <f>SUM(K14:K16,K21,K22)</f>
        <v>25878</v>
      </c>
    </row>
    <row r="24" spans="1:11" ht="14.25" thickTop="1" thickBot="1" x14ac:dyDescent="0.25">
      <c r="A24" s="2236" t="s">
        <v>1963</v>
      </c>
      <c r="B24" s="2235"/>
      <c r="C24" s="2235"/>
      <c r="D24" s="2235"/>
      <c r="E24" s="2235"/>
      <c r="F24" s="1761"/>
      <c r="G24" s="1762">
        <f>SUM(G3,G12)-G23</f>
        <v>0</v>
      </c>
      <c r="H24" s="1762">
        <f>SUM(H3,H12)-H23</f>
        <v>0</v>
      </c>
      <c r="I24" s="1762">
        <f>SUM(I3,I12)-I23</f>
        <v>0</v>
      </c>
      <c r="J24" s="1762">
        <f>SUM(J3,J12)-J23</f>
        <v>7595</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7595</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X24" sqref="X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42500</v>
      </c>
      <c r="D5" s="841"/>
      <c r="E5" s="841"/>
      <c r="F5" s="1759">
        <f>(C5+D5)-E5</f>
        <v>42500</v>
      </c>
      <c r="G5" s="837"/>
      <c r="H5" s="842"/>
      <c r="I5" s="842"/>
      <c r="J5" s="842"/>
      <c r="K5" s="793"/>
      <c r="L5" s="1768">
        <f>F5-K5</f>
        <v>42500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7709371</v>
      </c>
      <c r="D8" s="844"/>
      <c r="E8" s="844"/>
      <c r="F8" s="1759">
        <f>(C8+D8)-E8</f>
        <v>7709371</v>
      </c>
      <c r="G8" s="843">
        <v>50</v>
      </c>
      <c r="H8" s="765">
        <v>3903322</v>
      </c>
      <c r="I8" s="765">
        <v>154189</v>
      </c>
      <c r="J8" s="765"/>
      <c r="K8" s="1768">
        <f>(H8+I8)-J8</f>
        <v>4057511</v>
      </c>
      <c r="L8" s="1768">
        <f>F8-K8</f>
        <v>3651860</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6682968</v>
      </c>
      <c r="D10" s="846">
        <v>300808</v>
      </c>
      <c r="E10" s="846"/>
      <c r="F10" s="1763">
        <f>(C10+D10)-E10</f>
        <v>6983776</v>
      </c>
      <c r="G10" s="843">
        <v>20</v>
      </c>
      <c r="H10" s="847">
        <v>3047569</v>
      </c>
      <c r="I10" s="847">
        <v>337679</v>
      </c>
      <c r="J10" s="847"/>
      <c r="K10" s="1768">
        <f>(H10+I10)-J10</f>
        <v>3385248</v>
      </c>
      <c r="L10" s="1768">
        <f>F10-K10</f>
        <v>3598528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950392</v>
      </c>
      <c r="D12" s="844">
        <v>232437</v>
      </c>
      <c r="E12" s="844">
        <v>95542</v>
      </c>
      <c r="F12" s="1759">
        <f>(C12+D12)-E12</f>
        <v>1087287</v>
      </c>
      <c r="G12" s="843">
        <v>10</v>
      </c>
      <c r="H12" s="765">
        <v>579135</v>
      </c>
      <c r="I12" s="765">
        <v>108727</v>
      </c>
      <c r="J12" s="765">
        <v>95542</v>
      </c>
      <c r="K12" s="1768">
        <f>(H12+I12)-J12</f>
        <v>592320</v>
      </c>
      <c r="L12" s="1768">
        <f>F12-K12</f>
        <v>494967</v>
      </c>
    </row>
    <row r="13" spans="1:14" ht="14.25" thickTop="1" thickBot="1" x14ac:dyDescent="0.25">
      <c r="A13" s="848" t="s">
        <v>1122</v>
      </c>
      <c r="B13" s="840">
        <v>252</v>
      </c>
      <c r="C13" s="844">
        <v>100673</v>
      </c>
      <c r="D13" s="844">
        <v>26900</v>
      </c>
      <c r="E13" s="844">
        <v>8640</v>
      </c>
      <c r="F13" s="1759">
        <f>(C13+D13)-E13</f>
        <v>118933</v>
      </c>
      <c r="G13" s="843">
        <v>5</v>
      </c>
      <c r="H13" s="765">
        <v>49277</v>
      </c>
      <c r="I13" s="765">
        <v>14472</v>
      </c>
      <c r="J13" s="765">
        <v>8640</v>
      </c>
      <c r="K13" s="1768">
        <f>(H13+I13)-J13</f>
        <v>55109</v>
      </c>
      <c r="L13" s="1768">
        <f>F13-K13</f>
        <v>63824</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15485904</v>
      </c>
      <c r="D16" s="1759">
        <f>SUM(D3,D5:D6,D8:D10,D12:D15)</f>
        <v>560145</v>
      </c>
      <c r="E16" s="1759">
        <f>SUM(E3,E5:E6,E8:E10,E12:E15)</f>
        <v>104182</v>
      </c>
      <c r="F16" s="1759">
        <f>SUM(F3,F5:F6,F8:F10,F12:F15)</f>
        <v>15941867</v>
      </c>
      <c r="G16" s="843"/>
      <c r="H16" s="1759">
        <f>SUM(H3,H6,H8:H10,H12:H14,)</f>
        <v>7579303</v>
      </c>
      <c r="I16" s="1759">
        <f>SUM(I3,I6,I8:I10,I12:I14,)</f>
        <v>615067</v>
      </c>
      <c r="J16" s="1759">
        <f>SUM(J3,J6,J8:J10,J12:J14,)</f>
        <v>104182</v>
      </c>
      <c r="K16" s="1759">
        <f>(H16+I16)-J16</f>
        <v>8090188</v>
      </c>
      <c r="L16" s="1759">
        <f>F16-K16</f>
        <v>7851679</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615067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B97" sqref="B97"/>
      <selection pane="bottomLeft" activeCell="B97" sqref="B9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6490650</v>
      </c>
      <c r="G8" s="865"/>
    </row>
    <row r="9" spans="1:7" x14ac:dyDescent="0.2">
      <c r="A9" s="869" t="s">
        <v>460</v>
      </c>
      <c r="B9" s="870" t="s">
        <v>1876</v>
      </c>
      <c r="C9" s="871"/>
      <c r="D9" s="869" t="s">
        <v>501</v>
      </c>
      <c r="E9" s="868"/>
      <c r="F9" s="1907">
        <f>'Expenditures 15-22'!K151</f>
        <v>652265</v>
      </c>
      <c r="G9" s="872"/>
    </row>
    <row r="10" spans="1:7" x14ac:dyDescent="0.2">
      <c r="A10" s="869" t="s">
        <v>499</v>
      </c>
      <c r="B10" s="870" t="s">
        <v>1877</v>
      </c>
      <c r="C10" s="871"/>
      <c r="D10" s="869" t="s">
        <v>501</v>
      </c>
      <c r="E10" s="868"/>
      <c r="F10" s="1907">
        <f>'Expenditures 15-22'!K174</f>
        <v>464384</v>
      </c>
      <c r="G10" s="872"/>
    </row>
    <row r="11" spans="1:7" x14ac:dyDescent="0.2">
      <c r="A11" s="869" t="s">
        <v>461</v>
      </c>
      <c r="B11" s="870" t="s">
        <v>1878</v>
      </c>
      <c r="C11" s="871"/>
      <c r="D11" s="869" t="s">
        <v>501</v>
      </c>
      <c r="E11" s="868"/>
      <c r="F11" s="1907">
        <f>'Expenditures 15-22'!K210</f>
        <v>679299</v>
      </c>
      <c r="G11" s="872"/>
    </row>
    <row r="12" spans="1:7" x14ac:dyDescent="0.2">
      <c r="A12" s="869" t="s">
        <v>462</v>
      </c>
      <c r="B12" s="870" t="s">
        <v>1879</v>
      </c>
      <c r="C12" s="871"/>
      <c r="D12" s="869" t="s">
        <v>501</v>
      </c>
      <c r="E12" s="868"/>
      <c r="F12" s="1907">
        <f>'Expenditures 15-22'!K295</f>
        <v>320815</v>
      </c>
      <c r="G12" s="872"/>
    </row>
    <row r="13" spans="1:7" x14ac:dyDescent="0.2">
      <c r="A13" s="869" t="s">
        <v>106</v>
      </c>
      <c r="B13" s="870" t="s">
        <v>1880</v>
      </c>
      <c r="C13" s="871"/>
      <c r="D13" s="869" t="s">
        <v>501</v>
      </c>
      <c r="E13" s="868"/>
      <c r="F13" s="1907">
        <f>'Expenditures 15-22'!K342</f>
        <v>199706</v>
      </c>
      <c r="G13" s="873"/>
    </row>
    <row r="14" spans="1:7" ht="12" customHeight="1" thickBot="1" x14ac:dyDescent="0.25">
      <c r="A14" s="1769"/>
      <c r="B14" s="1770"/>
      <c r="C14" s="1771"/>
      <c r="D14" s="1772" t="s">
        <v>501</v>
      </c>
      <c r="E14" s="1773" t="s">
        <v>958</v>
      </c>
      <c r="F14" s="1774">
        <f>SUM(F8:F13)</f>
        <v>8807119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234998</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13875</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1761</v>
      </c>
      <c r="G52" s="865"/>
    </row>
    <row r="53" spans="1:7" x14ac:dyDescent="0.2">
      <c r="A53" s="869" t="s">
        <v>459</v>
      </c>
      <c r="B53" s="869" t="s">
        <v>1475</v>
      </c>
      <c r="C53" s="889">
        <f>'Expenditures 15-22'!B102</f>
        <v>4000</v>
      </c>
      <c r="D53" s="888" t="str">
        <f>'Expenditures 15-22'!A102</f>
        <v>Total Payments to Other Govt Units</v>
      </c>
      <c r="E53" s="868"/>
      <c r="F53" s="1911">
        <f>'Expenditures 15-22'!K102</f>
        <v>225340</v>
      </c>
      <c r="G53" s="865"/>
    </row>
    <row r="54" spans="1:7" x14ac:dyDescent="0.2">
      <c r="A54" s="869" t="s">
        <v>459</v>
      </c>
      <c r="B54" s="869" t="s">
        <v>1476</v>
      </c>
      <c r="C54" s="889" t="s">
        <v>982</v>
      </c>
      <c r="D54" s="885" t="s">
        <v>1095</v>
      </c>
      <c r="E54" s="868"/>
      <c r="F54" s="1911">
        <f>'Expenditures 15-22'!G114</f>
        <v>176648</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55789</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350630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26900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11836</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1097777</v>
      </c>
      <c r="G76" s="865"/>
    </row>
    <row r="77" spans="1:8" s="893" customFormat="1" ht="12" customHeight="1" thickTop="1" thickBot="1" x14ac:dyDescent="0.25">
      <c r="A77" s="1778"/>
      <c r="B77" s="1775"/>
      <c r="C77" s="1771"/>
      <c r="D77" s="1776" t="s">
        <v>1899</v>
      </c>
      <c r="E77" s="1773"/>
      <c r="F77" s="1779">
        <f>(F14-F76)</f>
        <v>7709342</v>
      </c>
      <c r="G77" s="869"/>
    </row>
    <row r="78" spans="1:8" s="893" customFormat="1" ht="12" customHeight="1" thickTop="1" x14ac:dyDescent="0.2">
      <c r="A78" s="1780"/>
      <c r="B78" s="1775"/>
      <c r="C78" s="1771"/>
      <c r="D78" s="1776" t="s">
        <v>2060</v>
      </c>
      <c r="E78" s="1773"/>
      <c r="F78" s="898">
        <v>705.2</v>
      </c>
      <c r="G78" s="899"/>
      <c r="H78" s="869"/>
    </row>
    <row r="79" spans="1:8" s="893" customFormat="1" ht="12" customHeight="1" thickBot="1" x14ac:dyDescent="0.25">
      <c r="A79" s="1781"/>
      <c r="B79" s="1775"/>
      <c r="C79" s="1771"/>
      <c r="D79" s="1776" t="s">
        <v>1900</v>
      </c>
      <c r="E79" s="1773" t="s">
        <v>958</v>
      </c>
      <c r="F79" s="1782">
        <f>IF(F78&gt;0,F77/F78," Complete Line 78")</f>
        <v>10932.135564378899</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109860</v>
      </c>
      <c r="G94" s="912"/>
    </row>
    <row r="95" spans="1:7" x14ac:dyDescent="0.2">
      <c r="A95" s="908" t="s">
        <v>140</v>
      </c>
      <c r="B95" s="908" t="s">
        <v>175</v>
      </c>
      <c r="C95" s="910">
        <v>1700</v>
      </c>
      <c r="D95" s="918" t="str">
        <f>'Revenues 9-14'!A82</f>
        <v>Total District/School Activity Income</v>
      </c>
      <c r="E95" s="906"/>
      <c r="F95" s="1788">
        <f>SUM('Revenues 9-14'!C82,'Revenues 9-14'!D82)</f>
        <v>21255</v>
      </c>
      <c r="G95" s="912"/>
    </row>
    <row r="96" spans="1:7" x14ac:dyDescent="0.2">
      <c r="A96" s="908" t="s">
        <v>459</v>
      </c>
      <c r="B96" s="908" t="s">
        <v>176</v>
      </c>
      <c r="C96" s="910">
        <f>'Revenues 9-14'!B84</f>
        <v>1811</v>
      </c>
      <c r="D96" s="911" t="str">
        <f>'Revenues 9-14'!A84</f>
        <v>Rentals - Regular Textbooks</v>
      </c>
      <c r="E96" s="906"/>
      <c r="F96" s="1788">
        <f>'Revenues 9-14'!C84</f>
        <v>32529</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1050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5225</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34764</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21523</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4534</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10769</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530062</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8">
        <f>SUM('Revenues 9-14'!C198,'Revenues 9-14'!G198)</f>
        <v>266951</v>
      </c>
      <c r="G125" s="930"/>
    </row>
    <row r="126" spans="1:7" x14ac:dyDescent="0.2">
      <c r="A126" s="927" t="s">
        <v>668</v>
      </c>
      <c r="B126" s="927" t="s">
        <v>2022</v>
      </c>
      <c r="C126" s="932">
        <v>4300</v>
      </c>
      <c r="D126" s="933" t="str">
        <f>'Revenues 9-14'!A204</f>
        <v>Total Title I</v>
      </c>
      <c r="E126" s="906"/>
      <c r="F126" s="1788">
        <f>SUM('Revenues 9-14'!C204,'Revenues 9-14'!D204,'Revenues 9-14'!F204,'Revenues 9-14'!G204)</f>
        <v>102529</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15858</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13952</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13068</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664</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1184679</v>
      </c>
    </row>
    <row r="175" spans="1:7" ht="12" customHeight="1" x14ac:dyDescent="0.2">
      <c r="A175" s="1769"/>
      <c r="B175" s="1783"/>
      <c r="C175" s="1784"/>
      <c r="D175" s="1785" t="s">
        <v>2055</v>
      </c>
      <c r="E175" s="1786"/>
      <c r="F175" s="1788">
        <f>'PCTC-OEPP 27-28'!F77-F174</f>
        <v>6524663</v>
      </c>
    </row>
    <row r="176" spans="1:7" ht="12" customHeight="1" x14ac:dyDescent="0.2">
      <c r="A176" s="1769"/>
      <c r="B176" s="1783"/>
      <c r="C176" s="1784"/>
      <c r="D176" s="1785" t="s">
        <v>1817</v>
      </c>
      <c r="E176" s="1786"/>
      <c r="F176" s="1788">
        <f>'Cap Outlay Deprec 26'!I18</f>
        <v>615067</v>
      </c>
    </row>
    <row r="177" spans="1:7" ht="12" customHeight="1" x14ac:dyDescent="0.2">
      <c r="A177" s="1769"/>
      <c r="B177" s="1783"/>
      <c r="C177" s="1784"/>
      <c r="D177" s="1785" t="s">
        <v>2056</v>
      </c>
      <c r="E177" s="1786"/>
      <c r="F177" s="1788">
        <f>F175+F176</f>
        <v>7139730</v>
      </c>
    </row>
    <row r="178" spans="1:7" ht="12" customHeight="1" x14ac:dyDescent="0.2">
      <c r="A178" s="1769"/>
      <c r="B178" s="1789"/>
      <c r="C178" s="1784"/>
      <c r="D178" s="1785" t="str">
        <f>D78</f>
        <v>9 Month ADA from District Average Daily Attendance/Prior General State Aid Inquiry 2018-2019</v>
      </c>
      <c r="E178" s="1786"/>
      <c r="F178" s="1790">
        <f>'PCTC-OEPP 27-28'!F78</f>
        <v>705.2</v>
      </c>
      <c r="G178" s="930"/>
    </row>
    <row r="179" spans="1:7" ht="12" customHeight="1" thickBot="1" x14ac:dyDescent="0.25">
      <c r="A179" s="1769"/>
      <c r="B179" s="1789"/>
      <c r="C179" s="1784"/>
      <c r="D179" s="1785" t="s">
        <v>2057</v>
      </c>
      <c r="E179" s="1786" t="s">
        <v>1545</v>
      </c>
      <c r="F179" s="1791">
        <f>F177/F178</f>
        <v>10124.4044242768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8"/>
  <sheetViews>
    <sheetView showGridLines="0" topLeftCell="A11" zoomScaleNormal="100" workbookViewId="0">
      <selection activeCell="B97" sqref="B9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4" t="s">
        <v>2064</v>
      </c>
      <c r="B6" s="1935"/>
      <c r="C6" s="1935"/>
      <c r="D6" s="1935"/>
      <c r="E6" s="1935"/>
      <c r="F6" s="1935"/>
      <c r="G6" s="1936"/>
    </row>
    <row r="7" spans="1:7" ht="18.75" x14ac:dyDescent="0.25">
      <c r="A7" s="1534" t="s">
        <v>1819</v>
      </c>
      <c r="B7" s="1535"/>
      <c r="C7" s="1535"/>
      <c r="D7" s="1535"/>
      <c r="E7" s="1535"/>
      <c r="F7" s="1535"/>
      <c r="G7" s="1536"/>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1933</v>
      </c>
      <c r="B12" s="2278"/>
      <c r="C12" s="2278"/>
      <c r="D12" s="2278"/>
      <c r="E12" s="2278"/>
      <c r="F12" s="2278"/>
      <c r="G12" s="2279"/>
    </row>
    <row r="13" spans="1:7" ht="15" customHeight="1" x14ac:dyDescent="0.25">
      <c r="A13" s="1537" t="s">
        <v>1825</v>
      </c>
      <c r="B13" s="1538"/>
      <c r="C13" s="1538"/>
      <c r="D13" s="1538"/>
      <c r="E13" s="1538"/>
      <c r="F13" s="1538"/>
      <c r="G13" s="1539"/>
    </row>
    <row r="14" spans="1:7" ht="32.25" customHeight="1" x14ac:dyDescent="0.25">
      <c r="A14" s="2268" t="s">
        <v>1974</v>
      </c>
      <c r="B14" s="2269"/>
      <c r="C14" s="2269"/>
      <c r="D14" s="2269"/>
      <c r="E14" s="2269"/>
      <c r="F14" s="2269"/>
      <c r="G14" s="2270"/>
    </row>
    <row r="15" spans="1:7" x14ac:dyDescent="0.25">
      <c r="A15" s="1660" t="s">
        <v>1833</v>
      </c>
      <c r="B15" s="1661"/>
      <c r="C15" s="1661"/>
      <c r="D15" s="1661"/>
      <c r="E15" s="1661"/>
      <c r="F15" s="1661"/>
      <c r="G15" s="1662"/>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2134</v>
      </c>
      <c r="B18" s="1940" t="s">
        <v>2106</v>
      </c>
      <c r="C18" s="1939" t="s">
        <v>2105</v>
      </c>
      <c r="D18" s="1842">
        <v>262904</v>
      </c>
      <c r="E18" s="1540">
        <f t="shared" ref="E18:E28" si="0">IF(D18&lt;=25000,D18,IF(D18&gt;25000,25000,0))</f>
        <v>25000</v>
      </c>
      <c r="F18" s="1933">
        <f t="shared" ref="F18:F19"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2">
        <f>IF(F18=0,0,D18-F18)</f>
        <v>237904</v>
      </c>
      <c r="H18" s="1647"/>
    </row>
    <row r="19" spans="1:8" x14ac:dyDescent="0.25">
      <c r="A19" s="1653"/>
      <c r="B19" s="1931"/>
      <c r="C19" s="1655"/>
      <c r="D19" s="1842"/>
      <c r="E19" s="1540">
        <f t="shared" ref="E19:E27" si="2">IF(D19&lt;=25000,D19,IF(D19&gt;25000,25000,0))</f>
        <v>0</v>
      </c>
      <c r="F19" s="1933">
        <f t="shared" si="1"/>
        <v>0</v>
      </c>
      <c r="G19" s="1792">
        <f t="shared" ref="G19:G27" si="3">IF(F19=0,0,D19-F19)</f>
        <v>0</v>
      </c>
    </row>
    <row r="20" spans="1:8" x14ac:dyDescent="0.25">
      <c r="A20" s="1653"/>
      <c r="B20" s="1666"/>
      <c r="C20" s="1654"/>
      <c r="D20" s="1842"/>
      <c r="E20" s="1540">
        <f t="shared" ref="E20:E21" si="4">IF(D20&lt;=25000,D20,IF(D20&gt;25000,25000,0))</f>
        <v>0</v>
      </c>
      <c r="F20" s="1933">
        <f t="shared" ref="F20:F27" si="5">(IF(D20="",0,(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Check func/obj # in Colm B"))))</f>
        <v>0</v>
      </c>
      <c r="G20" s="1792">
        <f t="shared" ref="G20:G21" si="6">IF(F20=0,0,D20-F20)</f>
        <v>0</v>
      </c>
    </row>
    <row r="21" spans="1:8" x14ac:dyDescent="0.25">
      <c r="A21" s="1653"/>
      <c r="B21" s="1666"/>
      <c r="C21" s="1654"/>
      <c r="D21" s="1842"/>
      <c r="E21" s="1540">
        <f t="shared" si="4"/>
        <v>0</v>
      </c>
      <c r="F21" s="1933">
        <f t="shared" si="5"/>
        <v>0</v>
      </c>
      <c r="G21" s="1792">
        <f t="shared" si="6"/>
        <v>0</v>
      </c>
    </row>
    <row r="22" spans="1:8" x14ac:dyDescent="0.25">
      <c r="A22" s="1653"/>
      <c r="B22" s="1666"/>
      <c r="C22" s="1654"/>
      <c r="D22" s="1842"/>
      <c r="E22" s="1540">
        <f t="shared" ref="E22:E26" si="7">IF(D22&lt;=25000,D22,IF(D22&gt;25000,25000,0))</f>
        <v>0</v>
      </c>
      <c r="F22" s="1933">
        <f t="shared" si="5"/>
        <v>0</v>
      </c>
      <c r="G22" s="1792">
        <f t="shared" ref="G22:G26" si="8">IF(F22=0,0,D22-F22)</f>
        <v>0</v>
      </c>
    </row>
    <row r="23" spans="1:8" x14ac:dyDescent="0.25">
      <c r="A23" s="1653"/>
      <c r="B23" s="1666"/>
      <c r="C23" s="1654"/>
      <c r="D23" s="1842"/>
      <c r="E23" s="1540">
        <f t="shared" si="7"/>
        <v>0</v>
      </c>
      <c r="F23" s="1933">
        <f t="shared" si="5"/>
        <v>0</v>
      </c>
      <c r="G23" s="1792">
        <f t="shared" si="8"/>
        <v>0</v>
      </c>
    </row>
    <row r="24" spans="1:8" x14ac:dyDescent="0.25">
      <c r="A24" s="1653"/>
      <c r="B24" s="1666"/>
      <c r="C24" s="1654"/>
      <c r="D24" s="1842"/>
      <c r="E24" s="1540">
        <f t="shared" si="7"/>
        <v>0</v>
      </c>
      <c r="F24" s="1933">
        <f t="shared" si="5"/>
        <v>0</v>
      </c>
      <c r="G24" s="1792">
        <f t="shared" si="8"/>
        <v>0</v>
      </c>
    </row>
    <row r="25" spans="1:8" x14ac:dyDescent="0.25">
      <c r="A25" s="1653"/>
      <c r="B25" s="1666"/>
      <c r="C25" s="1654"/>
      <c r="D25" s="1842"/>
      <c r="E25" s="1540">
        <f t="shared" si="7"/>
        <v>0</v>
      </c>
      <c r="F25" s="1933">
        <f t="shared" si="5"/>
        <v>0</v>
      </c>
      <c r="G25" s="1792">
        <f t="shared" si="8"/>
        <v>0</v>
      </c>
    </row>
    <row r="26" spans="1:8" x14ac:dyDescent="0.25">
      <c r="A26" s="1653"/>
      <c r="B26" s="1666"/>
      <c r="C26" s="1654"/>
      <c r="D26" s="1842"/>
      <c r="E26" s="1540">
        <f t="shared" si="7"/>
        <v>0</v>
      </c>
      <c r="F26" s="1933">
        <f t="shared" si="5"/>
        <v>0</v>
      </c>
      <c r="G26" s="1792">
        <f t="shared" si="8"/>
        <v>0</v>
      </c>
    </row>
    <row r="27" spans="1:8" x14ac:dyDescent="0.25">
      <c r="A27" s="1653"/>
      <c r="B27" s="1665"/>
      <c r="C27" s="1654"/>
      <c r="D27" s="1842"/>
      <c r="E27" s="1540">
        <f t="shared" si="2"/>
        <v>0</v>
      </c>
      <c r="F27" s="1933">
        <f t="shared" si="5"/>
        <v>0</v>
      </c>
      <c r="G27" s="1792">
        <f t="shared" si="3"/>
        <v>0</v>
      </c>
    </row>
    <row r="28" spans="1:8" x14ac:dyDescent="0.25">
      <c r="A28" s="1795" t="s">
        <v>156</v>
      </c>
      <c r="B28" s="1796"/>
      <c r="C28" s="1797"/>
      <c r="D28" s="1793">
        <f>SUM(D18:D27)</f>
        <v>262904</v>
      </c>
      <c r="E28" s="1541">
        <f t="shared" si="0"/>
        <v>25000</v>
      </c>
      <c r="F28" s="1930">
        <f>SUM(F18:F27)</f>
        <v>25000</v>
      </c>
      <c r="G28" s="1794">
        <f>SUM(G18:G27)</f>
        <v>237904</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horizontalDpi="4294967295" verticalDpi="4294967295"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4" colorId="8" zoomScale="110" zoomScaleNormal="110" workbookViewId="0">
      <selection activeCell="B97" sqref="B9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141317</v>
      </c>
      <c r="F10" s="974"/>
      <c r="G10" s="975"/>
      <c r="H10" s="162"/>
      <c r="I10" s="162"/>
    </row>
    <row r="11" spans="1:9" s="668" customFormat="1" ht="22.5" customHeight="1" x14ac:dyDescent="0.2">
      <c r="A11" s="2288" t="s">
        <v>1975</v>
      </c>
      <c r="B11" s="2289"/>
      <c r="C11" s="2289"/>
      <c r="D11" s="2290"/>
      <c r="E11" s="977">
        <v>36384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4472484</v>
      </c>
      <c r="F19" s="1798"/>
      <c r="G19" s="1800">
        <f>'Expenditures 15-22'!K33-SUM('Expenditures 15-22'!G33,'Expenditures 15-22'!I33)+'Expenditures 15-22'!D229</f>
        <v>4472484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244651</v>
      </c>
      <c r="F21" s="1801"/>
      <c r="G21" s="1804">
        <f>'Expenditures 15-22'!K42-SUM('Expenditures 15-22'!G42,'Expenditures 15-22'!I42)+'Expenditures 15-22'!K120-SUM('Expenditures 15-22'!G120,'Expenditures 15-22'!I120)+'Expenditures 15-22'!K180-SUM('Expenditures 15-22'!G180,'Expenditures 15-22'!I180)+'Expenditures 15-22'!D238</f>
        <v>244651</v>
      </c>
      <c r="H21" s="987"/>
      <c r="I21" s="162"/>
    </row>
    <row r="22" spans="1:9" s="668" customFormat="1" ht="12" customHeight="1" x14ac:dyDescent="0.2">
      <c r="A22" s="994" t="s">
        <v>564</v>
      </c>
      <c r="B22" s="995"/>
      <c r="C22" s="993">
        <v>2200</v>
      </c>
      <c r="D22" s="1801"/>
      <c r="E22" s="1803">
        <f>'Expenditures 15-22'!K47-SUM('Expenditures 15-22'!G47,'Expenditures 15-22'!I47)+'Expenditures 15-22'!D243</f>
        <v>137528</v>
      </c>
      <c r="F22" s="1801"/>
      <c r="G22" s="1804">
        <f>'Expenditures 15-22'!K47-SUM('Expenditures 15-22'!G47,'Expenditures 15-22'!I47)+'Expenditures 15-22'!D243</f>
        <v>137528</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447401</v>
      </c>
      <c r="F23" s="1801"/>
      <c r="G23" s="1803">
        <f>'Expenditures 15-22'!K53-SUM('Expenditures 15-22'!G53,'Expenditures 15-22'!I53)+'Expenditures 15-22'!D257+'Expenditures 15-22'!K330-SUM('Expenditures 15-22'!G330,'Expenditures 15-22'!I330)</f>
        <v>447401</v>
      </c>
      <c r="H23" s="987"/>
      <c r="I23" s="162"/>
    </row>
    <row r="24" spans="1:9" s="668" customFormat="1" ht="12" customHeight="1" x14ac:dyDescent="0.2">
      <c r="A24" s="994" t="s">
        <v>566</v>
      </c>
      <c r="B24" s="995"/>
      <c r="C24" s="993">
        <v>2400</v>
      </c>
      <c r="D24" s="1801"/>
      <c r="E24" s="1803">
        <f>'Expenditures 15-22'!K57-SUM('Expenditures 15-22'!G57,'Expenditures 15-22'!I57)+'Expenditures 15-22'!D261</f>
        <v>646224</v>
      </c>
      <c r="F24" s="1801"/>
      <c r="G24" s="1804">
        <f>'Expenditures 15-22'!K57-SUM('Expenditures 15-22'!G57,'Expenditures 15-22'!I57)+'Expenditures 15-22'!D261</f>
        <v>646224</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123038</v>
      </c>
      <c r="E27" s="1803">
        <f>E8</f>
        <v>0</v>
      </c>
      <c r="F27" s="1803">
        <f>'Expenditures 15-22'!K60-SUM('Expenditures 15-22'!G60,'Expenditures 15-22'!I60)+'Expenditures 15-22'!D264-E8</f>
        <v>123038</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653517</v>
      </c>
      <c r="F28" s="1805">
        <f>'Expenditures 15-22'!K61-SUM('Expenditures 15-22'!G61,'Expenditures 15-22'!I61)+'Expenditures 15-22'!K124-SUM('Expenditures 15-22'!G124,'Expenditures 15-22'!I124)+'Expenditures 15-22'!D266-E9</f>
        <v>653517</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692757</v>
      </c>
      <c r="F29" s="1801"/>
      <c r="G29" s="1804">
        <f>'Expenditures 15-22'!K62-SUM('Expenditures 15-22'!G62,'Expenditures 15-22'!I62)+'Expenditures 15-22'!K125-SUM('Expenditures 15-22'!G125,'Expenditures 15-22'!I125)+'Expenditures 15-22'!K182-SUM('Expenditures 15-22'!G182,'Expenditures 15-22'!I182)+'Expenditures 15-22'!D267</f>
        <v>692757</v>
      </c>
      <c r="H29" s="985"/>
    </row>
    <row r="30" spans="1:9" ht="12" customHeight="1" x14ac:dyDescent="0.2">
      <c r="A30" s="994" t="s">
        <v>100</v>
      </c>
      <c r="B30" s="997"/>
      <c r="C30" s="993">
        <v>2560</v>
      </c>
      <c r="D30" s="1801"/>
      <c r="E30" s="1803">
        <f>'Expenditures 15-22'!K63-SUM('Expenditures 15-22'!G63,'Expenditures 15-22'!I63)+'Expenditures 15-22'!D268-E10</f>
        <v>261519</v>
      </c>
      <c r="F30" s="1801"/>
      <c r="G30" s="1803">
        <f>'Expenditures 15-22'!K63-SUM('Expenditures 15-22'!G63,'Expenditures 15-22'!I63)+'Expenditures 15-22'!D268-E10</f>
        <v>261519</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35861</v>
      </c>
      <c r="E37" s="1803">
        <f>E14</f>
        <v>0</v>
      </c>
      <c r="F37" s="1803">
        <f>'Expenditures 15-22'!K71-SUM('Expenditures 15-22'!G71,'Expenditures 15-22'!I71)+'Expenditures 15-22'!D276-E14</f>
        <v>35861</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1761</v>
      </c>
      <c r="F39" s="1801"/>
      <c r="G39" s="1803">
        <f>'Expenditures 15-22'!K75-SUM('Expenditures 15-22'!G75,'Expenditures 15-22'!I75)+'Expenditures 15-22'!K130-SUM('Expenditures 15-22'!G130,'Expenditures 15-22'!I130)+'Expenditures 15-22'!K185-SUM('Expenditures 15-22'!G185,'Expenditures 15-22'!I185)+'Expenditures 15-22'!D280</f>
        <v>1761</v>
      </c>
    </row>
    <row r="40" spans="1:7" ht="12" customHeight="1" x14ac:dyDescent="0.2">
      <c r="A40" s="990" t="s">
        <v>1823</v>
      </c>
      <c r="B40" s="991"/>
      <c r="C40" s="993"/>
      <c r="D40" s="1801"/>
      <c r="E40" s="1805">
        <f>-'Contracts Paid in CY 29'!G28</f>
        <v>-237904</v>
      </c>
      <c r="F40" s="1801"/>
      <c r="G40" s="1805">
        <f>-'Contracts Paid in CY 29'!G28</f>
        <v>-237904</v>
      </c>
    </row>
    <row r="41" spans="1:7" ht="12" customHeight="1" x14ac:dyDescent="0.2">
      <c r="A41" s="998" t="s">
        <v>156</v>
      </c>
      <c r="B41" s="999"/>
      <c r="C41" s="1000"/>
      <c r="D41" s="1805">
        <f>SUM(D19:D39)</f>
        <v>158899</v>
      </c>
      <c r="E41" s="1805">
        <f>SUM(E19:E40)</f>
        <v>7319938</v>
      </c>
      <c r="F41" s="1805">
        <f>SUM(F19:F39)</f>
        <v>812416</v>
      </c>
      <c r="G41" s="1805">
        <f>SUM(G19:G40)</f>
        <v>6666421</v>
      </c>
    </row>
    <row r="42" spans="1:7" x14ac:dyDescent="0.2">
      <c r="A42" s="987"/>
      <c r="B42" s="162"/>
      <c r="C42" s="1001"/>
      <c r="D42" s="2286" t="s">
        <v>522</v>
      </c>
      <c r="E42" s="2287"/>
      <c r="F42" s="1002" t="s">
        <v>523</v>
      </c>
      <c r="G42" s="1003"/>
    </row>
    <row r="43" spans="1:7" ht="12" customHeight="1" x14ac:dyDescent="0.2">
      <c r="A43" s="987"/>
      <c r="B43" s="162"/>
      <c r="C43" s="1001"/>
      <c r="D43" s="1806" t="s">
        <v>473</v>
      </c>
      <c r="E43" s="1807">
        <f>D41</f>
        <v>158899</v>
      </c>
      <c r="F43" s="1806" t="s">
        <v>473</v>
      </c>
      <c r="G43" s="1807">
        <f>F41</f>
        <v>812416</v>
      </c>
    </row>
    <row r="44" spans="1:7" ht="12" customHeight="1" x14ac:dyDescent="0.2">
      <c r="A44" s="987"/>
      <c r="B44" s="162"/>
      <c r="C44" s="1001"/>
      <c r="D44" s="1806" t="s">
        <v>474</v>
      </c>
      <c r="E44" s="1807">
        <f>E41</f>
        <v>7319938</v>
      </c>
      <c r="F44" s="1806" t="s">
        <v>474</v>
      </c>
      <c r="G44" s="1807">
        <f>G41</f>
        <v>6666421</v>
      </c>
    </row>
    <row r="45" spans="1:7" ht="12" customHeight="1" x14ac:dyDescent="0.2">
      <c r="A45" s="987"/>
      <c r="B45" s="162"/>
      <c r="C45" s="162"/>
      <c r="D45" s="1808" t="s">
        <v>1006</v>
      </c>
      <c r="E45" s="1809">
        <f>(E43/E44)</f>
        <v>2.1707697524214004E-2</v>
      </c>
      <c r="F45" s="1808" t="s">
        <v>1006</v>
      </c>
      <c r="G45" s="1809">
        <f>(G43/G44)</f>
        <v>0.1218668907949258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B97" sqref="B97"/>
      <selection pane="bottomLeft" activeCell="B97" sqref="B97"/>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94" t="s">
        <v>1379</v>
      </c>
      <c r="B1" s="2294"/>
      <c r="C1" s="2294"/>
      <c r="D1" s="2294"/>
      <c r="E1" s="2294"/>
      <c r="F1" s="2294"/>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295" t="s">
        <v>1546</v>
      </c>
      <c r="B5" s="2296"/>
      <c r="C5" s="2297"/>
      <c r="D5" s="2297"/>
      <c r="E5" s="2297"/>
      <c r="F5" s="2297"/>
    </row>
    <row r="6" spans="1:10" ht="12" customHeight="1" x14ac:dyDescent="0.25">
      <c r="A6" s="1848"/>
      <c r="B6" s="1849"/>
      <c r="C6" s="2298" t="str">
        <f>COVER!A17</f>
        <v>West Central CUSD 235</v>
      </c>
      <c r="D6" s="2298"/>
      <c r="E6" s="2298"/>
      <c r="F6" s="1850"/>
    </row>
    <row r="7" spans="1:10" ht="11.25" customHeight="1" thickBot="1" x14ac:dyDescent="0.3">
      <c r="A7" s="1848"/>
      <c r="B7" s="1849"/>
      <c r="C7" s="2299">
        <f>COVER!A13</f>
        <v>33036235026</v>
      </c>
      <c r="D7" s="2299"/>
      <c r="E7" s="2299"/>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t="s">
        <v>2065</v>
      </c>
      <c r="D15" s="1863" t="s">
        <v>2065</v>
      </c>
      <c r="E15" s="1866"/>
      <c r="F15" s="1865" t="s">
        <v>2084</v>
      </c>
      <c r="H15" s="1876">
        <f t="shared" si="0"/>
        <v>5</v>
      </c>
      <c r="I15" s="1876">
        <f t="shared" si="1"/>
        <v>5</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t="s">
        <v>2065</v>
      </c>
      <c r="D19" s="1863" t="s">
        <v>2065</v>
      </c>
      <c r="E19" s="1866"/>
      <c r="F19" s="1865" t="s">
        <v>2085</v>
      </c>
      <c r="H19" s="1876">
        <f t="shared" si="0"/>
        <v>5</v>
      </c>
      <c r="I19" s="1876">
        <f t="shared" si="1"/>
        <v>5</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2065</v>
      </c>
      <c r="D26" s="1863" t="s">
        <v>2065</v>
      </c>
      <c r="E26" s="1866"/>
      <c r="F26" s="1865" t="s">
        <v>2139</v>
      </c>
      <c r="H26" s="1876">
        <f t="shared" si="0"/>
        <v>5</v>
      </c>
      <c r="I26" s="1876">
        <f t="shared" si="1"/>
        <v>5</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t="s">
        <v>2065</v>
      </c>
      <c r="D28" s="1863" t="s">
        <v>2065</v>
      </c>
      <c r="E28" s="1866"/>
      <c r="F28" s="1865" t="s">
        <v>2140</v>
      </c>
      <c r="H28" s="1876">
        <f t="shared" si="0"/>
        <v>5</v>
      </c>
      <c r="I28" s="1876">
        <f t="shared" si="1"/>
        <v>5</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t="s">
        <v>2065</v>
      </c>
      <c r="D31" s="1863" t="s">
        <v>2065</v>
      </c>
      <c r="E31" s="1866"/>
      <c r="F31" s="1865" t="s">
        <v>2086</v>
      </c>
      <c r="H31" s="1876">
        <f t="shared" si="0"/>
        <v>5</v>
      </c>
      <c r="I31" s="1876">
        <f t="shared" si="1"/>
        <v>5</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25</v>
      </c>
      <c r="I34" s="1876">
        <f>SUM(I11:I32)</f>
        <v>25</v>
      </c>
      <c r="J34" s="1876">
        <f>SUM(J11:J32)</f>
        <v>0</v>
      </c>
      <c r="K34" s="1876">
        <f>SUM(H34:J34)</f>
        <v>50</v>
      </c>
    </row>
    <row r="35" spans="1:11" ht="12" customHeight="1" x14ac:dyDescent="0.2">
      <c r="A35" s="1869" t="s">
        <v>1392</v>
      </c>
      <c r="B35" s="1870"/>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1"/>
      <c r="B39" s="1871"/>
      <c r="C39" s="1871"/>
      <c r="D39" s="1871"/>
      <c r="E39" s="1871"/>
      <c r="F39" s="1871"/>
    </row>
    <row r="40" spans="1:11" s="1868" customFormat="1" ht="12" customHeight="1" x14ac:dyDescent="0.25">
      <c r="A40" s="1872" t="s">
        <v>1391</v>
      </c>
      <c r="B40" s="1873"/>
      <c r="C40" s="2308"/>
      <c r="D40" s="2308"/>
      <c r="E40" s="2308"/>
      <c r="F40" s="2309"/>
      <c r="H40" s="1877"/>
      <c r="I40" s="1877"/>
      <c r="J40" s="1877"/>
      <c r="K40" s="1877"/>
    </row>
    <row r="41" spans="1:11" s="1868" customFormat="1" ht="12" customHeight="1" x14ac:dyDescent="0.25">
      <c r="A41" s="2310"/>
      <c r="B41" s="2311"/>
      <c r="C41" s="2311"/>
      <c r="D41" s="2311"/>
      <c r="E41" s="2311"/>
      <c r="F41" s="2312"/>
      <c r="H41" s="1877"/>
      <c r="I41" s="1877"/>
      <c r="J41" s="1877"/>
      <c r="K41" s="1877"/>
    </row>
    <row r="42" spans="1:11" s="1868" customFormat="1" ht="12" customHeight="1" x14ac:dyDescent="0.25">
      <c r="A42" s="2310"/>
      <c r="B42" s="2311"/>
      <c r="C42" s="2311"/>
      <c r="D42" s="2311"/>
      <c r="E42" s="2311"/>
      <c r="F42" s="2312"/>
      <c r="H42" s="1877"/>
      <c r="I42" s="1877"/>
      <c r="J42" s="1877"/>
      <c r="K42" s="1877"/>
    </row>
    <row r="43" spans="1:11" s="1868" customFormat="1" ht="15" x14ac:dyDescent="0.25">
      <c r="A43" s="2302"/>
      <c r="B43" s="2303"/>
      <c r="C43" s="2303"/>
      <c r="D43" s="2303"/>
      <c r="E43" s="2303"/>
      <c r="F43" s="2304"/>
      <c r="H43" s="1877"/>
      <c r="I43" s="1877"/>
      <c r="J43" s="1877"/>
      <c r="K43" s="1877"/>
    </row>
    <row r="44" spans="1:11" s="1868" customFormat="1" ht="12" hidden="1" customHeight="1" x14ac:dyDescent="0.25">
      <c r="A44" s="2302"/>
      <c r="B44" s="2303"/>
      <c r="C44" s="2303"/>
      <c r="D44" s="2303"/>
      <c r="E44" s="2303"/>
      <c r="F44" s="230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97" sqref="B9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8" t="str">
        <f>COVER!A17</f>
        <v>West Central CUSD 235</v>
      </c>
      <c r="J6" s="2319"/>
      <c r="Q6" s="1663"/>
    </row>
    <row r="7" spans="1:17" x14ac:dyDescent="0.2">
      <c r="A7" s="2320" t="s">
        <v>869</v>
      </c>
      <c r="B7" s="2321"/>
      <c r="C7" s="2321"/>
      <c r="D7" s="2321"/>
      <c r="E7" s="2322"/>
      <c r="F7" s="1017"/>
      <c r="G7" s="1009"/>
      <c r="H7" s="1016" t="s">
        <v>372</v>
      </c>
      <c r="I7" s="2323">
        <f>COVER!A13</f>
        <v>33036235026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195777</v>
      </c>
      <c r="F12" s="1039"/>
      <c r="G12" s="1810">
        <f t="shared" ref="G12:G18" si="0">SUM(E12:F12)</f>
        <v>195777</v>
      </c>
      <c r="H12" s="1040">
        <v>205550</v>
      </c>
      <c r="I12" s="1039"/>
      <c r="J12" s="1810">
        <f t="shared" ref="J12:J18" si="1">SUM(H12:I12)</f>
        <v>205550</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7" t="s">
        <v>7</v>
      </c>
      <c r="C18" s="2328"/>
      <c r="D18" s="232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195777</v>
      </c>
      <c r="F19" s="1812">
        <f t="shared" si="2"/>
        <v>0</v>
      </c>
      <c r="G19" s="1812">
        <f t="shared" si="2"/>
        <v>195777</v>
      </c>
      <c r="H19" s="1812">
        <f t="shared" si="2"/>
        <v>205550</v>
      </c>
      <c r="I19" s="1812">
        <f t="shared" si="2"/>
        <v>0</v>
      </c>
      <c r="J19" s="1812">
        <f t="shared" si="2"/>
        <v>205550</v>
      </c>
    </row>
    <row r="20" spans="1:10" ht="13.5" thickTop="1" x14ac:dyDescent="0.2">
      <c r="A20" s="1035">
        <v>9</v>
      </c>
      <c r="B20" s="2330" t="s">
        <v>1979</v>
      </c>
      <c r="C20" s="2330"/>
      <c r="D20" s="2331"/>
      <c r="E20" s="1046"/>
      <c r="F20" s="1046"/>
      <c r="G20" s="1046"/>
      <c r="H20" s="1046"/>
      <c r="I20" s="1046"/>
      <c r="J20" s="1813">
        <f>IF(AND(G19&gt;0,J19&gt;0),(((J19-G19)/G19)),"Enter Budget Data")</f>
        <v>4.9919040541023717E-2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57"/>
  <sheetViews>
    <sheetView showGridLines="0" topLeftCell="A40" zoomScale="110" zoomScaleNormal="110" workbookViewId="0">
      <selection activeCell="B97" sqref="B9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938" t="s">
        <v>2097</v>
      </c>
    </row>
    <row r="6" spans="1:1" x14ac:dyDescent="0.2">
      <c r="A6" s="1069" t="s">
        <v>2109</v>
      </c>
    </row>
    <row r="7" spans="1:1" x14ac:dyDescent="0.2">
      <c r="A7" s="1069" t="s">
        <v>2110</v>
      </c>
    </row>
    <row r="8" spans="1:1" x14ac:dyDescent="0.2">
      <c r="A8" s="1068"/>
    </row>
    <row r="9" spans="1:1" x14ac:dyDescent="0.2">
      <c r="A9" s="1069" t="s">
        <v>2098</v>
      </c>
    </row>
    <row r="10" spans="1:1" x14ac:dyDescent="0.2">
      <c r="A10" s="1069" t="s">
        <v>2111</v>
      </c>
    </row>
    <row r="11" spans="1:1" x14ac:dyDescent="0.2">
      <c r="A11" s="1069"/>
    </row>
    <row r="12" spans="1:1" x14ac:dyDescent="0.2">
      <c r="A12" s="1069" t="s">
        <v>2112</v>
      </c>
    </row>
    <row r="13" spans="1:1" x14ac:dyDescent="0.2">
      <c r="A13" s="1069" t="s">
        <v>2113</v>
      </c>
    </row>
    <row r="14" spans="1:1" x14ac:dyDescent="0.2">
      <c r="A14" s="1069"/>
    </row>
    <row r="15" spans="1:1" x14ac:dyDescent="0.2">
      <c r="A15" s="1069" t="s">
        <v>2099</v>
      </c>
    </row>
    <row r="16" spans="1:1" x14ac:dyDescent="0.2">
      <c r="A16" s="1069" t="s">
        <v>2114</v>
      </c>
    </row>
    <row r="17" spans="1:1" x14ac:dyDescent="0.2">
      <c r="A17" s="1069" t="s">
        <v>2115</v>
      </c>
    </row>
    <row r="18" spans="1:1" x14ac:dyDescent="0.2">
      <c r="A18" s="1069" t="s">
        <v>2116</v>
      </c>
    </row>
    <row r="19" spans="1:1" x14ac:dyDescent="0.2">
      <c r="A19" s="1069"/>
    </row>
    <row r="20" spans="1:1" x14ac:dyDescent="0.2">
      <c r="A20" s="1069" t="s">
        <v>2117</v>
      </c>
    </row>
    <row r="21" spans="1:1" x14ac:dyDescent="0.2">
      <c r="A21" s="1069" t="s">
        <v>2118</v>
      </c>
    </row>
    <row r="22" spans="1:1" x14ac:dyDescent="0.2">
      <c r="A22" s="1069"/>
    </row>
    <row r="23" spans="1:1" x14ac:dyDescent="0.2">
      <c r="A23" s="1069" t="s">
        <v>2119</v>
      </c>
    </row>
    <row r="24" spans="1:1" x14ac:dyDescent="0.2">
      <c r="A24" s="1069" t="s">
        <v>2120</v>
      </c>
    </row>
    <row r="25" spans="1:1" x14ac:dyDescent="0.2">
      <c r="A25" s="1069"/>
    </row>
    <row r="26" spans="1:1" x14ac:dyDescent="0.2">
      <c r="A26" s="1069" t="s">
        <v>2132</v>
      </c>
    </row>
    <row r="27" spans="1:1" x14ac:dyDescent="0.2">
      <c r="A27" s="1069" t="s">
        <v>2133</v>
      </c>
    </row>
    <row r="28" spans="1:1" x14ac:dyDescent="0.2">
      <c r="A28" s="1069"/>
    </row>
    <row r="29" spans="1:1" x14ac:dyDescent="0.2">
      <c r="A29" s="1938" t="s">
        <v>2100</v>
      </c>
    </row>
    <row r="30" spans="1:1" x14ac:dyDescent="0.2">
      <c r="A30" s="1069" t="s">
        <v>2099</v>
      </c>
    </row>
    <row r="31" spans="1:1" x14ac:dyDescent="0.2">
      <c r="A31" s="1069" t="s">
        <v>2121</v>
      </c>
    </row>
    <row r="32" spans="1:1" x14ac:dyDescent="0.2">
      <c r="A32" s="1069"/>
    </row>
    <row r="33" spans="1:1" x14ac:dyDescent="0.2">
      <c r="A33" s="1938" t="s">
        <v>2101</v>
      </c>
    </row>
    <row r="34" spans="1:1" x14ac:dyDescent="0.2">
      <c r="A34" s="1069" t="s">
        <v>2102</v>
      </c>
    </row>
    <row r="35" spans="1:1" x14ac:dyDescent="0.2">
      <c r="A35" s="1069" t="s">
        <v>2122</v>
      </c>
    </row>
    <row r="36" spans="1:1" x14ac:dyDescent="0.2">
      <c r="A36" s="1069"/>
    </row>
    <row r="37" spans="1:1" x14ac:dyDescent="0.2">
      <c r="A37" s="1938" t="s">
        <v>341</v>
      </c>
    </row>
    <row r="38" spans="1:1" x14ac:dyDescent="0.2">
      <c r="A38" s="1069" t="s">
        <v>2103</v>
      </c>
    </row>
    <row r="39" spans="1:1" x14ac:dyDescent="0.2">
      <c r="A39" s="1069" t="s">
        <v>2123</v>
      </c>
    </row>
    <row r="40" spans="1:1" x14ac:dyDescent="0.2">
      <c r="A40" s="1069"/>
    </row>
    <row r="41" spans="1:1" x14ac:dyDescent="0.2">
      <c r="A41" s="1938" t="s">
        <v>2104</v>
      </c>
    </row>
    <row r="42" spans="1:1" x14ac:dyDescent="0.2">
      <c r="A42" s="1069" t="s">
        <v>2124</v>
      </c>
    </row>
    <row r="43" spans="1:1" x14ac:dyDescent="0.2">
      <c r="A43" s="1069" t="s">
        <v>2125</v>
      </c>
    </row>
    <row r="44" spans="1:1" x14ac:dyDescent="0.2">
      <c r="A44" s="1069"/>
    </row>
    <row r="45" spans="1:1" x14ac:dyDescent="0.2">
      <c r="A45" s="1069" t="s">
        <v>2126</v>
      </c>
    </row>
    <row r="46" spans="1:1" x14ac:dyDescent="0.2">
      <c r="A46" s="1069"/>
    </row>
    <row r="47" spans="1:1" x14ac:dyDescent="0.2">
      <c r="A47" s="1069" t="s">
        <v>2127</v>
      </c>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c r="B56" s="258" t="str">
        <f>COVER!A17</f>
        <v>West Central CUSD 235</v>
      </c>
    </row>
    <row r="57" spans="1:2" x14ac:dyDescent="0.2">
      <c r="B57" s="1070">
        <f>COVER!A13</f>
        <v>33036235026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97" sqref="B9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5"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66675</xdr:colOff>
                <xdr:row>5</xdr:row>
                <xdr:rowOff>133350</xdr:rowOff>
              </from>
              <to>
                <xdr:col>1</xdr:col>
                <xdr:colOff>981075</xdr:colOff>
                <xdr:row>10</xdr:row>
                <xdr:rowOff>9525</xdr:rowOff>
              </to>
            </anchor>
          </objectPr>
        </oleObject>
      </mc:Choice>
      <mc:Fallback>
        <oleObject progId="Acrobat Document" dvAspect="DVASPECT_ICON" shapeId="52225" r:id="rId4"/>
      </mc:Fallback>
    </mc:AlternateContent>
    <mc:AlternateContent xmlns:mc="http://schemas.openxmlformats.org/markup-compatibility/2006">
      <mc:Choice Requires="x14">
        <oleObject progId="Acrobat Document" dvAspect="DVASPECT_ICON" shapeId="52226" r:id="rId6">
          <objectPr defaultSize="0" r:id="rId7">
            <anchor moveWithCells="1">
              <from>
                <xdr:col>1</xdr:col>
                <xdr:colOff>1104900</xdr:colOff>
                <xdr:row>5</xdr:row>
                <xdr:rowOff>133350</xdr:rowOff>
              </from>
              <to>
                <xdr:col>1</xdr:col>
                <xdr:colOff>2019300</xdr:colOff>
                <xdr:row>10</xdr:row>
                <xdr:rowOff>0</xdr:rowOff>
              </to>
            </anchor>
          </objectPr>
        </oleObject>
      </mc:Choice>
      <mc:Fallback>
        <oleObject progId="Acrobat Document" dvAspect="DVASPECT_ICON" shapeId="52226" r:id="rId6"/>
      </mc:Fallback>
    </mc:AlternateContent>
    <mc:AlternateContent xmlns:mc="http://schemas.openxmlformats.org/markup-compatibility/2006">
      <mc:Choice Requires="x14">
        <oleObject progId="Acrobat Document" dvAspect="DVASPECT_ICON" shapeId="52227" r:id="rId8">
          <objectPr defaultSize="0" r:id="rId9">
            <anchor moveWithCells="1">
              <from>
                <xdr:col>1</xdr:col>
                <xdr:colOff>2152650</xdr:colOff>
                <xdr:row>5</xdr:row>
                <xdr:rowOff>133350</xdr:rowOff>
              </from>
              <to>
                <xdr:col>1</xdr:col>
                <xdr:colOff>3067050</xdr:colOff>
                <xdr:row>10</xdr:row>
                <xdr:rowOff>9525</xdr:rowOff>
              </to>
            </anchor>
          </objectPr>
        </oleObject>
      </mc:Choice>
      <mc:Fallback>
        <oleObject progId="Acrobat Document" dvAspect="DVASPECT_ICON" shapeId="5222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97" sqref="B9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6733670</v>
      </c>
      <c r="C8" s="1814">
        <f>'Acct Summary 7-8'!D8</f>
        <v>927761</v>
      </c>
      <c r="D8" s="1814">
        <f>'Acct Summary 7-8'!F8</f>
        <v>817458</v>
      </c>
      <c r="E8" s="1814">
        <f>'Acct Summary 7-8'!I8</f>
        <v>27847</v>
      </c>
      <c r="F8" s="1814">
        <f>SUM(B8:E8)</f>
        <v>8506736</v>
      </c>
    </row>
    <row r="9" spans="1:8" s="1079" customFormat="1" ht="14.25" customHeight="1" thickBot="1" x14ac:dyDescent="0.25">
      <c r="A9" s="1078" t="s">
        <v>1369</v>
      </c>
      <c r="B9" s="1815">
        <f>'Acct Summary 7-8'!C17</f>
        <v>6490650</v>
      </c>
      <c r="C9" s="1815">
        <f>'Acct Summary 7-8'!D17</f>
        <v>652265</v>
      </c>
      <c r="D9" s="1815">
        <f>'Acct Summary 7-8'!F17</f>
        <v>679299</v>
      </c>
      <c r="E9" s="1814"/>
      <c r="F9" s="1814">
        <f>SUM(B9:E9)</f>
        <v>7822214</v>
      </c>
    </row>
    <row r="10" spans="1:8" s="1079" customFormat="1" ht="14.25" thickTop="1" thickBot="1" x14ac:dyDescent="0.25">
      <c r="A10" s="1080" t="s">
        <v>1370</v>
      </c>
      <c r="B10" s="1816">
        <f>(B8-B9)</f>
        <v>243020</v>
      </c>
      <c r="C10" s="1816">
        <f>(C8-C9)</f>
        <v>275496</v>
      </c>
      <c r="D10" s="1816">
        <f>(D8-D9)</f>
        <v>138159</v>
      </c>
      <c r="E10" s="1815">
        <f>(E8-E9)</f>
        <v>27847</v>
      </c>
      <c r="F10" s="1817">
        <f>SUM(F8-F9)</f>
        <v>684522</v>
      </c>
    </row>
    <row r="11" spans="1:8" s="1079" customFormat="1" ht="14.25" thickTop="1" thickBot="1" x14ac:dyDescent="0.25">
      <c r="A11" s="1081" t="s">
        <v>1983</v>
      </c>
      <c r="B11" s="1818">
        <f>'Acct Summary 7-8'!C81</f>
        <v>5459969</v>
      </c>
      <c r="C11" s="1818">
        <f>'Acct Summary 7-8'!D81</f>
        <v>1817559</v>
      </c>
      <c r="D11" s="1818">
        <f>'Acct Summary 7-8'!F81</f>
        <v>845573</v>
      </c>
      <c r="E11" s="1818">
        <f>'Acct Summary 7-8'!I81</f>
        <v>918896</v>
      </c>
      <c r="F11" s="1819">
        <f>SUM(B11:E11)</f>
        <v>9041997</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3" colorId="8" zoomScale="110" zoomScaleNormal="110" workbookViewId="0">
      <selection activeCell="B97" sqref="B9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29'!D28&gt;0,"OK","PLEASE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33036235026</v>
      </c>
    </row>
    <row r="3" spans="1:2" x14ac:dyDescent="0.2">
      <c r="A3" t="s">
        <v>956</v>
      </c>
      <c r="B3" s="138" t="str">
        <f>COVER!A15</f>
        <v>Henderson</v>
      </c>
    </row>
    <row r="4" spans="1:2" x14ac:dyDescent="0.2">
      <c r="A4" t="s">
        <v>1007</v>
      </c>
      <c r="B4" s="138" t="str">
        <f>COVER!A17</f>
        <v>West Central CUSD 235</v>
      </c>
    </row>
    <row r="5" spans="1:2" x14ac:dyDescent="0.2">
      <c r="A5" t="s">
        <v>704</v>
      </c>
      <c r="B5" s="138" t="str">
        <f>COVER!A38</f>
        <v>Mrs. Paula Markey</v>
      </c>
    </row>
    <row r="6" spans="1:2" x14ac:dyDescent="0.2">
      <c r="A6" t="s">
        <v>709</v>
      </c>
      <c r="B6" s="138">
        <f>COVER!P35</f>
        <v>0</v>
      </c>
    </row>
    <row r="7" spans="1:2" x14ac:dyDescent="0.2">
      <c r="A7" t="s">
        <v>705</v>
      </c>
      <c r="B7" s="138">
        <f>COVER!I38</f>
        <v>0</v>
      </c>
    </row>
    <row r="8" spans="1:2" x14ac:dyDescent="0.2">
      <c r="A8" t="s">
        <v>706</v>
      </c>
      <c r="B8" s="138" t="str">
        <f>COVER!T38</f>
        <v>Mrs. Jodi Scott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60.008476000000002</v>
      </c>
    </row>
    <row r="16" spans="1:2" x14ac:dyDescent="0.2">
      <c r="A16" t="s">
        <v>422</v>
      </c>
      <c r="B16" s="138" t="str">
        <f>COVER!T13</f>
        <v>Cavanaugh, Davies, Blackman &amp; Cramblet, CPA's</v>
      </c>
    </row>
    <row r="17" spans="1:2" x14ac:dyDescent="0.2">
      <c r="A17" t="s">
        <v>884</v>
      </c>
      <c r="B17" s="138" t="str">
        <f>COVER!T15</f>
        <v>Rod Davies</v>
      </c>
    </row>
    <row r="18" spans="1:2" x14ac:dyDescent="0.2">
      <c r="A18" t="s">
        <v>1150</v>
      </c>
      <c r="B18" s="138" t="str">
        <f>COVER!T17</f>
        <v>1021 North Main Street, PO Box 318</v>
      </c>
    </row>
    <row r="19" spans="1:2" x14ac:dyDescent="0.2">
      <c r="A19" t="s">
        <v>886</v>
      </c>
      <c r="B19" s="138" t="str">
        <f>COVER!T25</f>
        <v>cdbccpas@monmouthcpa.com</v>
      </c>
    </row>
    <row r="20" spans="1:2" x14ac:dyDescent="0.2">
      <c r="A20" t="s">
        <v>887</v>
      </c>
      <c r="B20" s="138" t="str">
        <f>COVER!T19</f>
        <v>Monmouth</v>
      </c>
    </row>
    <row r="21" spans="1:2" x14ac:dyDescent="0.2">
      <c r="A21" t="s">
        <v>479</v>
      </c>
      <c r="B21" s="138" t="str">
        <f>COVER!X19</f>
        <v>IL</v>
      </c>
    </row>
    <row r="22" spans="1:2" x14ac:dyDescent="0.2">
      <c r="A22" t="s">
        <v>888</v>
      </c>
      <c r="B22" s="138">
        <f>COVER!Z19</f>
        <v>61462</v>
      </c>
    </row>
    <row r="23" spans="1:2" x14ac:dyDescent="0.2">
      <c r="A23" t="s">
        <v>1152</v>
      </c>
      <c r="B23" s="138" t="str">
        <f>COVER!T21</f>
        <v>309-734-2330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3850483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5459969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5406629</v>
      </c>
      <c r="D92" s="2" t="str">
        <f t="shared" si="0"/>
        <v>Error?</v>
      </c>
    </row>
    <row r="93" spans="1:4" x14ac:dyDescent="0.2">
      <c r="A93" s="5">
        <v>32</v>
      </c>
      <c r="B93" s="138">
        <f>'Assets-Liab 5-6'!C41</f>
        <v>5459969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454142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1817559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1817559</v>
      </c>
      <c r="D123" s="2" t="str">
        <f t="shared" si="0"/>
        <v>Error?</v>
      </c>
    </row>
    <row r="124" spans="1:4" x14ac:dyDescent="0.2">
      <c r="A124" s="5">
        <v>63</v>
      </c>
      <c r="B124" s="138">
        <f>'Assets-Liab 5-6'!D41</f>
        <v>1817559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258686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258686</v>
      </c>
      <c r="D140" s="2" t="str">
        <f t="shared" si="1"/>
        <v>Error?</v>
      </c>
    </row>
    <row r="141" spans="1:4" x14ac:dyDescent="0.2">
      <c r="A141" s="5">
        <v>80</v>
      </c>
      <c r="B141" s="138">
        <f>'Assets-Liab 5-6'!E41</f>
        <v>258686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131501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845573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845573</v>
      </c>
      <c r="D170" s="2" t="str">
        <f t="shared" si="1"/>
        <v>Error?</v>
      </c>
    </row>
    <row r="171" spans="1:4" x14ac:dyDescent="0.2">
      <c r="A171" s="5">
        <v>110</v>
      </c>
      <c r="B171" s="138">
        <f>'Assets-Liab 5-6'!F41</f>
        <v>845573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169557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453271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373343</v>
      </c>
      <c r="D189" s="2" t="str">
        <f t="shared" si="1"/>
        <v>Error?</v>
      </c>
    </row>
    <row r="190" spans="1:4" x14ac:dyDescent="0.2">
      <c r="A190" s="5">
        <v>129</v>
      </c>
      <c r="B190" s="138">
        <f>'Assets-Liab 5-6'!G41</f>
        <v>453271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7595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7595</v>
      </c>
      <c r="D212" s="2" t="str">
        <f t="shared" si="2"/>
        <v>Error?</v>
      </c>
    </row>
    <row r="213" spans="1:4" x14ac:dyDescent="0.2">
      <c r="A213" s="12">
        <v>152</v>
      </c>
      <c r="B213" s="138">
        <f>'Assets-Liab 5-6'!H41</f>
        <v>7595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42500</v>
      </c>
      <c r="D273" s="2" t="str">
        <f t="shared" si="3"/>
        <v>Error?</v>
      </c>
    </row>
    <row r="274" spans="1:4" x14ac:dyDescent="0.2">
      <c r="A274" s="5">
        <v>213</v>
      </c>
      <c r="B274" s="138">
        <f>'Assets-Liab 5-6'!M17</f>
        <v>7709371</v>
      </c>
      <c r="D274" s="2" t="str">
        <f t="shared" si="3"/>
        <v>Error?</v>
      </c>
    </row>
    <row r="275" spans="1:4" x14ac:dyDescent="0.2">
      <c r="A275" s="5">
        <v>214</v>
      </c>
      <c r="B275" s="138">
        <f>'Assets-Liab 5-6'!M18</f>
        <v>6983776</v>
      </c>
      <c r="D275" s="2" t="str">
        <f t="shared" si="3"/>
        <v>Error?</v>
      </c>
    </row>
    <row r="276" spans="1:4" x14ac:dyDescent="0.2">
      <c r="A276" s="5">
        <v>215</v>
      </c>
      <c r="B276" s="138">
        <f>'Assets-Liab 5-6'!M19</f>
        <v>1206220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15941867</v>
      </c>
      <c r="C279" s="2" t="s">
        <v>573</v>
      </c>
      <c r="D279" s="2" t="str">
        <f t="shared" si="3"/>
        <v>Error?</v>
      </c>
    </row>
    <row r="280" spans="1:4" x14ac:dyDescent="0.2">
      <c r="A280" s="5">
        <v>219</v>
      </c>
      <c r="B280" s="138">
        <f>'Assets-Liab 5-6'!M40</f>
        <v>15941867</v>
      </c>
      <c r="D280" s="2" t="str">
        <f t="shared" si="3"/>
        <v>Error?</v>
      </c>
    </row>
    <row r="281" spans="1:4" x14ac:dyDescent="0.2">
      <c r="A281" s="5">
        <v>220</v>
      </c>
      <c r="B281" s="138">
        <f>'Assets-Liab 5-6'!M41</f>
        <v>15941867</v>
      </c>
      <c r="C281" s="2" t="s">
        <v>573</v>
      </c>
      <c r="D281" s="2" t="str">
        <f t="shared" si="3"/>
        <v>Error?</v>
      </c>
    </row>
    <row r="282" spans="1:4" x14ac:dyDescent="0.2">
      <c r="A282" s="5">
        <v>221</v>
      </c>
      <c r="B282" s="138">
        <f>'Assets-Liab 5-6'!N21</f>
        <v>258686</v>
      </c>
      <c r="D282" s="2" t="str">
        <f t="shared" si="3"/>
        <v>Error?</v>
      </c>
    </row>
    <row r="283" spans="1:4" x14ac:dyDescent="0.2">
      <c r="A283" s="5">
        <v>222</v>
      </c>
      <c r="B283" s="138">
        <f>'Assets-Liab 5-6'!N22</f>
        <v>2616464</v>
      </c>
      <c r="D283" s="2" t="str">
        <f t="shared" si="3"/>
        <v>Error?</v>
      </c>
    </row>
    <row r="284" spans="1:4" x14ac:dyDescent="0.2">
      <c r="A284" s="5">
        <v>223</v>
      </c>
      <c r="B284" s="138">
        <f>'Assets-Liab 5-6'!N23</f>
        <v>2875150</v>
      </c>
      <c r="C284" s="2" t="s">
        <v>573</v>
      </c>
      <c r="D284" s="2" t="str">
        <f t="shared" si="3"/>
        <v>Error?</v>
      </c>
    </row>
    <row r="285" spans="1:4" x14ac:dyDescent="0.2">
      <c r="A285" s="5">
        <v>224</v>
      </c>
      <c r="B285" s="138">
        <f>'Assets-Liab 5-6'!N36</f>
        <v>2875150</v>
      </c>
      <c r="D285" s="2" t="str">
        <f t="shared" si="3"/>
        <v>Error?</v>
      </c>
    </row>
    <row r="286" spans="1:4" x14ac:dyDescent="0.2">
      <c r="A286" s="10">
        <v>225</v>
      </c>
      <c r="D286" s="2" t="str">
        <f t="shared" si="3"/>
        <v>OK</v>
      </c>
    </row>
    <row r="287" spans="1:4" x14ac:dyDescent="0.2">
      <c r="A287" s="5">
        <v>226</v>
      </c>
      <c r="B287" s="138">
        <f>'Assets-Liab 5-6'!N37</f>
        <v>2875150</v>
      </c>
      <c r="C287" s="2" t="s">
        <v>573</v>
      </c>
      <c r="D287" s="2" t="str">
        <f t="shared" si="3"/>
        <v>Error?</v>
      </c>
    </row>
    <row r="288" spans="1:4" x14ac:dyDescent="0.2">
      <c r="A288" s="5">
        <v>227</v>
      </c>
      <c r="B288" s="138">
        <f>'Assets-Liab 5-6'!N41</f>
        <v>2875150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2268049</v>
      </c>
      <c r="D705" s="2" t="str">
        <f t="shared" si="10"/>
        <v>Error?</v>
      </c>
    </row>
    <row r="706" spans="1:4" x14ac:dyDescent="0.2">
      <c r="A706" s="5">
        <v>645</v>
      </c>
      <c r="B706" s="138">
        <f>'Expenditures 15-22'!C16</f>
        <v>3371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258343</v>
      </c>
      <c r="D717" s="2" t="str">
        <f t="shared" si="10"/>
        <v>Error?</v>
      </c>
    </row>
    <row r="718" spans="1:4" x14ac:dyDescent="0.2">
      <c r="A718" s="5">
        <v>657</v>
      </c>
      <c r="B718" s="138">
        <f>'Expenditures 15-22'!C14</f>
        <v>125679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3529025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52054</v>
      </c>
      <c r="D722" s="2" t="str">
        <f t="shared" si="10"/>
        <v>Error?</v>
      </c>
    </row>
    <row r="723" spans="1:4" x14ac:dyDescent="0.2">
      <c r="A723" s="5">
        <v>662</v>
      </c>
      <c r="B723" s="138">
        <f>'Expenditures 15-22'!C38</f>
        <v>24894</v>
      </c>
      <c r="D723" s="2" t="str">
        <f t="shared" si="10"/>
        <v>Error?</v>
      </c>
    </row>
    <row r="724" spans="1:4" x14ac:dyDescent="0.2">
      <c r="A724" s="5">
        <v>663</v>
      </c>
      <c r="B724" s="138">
        <f>'Expenditures 15-22'!C39</f>
        <v>69780</v>
      </c>
      <c r="D724" s="2" t="str">
        <f t="shared" si="10"/>
        <v>Error?</v>
      </c>
    </row>
    <row r="725" spans="1:4" x14ac:dyDescent="0.2">
      <c r="A725" s="5">
        <v>664</v>
      </c>
      <c r="B725" s="138">
        <f>'Expenditures 15-22'!C40</f>
        <v>50259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196987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99542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99542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180102</v>
      </c>
      <c r="D733" s="2" t="str">
        <f t="shared" si="10"/>
        <v>Error?</v>
      </c>
    </row>
    <row r="734" spans="1:4" x14ac:dyDescent="0.2">
      <c r="A734" s="5">
        <v>673</v>
      </c>
      <c r="B734" s="138">
        <f>'Expenditures 15-22'!C53</f>
        <v>180102</v>
      </c>
      <c r="C734" s="2" t="s">
        <v>573</v>
      </c>
      <c r="D734" s="2" t="str">
        <f t="shared" si="10"/>
        <v>Error?</v>
      </c>
    </row>
    <row r="735" spans="1:4" x14ac:dyDescent="0.2">
      <c r="A735" s="5">
        <v>674</v>
      </c>
      <c r="B735" s="138">
        <f>'Expenditures 15-22'!C55</f>
        <v>524501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524501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86950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161480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248430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26201</v>
      </c>
      <c r="D751" s="2" t="str">
        <f t="shared" si="10"/>
        <v>Error?</v>
      </c>
    </row>
    <row r="752" spans="1:4" x14ac:dyDescent="0.2">
      <c r="A752" s="10">
        <v>691</v>
      </c>
      <c r="D752" s="2" t="str">
        <f t="shared" si="10"/>
        <v>OK</v>
      </c>
    </row>
    <row r="753" spans="1:4" x14ac:dyDescent="0.2">
      <c r="A753" s="5">
        <v>692</v>
      </c>
      <c r="B753" s="138">
        <f>'Expenditures 15-22'!C72</f>
        <v>26201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1275763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4804788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314896</v>
      </c>
      <c r="D763" s="2" t="str">
        <f t="shared" si="10"/>
        <v>Error?</v>
      </c>
    </row>
    <row r="764" spans="1:4" x14ac:dyDescent="0.2">
      <c r="A764" s="5">
        <v>703</v>
      </c>
      <c r="B764" s="138">
        <f>'Expenditures 15-22'!D16</f>
        <v>25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30466</v>
      </c>
      <c r="D775" s="2" t="str">
        <f t="shared" si="11"/>
        <v>Error?</v>
      </c>
    </row>
    <row r="776" spans="1:4" x14ac:dyDescent="0.2">
      <c r="A776" s="5">
        <v>715</v>
      </c>
      <c r="B776" s="138">
        <f>'Expenditures 15-22'!D14</f>
        <v>1136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488301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7826</v>
      </c>
      <c r="D780" s="2" t="str">
        <f t="shared" si="11"/>
        <v>Error?</v>
      </c>
    </row>
    <row r="781" spans="1:4" x14ac:dyDescent="0.2">
      <c r="A781" s="5">
        <v>720</v>
      </c>
      <c r="B781" s="138">
        <f>'Expenditures 15-22'!D38</f>
        <v>4518</v>
      </c>
      <c r="D781" s="2" t="str">
        <f t="shared" si="11"/>
        <v>Error?</v>
      </c>
    </row>
    <row r="782" spans="1:4" x14ac:dyDescent="0.2">
      <c r="A782" s="5">
        <v>721</v>
      </c>
      <c r="B782" s="138">
        <f>'Expenditures 15-22'!D39</f>
        <v>14671</v>
      </c>
      <c r="D782" s="2" t="str">
        <f t="shared" si="11"/>
        <v>Error?</v>
      </c>
    </row>
    <row r="783" spans="1:4" x14ac:dyDescent="0.2">
      <c r="A783" s="5">
        <v>722</v>
      </c>
      <c r="B783" s="138">
        <f>'Expenditures 15-22'!D40</f>
        <v>7778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34793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15251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15251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6733</v>
      </c>
      <c r="D791" s="2" t="str">
        <f t="shared" si="11"/>
        <v>Error?</v>
      </c>
    </row>
    <row r="792" spans="1:4" x14ac:dyDescent="0.2">
      <c r="A792" s="5">
        <v>731</v>
      </c>
      <c r="B792" s="138">
        <f>'Expenditures 15-22'!D53</f>
        <v>6733</v>
      </c>
      <c r="C792" s="2" t="s">
        <v>573</v>
      </c>
      <c r="D792" s="2" t="str">
        <f t="shared" si="11"/>
        <v>Error?</v>
      </c>
    </row>
    <row r="793" spans="1:4" x14ac:dyDescent="0.2">
      <c r="A793" s="5">
        <v>732</v>
      </c>
      <c r="B793" s="138">
        <f>'Expenditures 15-22'!D55</f>
        <v>66267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66267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17309</v>
      </c>
      <c r="D797" s="2" t="str">
        <f t="shared" si="11"/>
        <v>Error?</v>
      </c>
    </row>
    <row r="798" spans="1:4" x14ac:dyDescent="0.2">
      <c r="A798" s="5">
        <v>737</v>
      </c>
      <c r="B798" s="138">
        <f>'Expenditures 15-22'!D61</f>
        <v>13722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46189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77220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5261</v>
      </c>
      <c r="D809" s="2" t="str">
        <f t="shared" si="11"/>
        <v>Error?</v>
      </c>
    </row>
    <row r="810" spans="1:4" x14ac:dyDescent="0.2">
      <c r="A810" s="10">
        <v>749</v>
      </c>
      <c r="D810" s="2" t="str">
        <f t="shared" si="11"/>
        <v>OK</v>
      </c>
    </row>
    <row r="811" spans="1:4" x14ac:dyDescent="0.2">
      <c r="A811" s="5">
        <v>750</v>
      </c>
      <c r="B811" s="138">
        <f>'Expenditures 15-22'!D72</f>
        <v>5261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205525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693826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22272</v>
      </c>
      <c r="D821" s="2" t="str">
        <f t="shared" si="11"/>
        <v>Error?</v>
      </c>
    </row>
    <row r="822" spans="1:4" x14ac:dyDescent="0.2">
      <c r="A822" s="5">
        <v>761</v>
      </c>
      <c r="B822" s="138">
        <f>'Expenditures 15-22'!E16</f>
        <v>158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21187</v>
      </c>
      <c r="D833" s="2" t="str">
        <f t="shared" si="12"/>
        <v>Error?</v>
      </c>
    </row>
    <row r="834" spans="1:4" x14ac:dyDescent="0.2">
      <c r="A834" s="5">
        <v>773</v>
      </c>
      <c r="B834" s="138">
        <f>'Expenditures 15-22'!E14</f>
        <v>23814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100081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933</v>
      </c>
      <c r="D838" s="2" t="str">
        <f t="shared" si="12"/>
        <v>Error?</v>
      </c>
    </row>
    <row r="839" spans="1:4" x14ac:dyDescent="0.2">
      <c r="A839" s="5">
        <v>778</v>
      </c>
      <c r="B839" s="138">
        <f>'Expenditures 15-22'!E38</f>
        <v>582</v>
      </c>
      <c r="D839" s="2" t="str">
        <f t="shared" si="12"/>
        <v>Error?</v>
      </c>
    </row>
    <row r="840" spans="1:4" x14ac:dyDescent="0.2">
      <c r="A840" s="5">
        <v>779</v>
      </c>
      <c r="B840" s="138">
        <f>'Expenditures 15-22'!E39</f>
        <v>2250</v>
      </c>
      <c r="D840" s="2" t="str">
        <f t="shared" si="12"/>
        <v>Error?</v>
      </c>
    </row>
    <row r="841" spans="1:4" x14ac:dyDescent="0.2">
      <c r="A841" s="5">
        <v>780</v>
      </c>
      <c r="B841" s="138">
        <f>'Expenditures 15-22'!E40</f>
        <v>959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4724</v>
      </c>
      <c r="C843" s="2" t="s">
        <v>573</v>
      </c>
      <c r="D843" s="2" t="str">
        <f t="shared" si="12"/>
        <v>Error?</v>
      </c>
    </row>
    <row r="844" spans="1:4" x14ac:dyDescent="0.2">
      <c r="A844" s="5">
        <v>783</v>
      </c>
      <c r="B844" s="138">
        <f>'Expenditures 15-22'!E44</f>
        <v>4475</v>
      </c>
      <c r="D844" s="2" t="str">
        <f t="shared" si="12"/>
        <v>Error?</v>
      </c>
    </row>
    <row r="845" spans="1:4" x14ac:dyDescent="0.2">
      <c r="A845" s="5">
        <v>784</v>
      </c>
      <c r="B845" s="138">
        <f>'Expenditures 15-22'!E45</f>
        <v>1595</v>
      </c>
      <c r="D845" s="2" t="str">
        <f t="shared" si="12"/>
        <v>Error?</v>
      </c>
    </row>
    <row r="846" spans="1:4" x14ac:dyDescent="0.2">
      <c r="A846" s="5">
        <v>785</v>
      </c>
      <c r="B846" s="138">
        <f>'Expenditures 15-22'!E46</f>
        <v>6987</v>
      </c>
      <c r="D846" s="2" t="str">
        <f t="shared" si="12"/>
        <v>Error?</v>
      </c>
    </row>
    <row r="847" spans="1:4" x14ac:dyDescent="0.2">
      <c r="A847" s="5">
        <v>786</v>
      </c>
      <c r="B847" s="138">
        <f>'Expenditures 15-22'!E47</f>
        <v>13057</v>
      </c>
      <c r="C847" s="2" t="s">
        <v>573</v>
      </c>
      <c r="D847" s="2" t="str">
        <f t="shared" si="12"/>
        <v>Error?</v>
      </c>
    </row>
    <row r="848" spans="1:4" x14ac:dyDescent="0.2">
      <c r="A848" s="5">
        <v>787</v>
      </c>
      <c r="B848" s="138">
        <f>'Expenditures 15-22'!E49</f>
        <v>37590</v>
      </c>
      <c r="D848" s="2" t="str">
        <f t="shared" si="12"/>
        <v>Error?</v>
      </c>
    </row>
    <row r="849" spans="1:4" x14ac:dyDescent="0.2">
      <c r="A849" s="5">
        <v>788</v>
      </c>
      <c r="B849" s="138">
        <f>'Expenditures 15-22'!E50</f>
        <v>6247</v>
      </c>
      <c r="D849" s="2" t="str">
        <f t="shared" si="12"/>
        <v>Error?</v>
      </c>
    </row>
    <row r="850" spans="1:4" x14ac:dyDescent="0.2">
      <c r="A850" s="5">
        <v>789</v>
      </c>
      <c r="B850" s="138">
        <f>'Expenditures 15-22'!E53</f>
        <v>43837</v>
      </c>
      <c r="C850" s="2" t="s">
        <v>573</v>
      </c>
      <c r="D850" s="2" t="str">
        <f t="shared" si="12"/>
        <v>Error?</v>
      </c>
    </row>
    <row r="851" spans="1:4" x14ac:dyDescent="0.2">
      <c r="A851" s="5">
        <v>790</v>
      </c>
      <c r="B851" s="138">
        <f>'Expenditures 15-22'!E55</f>
        <v>23013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23013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2417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6731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91362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233797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26655</v>
      </c>
      <c r="D879" s="2" t="str">
        <f t="shared" si="12"/>
        <v>Error?</v>
      </c>
    </row>
    <row r="880" spans="1:4" x14ac:dyDescent="0.2">
      <c r="A880" s="5">
        <v>819</v>
      </c>
      <c r="B880" s="138">
        <f>'Expenditures 15-22'!F16</f>
        <v>1336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15238</v>
      </c>
      <c r="D891" s="2" t="str">
        <f t="shared" si="12"/>
        <v>Error?</v>
      </c>
    </row>
    <row r="892" spans="1:4" x14ac:dyDescent="0.2">
      <c r="A892" s="5">
        <v>831</v>
      </c>
      <c r="B892" s="138">
        <f>'Expenditures 15-22'!F14</f>
        <v>31110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193711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206</v>
      </c>
      <c r="D896" s="2" t="str">
        <f t="shared" si="13"/>
        <v>Error?</v>
      </c>
    </row>
    <row r="897" spans="1:4" x14ac:dyDescent="0.2">
      <c r="A897" s="5">
        <v>836</v>
      </c>
      <c r="B897" s="138">
        <f>'Expenditures 15-22'!F38</f>
        <v>610</v>
      </c>
      <c r="D897" s="2" t="str">
        <f t="shared" si="13"/>
        <v>Error?</v>
      </c>
    </row>
    <row r="898" spans="1:4" x14ac:dyDescent="0.2">
      <c r="A898" s="5">
        <v>837</v>
      </c>
      <c r="B898" s="138">
        <f>'Expenditures 15-22'!F39</f>
        <v>160</v>
      </c>
      <c r="D898" s="2" t="str">
        <f t="shared" si="13"/>
        <v>Error?</v>
      </c>
    </row>
    <row r="899" spans="1:4" x14ac:dyDescent="0.2">
      <c r="A899" s="5">
        <v>838</v>
      </c>
      <c r="B899" s="138">
        <f>'Expenditures 15-22'!F40</f>
        <v>79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1430</v>
      </c>
      <c r="C905" s="2" t="s">
        <v>573</v>
      </c>
      <c r="D905" s="2" t="str">
        <f t="shared" si="13"/>
        <v>Error?</v>
      </c>
    </row>
    <row r="906" spans="1:4" x14ac:dyDescent="0.2">
      <c r="A906" s="5">
        <v>845</v>
      </c>
      <c r="B906" s="138">
        <f>'Expenditures 15-22'!F49</f>
        <v>353</v>
      </c>
      <c r="D906" s="2" t="str">
        <f t="shared" si="13"/>
        <v>Error?</v>
      </c>
    </row>
    <row r="907" spans="1:4" x14ac:dyDescent="0.2">
      <c r="A907" s="5">
        <v>846</v>
      </c>
      <c r="B907" s="138">
        <f>'Expenditures 15-22'!F50</f>
        <v>1638</v>
      </c>
      <c r="D907" s="2" t="str">
        <f t="shared" si="13"/>
        <v>Error?</v>
      </c>
    </row>
    <row r="908" spans="1:4" x14ac:dyDescent="0.2">
      <c r="A908" s="5">
        <v>847</v>
      </c>
      <c r="B908" s="138">
        <f>'Expenditures 15-22'!F53</f>
        <v>2232</v>
      </c>
      <c r="C908" s="2" t="s">
        <v>573</v>
      </c>
      <c r="D908" s="2" t="str">
        <f t="shared" si="13"/>
        <v>Error?</v>
      </c>
    </row>
    <row r="909" spans="1:4" x14ac:dyDescent="0.2">
      <c r="A909" s="5">
        <v>848</v>
      </c>
      <c r="B909" s="138">
        <f>'Expenditures 15-22'!F55</f>
        <v>3422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3422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920</v>
      </c>
      <c r="D913" s="2" t="str">
        <f t="shared" si="13"/>
        <v>Error?</v>
      </c>
    </row>
    <row r="914" spans="1:4" x14ac:dyDescent="0.2">
      <c r="A914" s="5">
        <v>853</v>
      </c>
      <c r="B914" s="138">
        <f>'Expenditures 15-22'!F61</f>
        <v>134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161293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162347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170486</v>
      </c>
      <c r="C929" s="2" t="s">
        <v>573</v>
      </c>
      <c r="D929" s="2" t="str">
        <f t="shared" si="13"/>
        <v>Error?</v>
      </c>
    </row>
    <row r="930" spans="1:4" x14ac:dyDescent="0.2">
      <c r="A930" s="5">
        <v>869</v>
      </c>
      <c r="B930" s="138">
        <f>'Expenditures 15-22'!F75</f>
        <v>1761</v>
      </c>
      <c r="D930" s="2" t="str">
        <f t="shared" si="13"/>
        <v>Error?</v>
      </c>
    </row>
    <row r="931" spans="1:4" x14ac:dyDescent="0.2">
      <c r="A931" s="5">
        <v>870</v>
      </c>
      <c r="B931" s="138">
        <f>'Expenditures 15-22'!F114</f>
        <v>365958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152851</v>
      </c>
      <c r="D949" s="2" t="str">
        <f t="shared" si="13"/>
        <v>Error?</v>
      </c>
    </row>
    <row r="950" spans="1:4" x14ac:dyDescent="0.2">
      <c r="A950" s="5">
        <v>889</v>
      </c>
      <c r="B950" s="138">
        <f>'Expenditures 15-22'!G14</f>
        <v>4842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176648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176648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3985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5750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23610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5421</v>
      </c>
      <c r="D1022" s="2" t="str">
        <f t="shared" si="14"/>
        <v>Error?</v>
      </c>
    </row>
    <row r="1023" spans="1:4" x14ac:dyDescent="0.2">
      <c r="A1023" s="5">
        <v>962</v>
      </c>
      <c r="B1023" s="138">
        <f>'Expenditures 15-22'!H50</f>
        <v>1057</v>
      </c>
      <c r="D1023" s="2" t="str">
        <f t="shared" ref="D1023:D1086" si="15">IF(ISBLANK(B1023),"OK",IF(A1023-B1023=0,"OK","Error?"))</f>
        <v>Error?</v>
      </c>
    </row>
    <row r="1024" spans="1:4" x14ac:dyDescent="0.2">
      <c r="A1024" s="5">
        <v>963</v>
      </c>
      <c r="B1024" s="138">
        <f>'Expenditures 15-22'!H53</f>
        <v>6478</v>
      </c>
      <c r="C1024" s="2" t="s">
        <v>573</v>
      </c>
      <c r="D1024" s="2" t="str">
        <f t="shared" si="15"/>
        <v>Error?</v>
      </c>
    </row>
    <row r="1025" spans="1:4" x14ac:dyDescent="0.2">
      <c r="A1025" s="5">
        <v>964</v>
      </c>
      <c r="B1025" s="138">
        <f>'Expenditures 15-22'!H55</f>
        <v>664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664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231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1664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9037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182986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215633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2635857</v>
      </c>
      <c r="C1093" s="2" t="s">
        <v>573</v>
      </c>
      <c r="D1093" s="2" t="str">
        <f t="shared" si="16"/>
        <v>Error?</v>
      </c>
    </row>
    <row r="1094" spans="1:4" x14ac:dyDescent="0.2">
      <c r="A1094" s="5">
        <v>1033</v>
      </c>
      <c r="B1094" s="138">
        <f>'Expenditures 15-22'!K16</f>
        <v>4890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478085</v>
      </c>
      <c r="C1105" s="2" t="s">
        <v>573</v>
      </c>
      <c r="D1105" s="2" t="str">
        <f t="shared" si="16"/>
        <v>Error?</v>
      </c>
    </row>
    <row r="1106" spans="1:4" x14ac:dyDescent="0.2">
      <c r="A1106" s="5">
        <v>1045</v>
      </c>
      <c r="B1106" s="138">
        <f>'Expenditures 15-22'!K14</f>
        <v>192331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4511376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61019</v>
      </c>
      <c r="C1110" s="2" t="s">
        <v>573</v>
      </c>
      <c r="D1110" s="2" t="str">
        <f t="shared" si="16"/>
        <v>Error?</v>
      </c>
    </row>
    <row r="1111" spans="1:4" x14ac:dyDescent="0.2">
      <c r="A1111" s="5">
        <v>1050</v>
      </c>
      <c r="B1111" s="138">
        <f>'Expenditures 15-22'!K38</f>
        <v>30604</v>
      </c>
      <c r="C1111" s="2" t="s">
        <v>573</v>
      </c>
      <c r="D1111" s="2" t="str">
        <f t="shared" si="16"/>
        <v>Error?</v>
      </c>
    </row>
    <row r="1112" spans="1:4" x14ac:dyDescent="0.2">
      <c r="A1112" s="5">
        <v>1051</v>
      </c>
      <c r="B1112" s="138">
        <f>'Expenditures 15-22'!K39</f>
        <v>86861</v>
      </c>
      <c r="C1112" s="2" t="s">
        <v>573</v>
      </c>
      <c r="D1112" s="2" t="str">
        <f t="shared" si="16"/>
        <v>Error?</v>
      </c>
    </row>
    <row r="1113" spans="1:4" x14ac:dyDescent="0.2">
      <c r="A1113" s="5">
        <v>1052</v>
      </c>
      <c r="B1113" s="138">
        <f>'Expenditures 15-22'!K40</f>
        <v>59075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237559</v>
      </c>
      <c r="C1115" s="2" t="s">
        <v>573</v>
      </c>
      <c r="D1115" s="2" t="str">
        <f t="shared" si="16"/>
        <v>Error?</v>
      </c>
    </row>
    <row r="1116" spans="1:4" x14ac:dyDescent="0.2">
      <c r="A1116" s="5">
        <v>1055</v>
      </c>
      <c r="B1116" s="138">
        <f>'Expenditures 15-22'!K44</f>
        <v>4475</v>
      </c>
      <c r="C1116" s="2" t="s">
        <v>573</v>
      </c>
      <c r="D1116" s="2" t="str">
        <f t="shared" si="16"/>
        <v>Error?</v>
      </c>
    </row>
    <row r="1117" spans="1:4" x14ac:dyDescent="0.2">
      <c r="A1117" s="5">
        <v>1056</v>
      </c>
      <c r="B1117" s="138">
        <f>'Expenditures 15-22'!K45</f>
        <v>117818</v>
      </c>
      <c r="C1117" s="2" t="s">
        <v>573</v>
      </c>
      <c r="D1117" s="2" t="str">
        <f t="shared" si="16"/>
        <v>Error?</v>
      </c>
    </row>
    <row r="1118" spans="1:4" x14ac:dyDescent="0.2">
      <c r="A1118" s="5">
        <v>1057</v>
      </c>
      <c r="B1118" s="138">
        <f>'Expenditures 15-22'!K46</f>
        <v>6987</v>
      </c>
      <c r="C1118" s="2" t="s">
        <v>573</v>
      </c>
      <c r="D1118" s="2" t="str">
        <f t="shared" si="16"/>
        <v>Error?</v>
      </c>
    </row>
    <row r="1119" spans="1:4" x14ac:dyDescent="0.2">
      <c r="A1119" s="5">
        <v>1058</v>
      </c>
      <c r="B1119" s="138">
        <f>'Expenditures 15-22'!K47</f>
        <v>129280</v>
      </c>
      <c r="C1119" s="2" t="s">
        <v>573</v>
      </c>
      <c r="D1119" s="2" t="str">
        <f t="shared" si="16"/>
        <v>Error?</v>
      </c>
    </row>
    <row r="1120" spans="1:4" x14ac:dyDescent="0.2">
      <c r="A1120" s="5">
        <v>1059</v>
      </c>
      <c r="B1120" s="138">
        <f>'Expenditures 15-22'!K49</f>
        <v>43364</v>
      </c>
      <c r="C1120" s="2" t="s">
        <v>573</v>
      </c>
      <c r="D1120" s="2" t="str">
        <f t="shared" si="16"/>
        <v>Error?</v>
      </c>
    </row>
    <row r="1121" spans="1:4" x14ac:dyDescent="0.2">
      <c r="A1121" s="5">
        <v>1060</v>
      </c>
      <c r="B1121" s="138">
        <f>'Expenditures 15-22'!K50</f>
        <v>195777</v>
      </c>
      <c r="C1121" s="2" t="s">
        <v>573</v>
      </c>
      <c r="D1121" s="2" t="str">
        <f t="shared" si="16"/>
        <v>Error?</v>
      </c>
    </row>
    <row r="1122" spans="1:4" x14ac:dyDescent="0.2">
      <c r="A1122" s="5">
        <v>1061</v>
      </c>
      <c r="B1122" s="138">
        <f>'Expenditures 15-22'!K53</f>
        <v>239382</v>
      </c>
      <c r="C1122" s="2" t="s">
        <v>573</v>
      </c>
      <c r="D1122" s="2" t="str">
        <f t="shared" si="16"/>
        <v>Error?</v>
      </c>
    </row>
    <row r="1123" spans="1:4" x14ac:dyDescent="0.2">
      <c r="A1123" s="5">
        <v>1062</v>
      </c>
      <c r="B1123" s="138">
        <f>'Expenditures 15-22'!K55</f>
        <v>617867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617867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107827</v>
      </c>
      <c r="C1127" s="2" t="s">
        <v>573</v>
      </c>
      <c r="D1127" s="2" t="str">
        <f t="shared" si="16"/>
        <v>Error?</v>
      </c>
    </row>
    <row r="1128" spans="1:4" x14ac:dyDescent="0.2">
      <c r="A1128" s="5">
        <v>1067</v>
      </c>
      <c r="B1128" s="138">
        <f>'Expenditures 15-22'!K61</f>
        <v>13856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374940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496623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31462</v>
      </c>
      <c r="C1139" s="2" t="s">
        <v>573</v>
      </c>
      <c r="D1139" s="2" t="str">
        <f t="shared" si="16"/>
        <v>Error?</v>
      </c>
    </row>
    <row r="1140" spans="1:4" x14ac:dyDescent="0.2">
      <c r="A1140" s="10">
        <v>1079</v>
      </c>
      <c r="D1140" s="2" t="str">
        <f t="shared" si="16"/>
        <v>OK</v>
      </c>
    </row>
    <row r="1141" spans="1:4" x14ac:dyDescent="0.2">
      <c r="A1141" s="5">
        <v>1080</v>
      </c>
      <c r="B1141" s="138">
        <f>'Expenditures 15-22'!K72</f>
        <v>31462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1752173</v>
      </c>
      <c r="C1143" s="2" t="s">
        <v>573</v>
      </c>
      <c r="D1143" s="2" t="str">
        <f t="shared" si="16"/>
        <v>Error?</v>
      </c>
    </row>
    <row r="1144" spans="1:4" x14ac:dyDescent="0.2">
      <c r="A1144" s="5">
        <v>1083</v>
      </c>
      <c r="B1144" s="138">
        <f>'Expenditures 15-22'!K75</f>
        <v>1761</v>
      </c>
      <c r="C1144" s="2" t="s">
        <v>573</v>
      </c>
      <c r="D1144" s="2" t="str">
        <f t="shared" si="16"/>
        <v>Error?</v>
      </c>
    </row>
    <row r="1145" spans="1:4" x14ac:dyDescent="0.2">
      <c r="A1145" s="5">
        <v>1084</v>
      </c>
      <c r="B1145" s="138">
        <f>'Expenditures 15-22'!K102</f>
        <v>225340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6490650</v>
      </c>
      <c r="C1152" s="2" t="s">
        <v>573</v>
      </c>
      <c r="D1152" s="2" t="str">
        <f t="shared" si="17"/>
        <v>Error?</v>
      </c>
    </row>
    <row r="1153" spans="1:4" x14ac:dyDescent="0.2">
      <c r="A1153" s="5">
        <v>1092</v>
      </c>
      <c r="B1153" s="138">
        <f>'Expenditures 15-22'!K115</f>
        <v>243020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242136</v>
      </c>
      <c r="D1221" s="2" t="str">
        <f t="shared" si="18"/>
        <v>Error?</v>
      </c>
    </row>
    <row r="1222" spans="1:4" x14ac:dyDescent="0.2">
      <c r="A1222" s="10">
        <v>1161</v>
      </c>
      <c r="D1222" s="2" t="str">
        <f t="shared" si="18"/>
        <v>OK</v>
      </c>
    </row>
    <row r="1223" spans="1:4" x14ac:dyDescent="0.2">
      <c r="A1223" s="5">
        <v>1162</v>
      </c>
      <c r="B1223" s="138">
        <f>'Expenditures 15-22'!C127</f>
        <v>242136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242136</v>
      </c>
      <c r="C1225" s="2" t="s">
        <v>573</v>
      </c>
      <c r="D1225" s="2" t="str">
        <f t="shared" si="18"/>
        <v>Error?</v>
      </c>
    </row>
    <row r="1226" spans="1:4" x14ac:dyDescent="0.2">
      <c r="A1226" s="5">
        <v>1165</v>
      </c>
      <c r="B1226" s="138">
        <f>'Expenditures 15-22'!C151</f>
        <v>242136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41141</v>
      </c>
      <c r="D1229" s="2" t="str">
        <f t="shared" si="18"/>
        <v>Error?</v>
      </c>
    </row>
    <row r="1230" spans="1:4" x14ac:dyDescent="0.2">
      <c r="A1230" s="10">
        <v>1169</v>
      </c>
      <c r="D1230" s="2" t="str">
        <f t="shared" si="18"/>
        <v>OK</v>
      </c>
    </row>
    <row r="1231" spans="1:4" x14ac:dyDescent="0.2">
      <c r="A1231" s="5">
        <v>1170</v>
      </c>
      <c r="B1231" s="138">
        <f>'Expenditures 15-22'!D127</f>
        <v>41141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41141</v>
      </c>
      <c r="C1233" s="2" t="s">
        <v>573</v>
      </c>
      <c r="D1233" s="2" t="str">
        <f t="shared" si="18"/>
        <v>Error?</v>
      </c>
    </row>
    <row r="1234" spans="1:4" x14ac:dyDescent="0.2">
      <c r="A1234" s="5">
        <v>1173</v>
      </c>
      <c r="B1234" s="138">
        <f>'Expenditures 15-22'!D151</f>
        <v>41141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124896</v>
      </c>
      <c r="D1237" s="2" t="str">
        <f t="shared" si="18"/>
        <v>Error?</v>
      </c>
    </row>
    <row r="1238" spans="1:4" x14ac:dyDescent="0.2">
      <c r="A1238" s="10">
        <v>1177</v>
      </c>
      <c r="D1238" s="2" t="str">
        <f t="shared" si="18"/>
        <v>OK</v>
      </c>
    </row>
    <row r="1239" spans="1:4" x14ac:dyDescent="0.2">
      <c r="A1239" s="5">
        <v>1178</v>
      </c>
      <c r="B1239" s="138">
        <f>'Expenditures 15-22'!E127</f>
        <v>124896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124896</v>
      </c>
      <c r="C1241" s="2" t="s">
        <v>573</v>
      </c>
      <c r="D1241" s="2" t="str">
        <f t="shared" si="18"/>
        <v>Error?</v>
      </c>
    </row>
    <row r="1242" spans="1:4" x14ac:dyDescent="0.2">
      <c r="A1242" s="5">
        <v>1181</v>
      </c>
      <c r="B1242" s="138">
        <f>'Expenditures 15-22'!E151</f>
        <v>124896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188293</v>
      </c>
      <c r="D1245" s="2" t="str">
        <f t="shared" si="18"/>
        <v>Error?</v>
      </c>
    </row>
    <row r="1246" spans="1:4" x14ac:dyDescent="0.2">
      <c r="A1246" s="10">
        <v>1185</v>
      </c>
      <c r="D1246" s="2" t="str">
        <f t="shared" si="18"/>
        <v>OK</v>
      </c>
    </row>
    <row r="1247" spans="1:4" x14ac:dyDescent="0.2">
      <c r="A1247" s="5">
        <v>1186</v>
      </c>
      <c r="B1247" s="138">
        <f>'Expenditures 15-22'!F127</f>
        <v>188293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188293</v>
      </c>
      <c r="C1249" s="2" t="s">
        <v>573</v>
      </c>
      <c r="D1249" s="2" t="str">
        <f t="shared" si="18"/>
        <v>Error?</v>
      </c>
    </row>
    <row r="1250" spans="1:4" x14ac:dyDescent="0.2">
      <c r="A1250" s="5">
        <v>1189</v>
      </c>
      <c r="B1250" s="138">
        <f>'Expenditures 15-22'!F151</f>
        <v>188293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55789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55789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55789</v>
      </c>
      <c r="C1258" s="2" t="s">
        <v>573</v>
      </c>
      <c r="D1258" s="2" t="str">
        <f t="shared" si="18"/>
        <v>Error?</v>
      </c>
    </row>
    <row r="1259" spans="1:4" x14ac:dyDescent="0.2">
      <c r="A1259" s="5">
        <v>1198</v>
      </c>
      <c r="B1259" s="138">
        <f>'Expenditures 15-22'!G151</f>
        <v>55789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v>
      </c>
      <c r="D1262" s="2" t="str">
        <f t="shared" si="18"/>
        <v>Error?</v>
      </c>
    </row>
    <row r="1263" spans="1:4" x14ac:dyDescent="0.2">
      <c r="A1263" s="10">
        <v>1202</v>
      </c>
      <c r="D1263" s="2" t="str">
        <f t="shared" si="18"/>
        <v>OK</v>
      </c>
    </row>
    <row r="1264" spans="1:4" x14ac:dyDescent="0.2">
      <c r="A1264" s="5">
        <v>1203</v>
      </c>
      <c r="B1264" s="138">
        <f>'Expenditures 15-22'!H127</f>
        <v>10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652265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652265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652265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652265</v>
      </c>
      <c r="C1288" s="2" t="s">
        <v>573</v>
      </c>
      <c r="D1288" s="2" t="str">
        <f t="shared" si="19"/>
        <v>Error?</v>
      </c>
    </row>
    <row r="1289" spans="1:4" x14ac:dyDescent="0.2">
      <c r="A1289" s="5">
        <v>1228</v>
      </c>
      <c r="B1289" s="138">
        <f>'Expenditures 15-22'!K152</f>
        <v>275496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113436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350630</v>
      </c>
      <c r="D1315" s="2" t="str">
        <f t="shared" si="19"/>
        <v>Error?</v>
      </c>
    </row>
    <row r="1316" spans="1:4" x14ac:dyDescent="0.2">
      <c r="A1316" s="5">
        <v>1255</v>
      </c>
      <c r="B1316" s="138">
        <f>'Expenditures 15-22'!H171</f>
        <v>318</v>
      </c>
      <c r="D1316" s="2" t="str">
        <f t="shared" si="19"/>
        <v>Error?</v>
      </c>
    </row>
    <row r="1317" spans="1:4" x14ac:dyDescent="0.2">
      <c r="A1317" s="5">
        <v>1256</v>
      </c>
      <c r="B1317" s="138">
        <f>'Expenditures 15-22'!H172</f>
        <v>464384</v>
      </c>
      <c r="C1317" s="2" t="s">
        <v>573</v>
      </c>
      <c r="D1317" s="2" t="str">
        <f t="shared" si="19"/>
        <v>Error?</v>
      </c>
    </row>
    <row r="1318" spans="1:4" x14ac:dyDescent="0.2">
      <c r="A1318" s="5">
        <v>1257</v>
      </c>
      <c r="B1318" s="138">
        <f>'Expenditures 15-22'!H174</f>
        <v>464384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113436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350630</v>
      </c>
      <c r="C1329" s="2" t="s">
        <v>573</v>
      </c>
      <c r="D1329" s="2" t="str">
        <f t="shared" si="19"/>
        <v>Error?</v>
      </c>
    </row>
    <row r="1330" spans="1:4" x14ac:dyDescent="0.2">
      <c r="A1330" s="5">
        <v>1269</v>
      </c>
      <c r="B1330" s="138">
        <f>'Expenditures 15-22'!K171</f>
        <v>318</v>
      </c>
      <c r="C1330" s="2" t="s">
        <v>573</v>
      </c>
      <c r="D1330" s="2" t="str">
        <f t="shared" si="19"/>
        <v>Error?</v>
      </c>
    </row>
    <row r="1331" spans="1:4" x14ac:dyDescent="0.2">
      <c r="A1331" s="5">
        <v>1270</v>
      </c>
      <c r="B1331" s="138">
        <f>'Expenditures 15-22'!K172</f>
        <v>464384</v>
      </c>
      <c r="C1331" s="2" t="s">
        <v>573</v>
      </c>
      <c r="D1331" s="2" t="str">
        <f t="shared" si="19"/>
        <v>Error?</v>
      </c>
    </row>
    <row r="1332" spans="1:4" x14ac:dyDescent="0.2">
      <c r="A1332" s="5">
        <v>1271</v>
      </c>
      <c r="B1332" s="138">
        <f>'Expenditures 15-22'!K174</f>
        <v>464384</v>
      </c>
      <c r="C1332" s="2" t="s">
        <v>573</v>
      </c>
      <c r="D1332" s="2" t="str">
        <f t="shared" si="19"/>
        <v>Error?</v>
      </c>
    </row>
    <row r="1333" spans="1:4" x14ac:dyDescent="0.2">
      <c r="A1333" s="5">
        <v>1272</v>
      </c>
      <c r="B1333" s="138">
        <f>'Expenditures 15-22'!K175</f>
        <v>9104</v>
      </c>
      <c r="C1333" s="2" t="s">
        <v>573</v>
      </c>
      <c r="D1333" s="2" t="str">
        <f t="shared" si="19"/>
        <v>Error?</v>
      </c>
    </row>
    <row r="1334" spans="1:4" x14ac:dyDescent="0.2">
      <c r="A1334" s="10">
        <v>1273</v>
      </c>
      <c r="D1334" s="2" t="str">
        <f t="shared" si="19"/>
        <v>OK</v>
      </c>
    </row>
    <row r="1335" spans="1:4" x14ac:dyDescent="0.2">
      <c r="A1335" s="5">
        <v>1274</v>
      </c>
      <c r="B1335" s="138">
        <f>'Expenditures 15-22'!C182</f>
        <v>293971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293971</v>
      </c>
      <c r="C1339" s="2" t="s">
        <v>573</v>
      </c>
      <c r="D1339" s="2" t="str">
        <f t="shared" si="19"/>
        <v>Error?</v>
      </c>
    </row>
    <row r="1340" spans="1:4" x14ac:dyDescent="0.2">
      <c r="A1340" s="5">
        <v>1279</v>
      </c>
      <c r="B1340" s="138">
        <f>'Expenditures 15-22'!C210</f>
        <v>293971</v>
      </c>
      <c r="C1340" s="2" t="s">
        <v>573</v>
      </c>
      <c r="D1340" s="2" t="str">
        <f t="shared" si="19"/>
        <v>Error?</v>
      </c>
    </row>
    <row r="1341" spans="1:4" x14ac:dyDescent="0.2">
      <c r="A1341" s="5">
        <v>1280</v>
      </c>
      <c r="B1341" s="138">
        <f>'Expenditures 15-22'!D182</f>
        <v>5261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5261</v>
      </c>
      <c r="C1345" s="2" t="s">
        <v>573</v>
      </c>
      <c r="D1345" s="2" t="str">
        <f t="shared" si="20"/>
        <v>Error?</v>
      </c>
    </row>
    <row r="1346" spans="1:4" x14ac:dyDescent="0.2">
      <c r="A1346" s="5">
        <v>1285</v>
      </c>
      <c r="B1346" s="138">
        <f>'Expenditures 15-22'!D210</f>
        <v>5261</v>
      </c>
      <c r="C1346" s="2" t="s">
        <v>573</v>
      </c>
      <c r="D1346" s="2" t="str">
        <f t="shared" si="20"/>
        <v>Error?</v>
      </c>
    </row>
    <row r="1347" spans="1:4" x14ac:dyDescent="0.2">
      <c r="A1347" s="5">
        <v>1286</v>
      </c>
      <c r="B1347" s="138">
        <f>'Expenditures 15-22'!E182</f>
        <v>272899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272899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272899</v>
      </c>
      <c r="C1353" s="2" t="s">
        <v>573</v>
      </c>
      <c r="D1353" s="2" t="str">
        <f t="shared" si="20"/>
        <v>Error?</v>
      </c>
    </row>
    <row r="1354" spans="1:4" x14ac:dyDescent="0.2">
      <c r="A1354" s="5">
        <v>1293</v>
      </c>
      <c r="B1354" s="138">
        <f>'Expenditures 15-22'!F182</f>
        <v>80268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80268</v>
      </c>
      <c r="C1358" s="2" t="s">
        <v>573</v>
      </c>
      <c r="D1358" s="2" t="str">
        <f t="shared" si="20"/>
        <v>Error?</v>
      </c>
    </row>
    <row r="1359" spans="1:4" x14ac:dyDescent="0.2">
      <c r="A1359" s="5">
        <v>1298</v>
      </c>
      <c r="B1359" s="138">
        <f>'Expenditures 15-22'!F210</f>
        <v>80268</v>
      </c>
      <c r="C1359" s="2" t="s">
        <v>573</v>
      </c>
      <c r="D1359" s="2" t="str">
        <f t="shared" si="20"/>
        <v>Error?</v>
      </c>
    </row>
    <row r="1360" spans="1:4" x14ac:dyDescent="0.2">
      <c r="A1360" s="5">
        <v>1299</v>
      </c>
      <c r="B1360" s="138">
        <f>'Expenditures 15-22'!G182</f>
        <v>26900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26900</v>
      </c>
      <c r="C1364" s="2" t="s">
        <v>573</v>
      </c>
      <c r="D1364" s="2" t="str">
        <f t="shared" si="20"/>
        <v>Error?</v>
      </c>
    </row>
    <row r="1365" spans="1:4" x14ac:dyDescent="0.2">
      <c r="A1365" s="5">
        <v>1304</v>
      </c>
      <c r="B1365" s="138">
        <f>'Expenditures 15-22'!G210</f>
        <v>26900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679299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679299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679299</v>
      </c>
      <c r="C1388" s="2" t="s">
        <v>573</v>
      </c>
      <c r="D1388" s="2" t="str">
        <f t="shared" si="20"/>
        <v>Error?</v>
      </c>
    </row>
    <row r="1389" spans="1:4" x14ac:dyDescent="0.2">
      <c r="A1389" s="5">
        <v>1328</v>
      </c>
      <c r="B1389" s="138">
        <f>'Expenditures 15-22'!K211</f>
        <v>138159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310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11665</v>
      </c>
      <c r="D1407" s="2" t="str">
        <f t="shared" ref="D1407:D1470" si="21">IF(ISBLANK(B1407),"OK",IF(A1407-B1407=0,"OK","Error?"))</f>
        <v>Error?</v>
      </c>
    </row>
    <row r="1408" spans="1:4" x14ac:dyDescent="0.2">
      <c r="A1408" s="5">
        <v>1347</v>
      </c>
      <c r="B1408" s="138">
        <f>'Expenditures 15-22'!D223</f>
        <v>5444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137756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755</v>
      </c>
      <c r="D1412" s="2" t="str">
        <f t="shared" si="21"/>
        <v>Error?</v>
      </c>
    </row>
    <row r="1413" spans="1:4" x14ac:dyDescent="0.2">
      <c r="A1413" s="5">
        <v>1352</v>
      </c>
      <c r="B1413" s="138">
        <f>'Expenditures 15-22'!D234</f>
        <v>4596</v>
      </c>
      <c r="D1413" s="2" t="str">
        <f t="shared" si="21"/>
        <v>Error?</v>
      </c>
    </row>
    <row r="1414" spans="1:4" x14ac:dyDescent="0.2">
      <c r="A1414" s="5">
        <v>1353</v>
      </c>
      <c r="B1414" s="138">
        <f>'Expenditures 15-22'!D235</f>
        <v>1012</v>
      </c>
      <c r="D1414" s="2" t="str">
        <f t="shared" si="21"/>
        <v>Error?</v>
      </c>
    </row>
    <row r="1415" spans="1:4" x14ac:dyDescent="0.2">
      <c r="A1415" s="5">
        <v>1354</v>
      </c>
      <c r="B1415" s="138">
        <f>'Expenditures 15-22'!D236</f>
        <v>729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7092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8248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8248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8313</v>
      </c>
      <c r="D1423" s="2" t="str">
        <f t="shared" si="21"/>
        <v>Error?</v>
      </c>
    </row>
    <row r="1424" spans="1:4" x14ac:dyDescent="0.2">
      <c r="A1424" s="5">
        <v>1363</v>
      </c>
      <c r="B1424" s="138">
        <f>'Expenditures 15-22'!D257</f>
        <v>8313</v>
      </c>
      <c r="C1424" s="2" t="s">
        <v>573</v>
      </c>
      <c r="D1424" s="2" t="str">
        <f t="shared" si="21"/>
        <v>Error?</v>
      </c>
    </row>
    <row r="1425" spans="1:4" x14ac:dyDescent="0.2">
      <c r="A1425" s="5">
        <v>1364</v>
      </c>
      <c r="B1425" s="138">
        <f>'Expenditures 15-22'!D259</f>
        <v>28357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28357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15211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43185</v>
      </c>
      <c r="D1431" s="2" t="str">
        <f t="shared" si="21"/>
        <v>Error?</v>
      </c>
    </row>
    <row r="1432" spans="1:4" x14ac:dyDescent="0.2">
      <c r="A1432" s="5">
        <v>1371</v>
      </c>
      <c r="B1432" s="138">
        <f>'Expenditures 15-22'!D267</f>
        <v>40358</v>
      </c>
      <c r="D1432" s="2" t="str">
        <f t="shared" si="21"/>
        <v>Error?</v>
      </c>
    </row>
    <row r="1433" spans="1:4" x14ac:dyDescent="0.2">
      <c r="A1433" s="5">
        <v>1372</v>
      </c>
      <c r="B1433" s="138">
        <f>'Expenditures 15-22'!D268</f>
        <v>27896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126650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4399</v>
      </c>
      <c r="D1442" s="2" t="str">
        <f t="shared" si="21"/>
        <v>Error?</v>
      </c>
    </row>
    <row r="1443" spans="1:4" x14ac:dyDescent="0.2">
      <c r="A1443" s="10">
        <v>1382</v>
      </c>
      <c r="D1443" s="2" t="str">
        <f t="shared" si="21"/>
        <v>OK</v>
      </c>
    </row>
    <row r="1444" spans="1:4" x14ac:dyDescent="0.2">
      <c r="A1444" s="5">
        <v>1383</v>
      </c>
      <c r="B1444" s="138">
        <f>'Expenditures 15-22'!D277</f>
        <v>4399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183059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320815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310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11665</v>
      </c>
      <c r="C1471" s="2" t="s">
        <v>573</v>
      </c>
      <c r="D1471" s="2" t="str">
        <f t="shared" ref="D1471:D1534" si="22">IF(ISBLANK(B1471),"OK",IF(A1471-B1471=0,"OK","Error?"))</f>
        <v>Error?</v>
      </c>
    </row>
    <row r="1472" spans="1:4" x14ac:dyDescent="0.2">
      <c r="A1472" s="5">
        <v>1411</v>
      </c>
      <c r="B1472" s="138">
        <f>'Expenditures 15-22'!K223</f>
        <v>5444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137756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755</v>
      </c>
      <c r="C1476" s="2" t="s">
        <v>573</v>
      </c>
      <c r="D1476" s="2" t="str">
        <f t="shared" si="22"/>
        <v>Error?</v>
      </c>
    </row>
    <row r="1477" spans="1:4" x14ac:dyDescent="0.2">
      <c r="A1477" s="5">
        <v>1416</v>
      </c>
      <c r="B1477" s="138">
        <f>'Expenditures 15-22'!K234</f>
        <v>4596</v>
      </c>
      <c r="C1477" s="2" t="s">
        <v>573</v>
      </c>
      <c r="D1477" s="2" t="str">
        <f t="shared" si="22"/>
        <v>Error?</v>
      </c>
    </row>
    <row r="1478" spans="1:4" x14ac:dyDescent="0.2">
      <c r="A1478" s="5">
        <v>1417</v>
      </c>
      <c r="B1478" s="138">
        <f>'Expenditures 15-22'!K235</f>
        <v>1012</v>
      </c>
      <c r="C1478" s="2" t="s">
        <v>573</v>
      </c>
      <c r="D1478" s="2" t="str">
        <f t="shared" si="22"/>
        <v>Error?</v>
      </c>
    </row>
    <row r="1479" spans="1:4" x14ac:dyDescent="0.2">
      <c r="A1479" s="5">
        <v>1418</v>
      </c>
      <c r="B1479" s="138">
        <f>'Expenditures 15-22'!K236</f>
        <v>729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7092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8248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8248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8313</v>
      </c>
      <c r="C1487" s="2" t="s">
        <v>573</v>
      </c>
      <c r="D1487" s="2" t="str">
        <f t="shared" si="22"/>
        <v>Error?</v>
      </c>
    </row>
    <row r="1488" spans="1:4" x14ac:dyDescent="0.2">
      <c r="A1488" s="5">
        <v>1427</v>
      </c>
      <c r="B1488" s="138">
        <f>'Expenditures 15-22'!K257</f>
        <v>8313</v>
      </c>
      <c r="C1488" s="2" t="s">
        <v>573</v>
      </c>
      <c r="D1488" s="2" t="str">
        <f t="shared" si="22"/>
        <v>Error?</v>
      </c>
    </row>
    <row r="1489" spans="1:4" x14ac:dyDescent="0.2">
      <c r="A1489" s="5">
        <v>1428</v>
      </c>
      <c r="B1489" s="138">
        <f>'Expenditures 15-22'!K259</f>
        <v>28357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28357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15211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43185</v>
      </c>
      <c r="C1495" s="2" t="s">
        <v>573</v>
      </c>
      <c r="D1495" s="2" t="str">
        <f t="shared" si="22"/>
        <v>Error?</v>
      </c>
    </row>
    <row r="1496" spans="1:4" x14ac:dyDescent="0.2">
      <c r="A1496" s="5">
        <v>1435</v>
      </c>
      <c r="B1496" s="138">
        <f>'Expenditures 15-22'!K267</f>
        <v>40358</v>
      </c>
      <c r="C1496" s="2" t="s">
        <v>573</v>
      </c>
      <c r="D1496" s="2" t="str">
        <f t="shared" si="22"/>
        <v>Error?</v>
      </c>
    </row>
    <row r="1497" spans="1:4" x14ac:dyDescent="0.2">
      <c r="A1497" s="5">
        <v>1436</v>
      </c>
      <c r="B1497" s="138">
        <f>'Expenditures 15-22'!K268</f>
        <v>27896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126650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4399</v>
      </c>
      <c r="C1506" s="2" t="s">
        <v>573</v>
      </c>
      <c r="D1506" s="2" t="str">
        <f t="shared" si="22"/>
        <v>Error?</v>
      </c>
    </row>
    <row r="1507" spans="1:4" x14ac:dyDescent="0.2">
      <c r="A1507" s="10">
        <v>1446</v>
      </c>
      <c r="D1507" s="2" t="str">
        <f t="shared" si="22"/>
        <v>OK</v>
      </c>
    </row>
    <row r="1508" spans="1:4" x14ac:dyDescent="0.2">
      <c r="A1508" s="5">
        <v>1447</v>
      </c>
      <c r="B1508" s="138">
        <f>'Expenditures 15-22'!K277</f>
        <v>4399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183059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320815</v>
      </c>
      <c r="C1517" s="2" t="s">
        <v>573</v>
      </c>
      <c r="D1517" s="2" t="str">
        <f t="shared" si="22"/>
        <v>Error?</v>
      </c>
    </row>
    <row r="1518" spans="1:4" x14ac:dyDescent="0.2">
      <c r="A1518" s="5">
        <v>1457</v>
      </c>
      <c r="B1518" s="138">
        <f>'Expenditures 15-22'!K296</f>
        <v>13017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6631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5216949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5459969</v>
      </c>
      <c r="C1630" s="2" t="s">
        <v>573</v>
      </c>
      <c r="D1630" s="2" t="str">
        <f t="shared" si="24"/>
        <v>Error?</v>
      </c>
    </row>
    <row r="1631" spans="1:4" x14ac:dyDescent="0.2">
      <c r="A1631" s="5">
        <v>1570</v>
      </c>
      <c r="B1631" s="138">
        <f>'Acct Summary 7-8'!D79</f>
        <v>1512012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1817559</v>
      </c>
      <c r="C1644" s="2" t="s">
        <v>573</v>
      </c>
      <c r="D1644" s="2" t="str">
        <f t="shared" si="24"/>
        <v>Error?</v>
      </c>
    </row>
    <row r="1645" spans="1:4" x14ac:dyDescent="0.2">
      <c r="A1645" s="5">
        <v>1584</v>
      </c>
      <c r="B1645" s="138">
        <f>'Acct Summary 7-8'!E79</f>
        <v>249582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258686</v>
      </c>
      <c r="C1658" s="2" t="s">
        <v>573</v>
      </c>
      <c r="D1658" s="2" t="str">
        <f t="shared" si="24"/>
        <v>Error?</v>
      </c>
    </row>
    <row r="1659" spans="1:4" x14ac:dyDescent="0.2">
      <c r="A1659" s="5">
        <v>1598</v>
      </c>
      <c r="B1659" s="138">
        <f>'Acct Summary 7-8'!F79</f>
        <v>695133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845573</v>
      </c>
      <c r="C1672" s="2" t="s">
        <v>573</v>
      </c>
      <c r="D1672" s="2" t="str">
        <f t="shared" si="25"/>
        <v>Error?</v>
      </c>
    </row>
    <row r="1673" spans="1:4" x14ac:dyDescent="0.2">
      <c r="A1673" s="5">
        <v>1612</v>
      </c>
      <c r="B1673" s="138">
        <f>'Acct Summary 7-8'!G79</f>
        <v>440254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453271</v>
      </c>
      <c r="C1686" s="2" t="s">
        <v>573</v>
      </c>
      <c r="D1686" s="2" t="str">
        <f t="shared" si="25"/>
        <v>Error?</v>
      </c>
    </row>
    <row r="1687" spans="1:4" x14ac:dyDescent="0.2">
      <c r="A1687" s="5">
        <v>1626</v>
      </c>
      <c r="B1687" s="138">
        <f>'Acct Summary 7-8'!H79</f>
        <v>20964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7595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3591690</v>
      </c>
      <c r="C1744" s="2" t="s">
        <v>573</v>
      </c>
      <c r="D1744" s="2" t="str">
        <f t="shared" si="26"/>
        <v>Error?</v>
      </c>
    </row>
    <row r="1745" spans="1:5" x14ac:dyDescent="0.2">
      <c r="A1745" s="5">
        <v>1684</v>
      </c>
      <c r="B1745" s="138">
        <f>'Tax Sched 23'!B5</f>
        <v>874849</v>
      </c>
      <c r="C1745" s="2" t="s">
        <v>573</v>
      </c>
      <c r="D1745" s="2" t="str">
        <f t="shared" si="26"/>
        <v>Error?</v>
      </c>
    </row>
    <row r="1746" spans="1:5" x14ac:dyDescent="0.2">
      <c r="A1746" s="5">
        <v>1685</v>
      </c>
      <c r="B1746" s="138">
        <f>'Tax Sched 23'!B6</f>
        <v>469207</v>
      </c>
      <c r="C1746" s="2" t="s">
        <v>573</v>
      </c>
      <c r="D1746" s="2" t="str">
        <f t="shared" si="26"/>
        <v>Error?</v>
      </c>
    </row>
    <row r="1747" spans="1:5" x14ac:dyDescent="0.2">
      <c r="A1747" s="5">
        <v>1686</v>
      </c>
      <c r="B1747" s="138">
        <f>'Tax Sched 23'!B7</f>
        <v>269187</v>
      </c>
      <c r="C1747" s="2" t="s">
        <v>573</v>
      </c>
      <c r="D1747" s="2" t="str">
        <f t="shared" si="26"/>
        <v>Error?</v>
      </c>
    </row>
    <row r="1748" spans="1:5" x14ac:dyDescent="0.2">
      <c r="A1748" s="5">
        <v>1687</v>
      </c>
      <c r="B1748" s="138">
        <f>'Tax Sched 23'!B8</f>
        <v>111990</v>
      </c>
      <c r="C1748" s="2" t="s">
        <v>573</v>
      </c>
      <c r="D1748" s="2" t="str">
        <f t="shared" si="26"/>
        <v>Error?</v>
      </c>
    </row>
    <row r="1749" spans="1:5" x14ac:dyDescent="0.2">
      <c r="A1749" s="5">
        <v>1688</v>
      </c>
      <c r="B1749" s="138">
        <f>'Tax Sched 23'!B10</f>
        <v>20003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218394</v>
      </c>
      <c r="C1752" s="2" t="s">
        <v>573</v>
      </c>
      <c r="D1752" s="2" t="str">
        <f t="shared" si="26"/>
        <v>Error?</v>
      </c>
    </row>
    <row r="1753" spans="1:5" x14ac:dyDescent="0.2">
      <c r="A1753" s="5">
        <v>1692</v>
      </c>
      <c r="B1753" s="138">
        <f>'Tax Sched 23'!B12</f>
        <v>67204</v>
      </c>
      <c r="C1753" s="2" t="s">
        <v>573</v>
      </c>
      <c r="D1753" s="2" t="str">
        <f t="shared" si="26"/>
        <v>Error?</v>
      </c>
    </row>
    <row r="1754" spans="1:5" x14ac:dyDescent="0.2">
      <c r="A1754" s="5">
        <v>1693</v>
      </c>
      <c r="B1754" s="138">
        <f>'Tax Sched 23'!B14</f>
        <v>53436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5864949</v>
      </c>
      <c r="C1759" s="2" t="s">
        <v>573</v>
      </c>
      <c r="D1759" s="2" t="str">
        <f t="shared" si="26"/>
        <v>Error?</v>
      </c>
    </row>
    <row r="1760" spans="1:5" x14ac:dyDescent="0.2">
      <c r="A1760" s="5">
        <v>1699</v>
      </c>
      <c r="B1760" s="138">
        <f>'Tax Sched 23'!D4</f>
        <v>3591690</v>
      </c>
      <c r="C1760" s="2" t="s">
        <v>573</v>
      </c>
      <c r="D1760" s="2" t="str">
        <f t="shared" si="26"/>
        <v>Error?</v>
      </c>
    </row>
    <row r="1761" spans="1:5" x14ac:dyDescent="0.2">
      <c r="A1761" s="5">
        <v>1700</v>
      </c>
      <c r="B1761" s="138">
        <f>'Tax Sched 23'!D5</f>
        <v>874849</v>
      </c>
      <c r="C1761" s="2" t="s">
        <v>573</v>
      </c>
      <c r="D1761" s="2" t="str">
        <f t="shared" si="26"/>
        <v>Error?</v>
      </c>
    </row>
    <row r="1762" spans="1:5" s="8" customFormat="1" x14ac:dyDescent="0.2">
      <c r="A1762" s="5">
        <v>1701</v>
      </c>
      <c r="B1762" s="138">
        <f>'Tax Sched 23'!D6</f>
        <v>469207</v>
      </c>
      <c r="C1762" s="2" t="s">
        <v>573</v>
      </c>
      <c r="D1762" s="2" t="str">
        <f t="shared" si="26"/>
        <v>Error?</v>
      </c>
      <c r="E1762" s="9"/>
    </row>
    <row r="1763" spans="1:5" x14ac:dyDescent="0.2">
      <c r="A1763" s="5">
        <v>1702</v>
      </c>
      <c r="B1763" s="138">
        <f>'Tax Sched 23'!D7</f>
        <v>269187</v>
      </c>
      <c r="C1763" s="2" t="s">
        <v>573</v>
      </c>
      <c r="D1763" s="2" t="str">
        <f t="shared" si="26"/>
        <v>Error?</v>
      </c>
    </row>
    <row r="1764" spans="1:5" x14ac:dyDescent="0.2">
      <c r="A1764" s="5">
        <v>1703</v>
      </c>
      <c r="B1764" s="138">
        <f>'Tax Sched 23'!D8</f>
        <v>111990</v>
      </c>
      <c r="C1764" s="2" t="s">
        <v>573</v>
      </c>
      <c r="D1764" s="2" t="str">
        <f t="shared" si="26"/>
        <v>Error?</v>
      </c>
    </row>
    <row r="1765" spans="1:5" x14ac:dyDescent="0.2">
      <c r="A1765" s="5">
        <v>1704</v>
      </c>
      <c r="B1765" s="138">
        <f>'Tax Sched 23'!D10</f>
        <v>20003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218394</v>
      </c>
      <c r="C1768" s="2" t="s">
        <v>573</v>
      </c>
      <c r="D1768" s="2" t="str">
        <f t="shared" si="26"/>
        <v>Error?</v>
      </c>
    </row>
    <row r="1769" spans="1:5" x14ac:dyDescent="0.2">
      <c r="A1769" s="5">
        <v>1708</v>
      </c>
      <c r="B1769" s="138">
        <f>'Tax Sched 23'!D12</f>
        <v>67204</v>
      </c>
      <c r="C1769" s="2" t="s">
        <v>573</v>
      </c>
      <c r="D1769" s="2" t="str">
        <f t="shared" si="26"/>
        <v>Error?</v>
      </c>
    </row>
    <row r="1770" spans="1:5" x14ac:dyDescent="0.2">
      <c r="A1770" s="5">
        <v>1709</v>
      </c>
      <c r="B1770" s="138">
        <f>'Tax Sched 23'!D14</f>
        <v>53436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5864949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3756002</v>
      </c>
      <c r="C1792" s="2" t="s">
        <v>573</v>
      </c>
      <c r="D1792" s="2" t="str">
        <f t="shared" si="27"/>
        <v>Error?</v>
      </c>
    </row>
    <row r="1793" spans="1:4" x14ac:dyDescent="0.2">
      <c r="A1793" s="5">
        <v>1732</v>
      </c>
      <c r="B1793" s="138">
        <f>'Tax Sched 23'!F5</f>
        <v>939987</v>
      </c>
      <c r="C1793" s="2" t="s">
        <v>573</v>
      </c>
      <c r="D1793" s="2" t="str">
        <f t="shared" si="27"/>
        <v>Error?</v>
      </c>
    </row>
    <row r="1794" spans="1:4" x14ac:dyDescent="0.2">
      <c r="A1794" s="5">
        <v>1733</v>
      </c>
      <c r="B1794" s="138">
        <f>'Tax Sched 23'!F6</f>
        <v>463613</v>
      </c>
      <c r="C1794" s="2" t="s">
        <v>573</v>
      </c>
      <c r="D1794" s="2" t="str">
        <f t="shared" si="27"/>
        <v>Error?</v>
      </c>
    </row>
    <row r="1795" spans="1:4" x14ac:dyDescent="0.2">
      <c r="A1795" s="5">
        <v>1734</v>
      </c>
      <c r="B1795" s="138">
        <f>'Tax Sched 23'!F7</f>
        <v>289227</v>
      </c>
      <c r="C1795" s="2" t="s">
        <v>573</v>
      </c>
      <c r="D1795" s="2" t="str">
        <f t="shared" si="27"/>
        <v>Error?</v>
      </c>
    </row>
    <row r="1796" spans="1:4" x14ac:dyDescent="0.2">
      <c r="A1796" s="5">
        <v>1735</v>
      </c>
      <c r="B1796" s="138">
        <f>'Tax Sched 23'!F8</f>
        <v>112307</v>
      </c>
      <c r="C1796" s="2" t="s">
        <v>573</v>
      </c>
      <c r="D1796" s="2" t="str">
        <f t="shared" si="27"/>
        <v>Error?</v>
      </c>
    </row>
    <row r="1797" spans="1:4" x14ac:dyDescent="0.2">
      <c r="A1797" s="5">
        <v>1736</v>
      </c>
      <c r="B1797" s="138">
        <f>'Tax Sched 23'!F10</f>
        <v>20000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218916</v>
      </c>
      <c r="C1800" s="2" t="s">
        <v>573</v>
      </c>
      <c r="D1800" s="2" t="str">
        <f t="shared" si="27"/>
        <v>Error?</v>
      </c>
    </row>
    <row r="1801" spans="1:4" x14ac:dyDescent="0.2">
      <c r="A1801" s="5">
        <v>1740</v>
      </c>
      <c r="B1801" s="138">
        <f>'Tax Sched 23'!F12</f>
        <v>72307</v>
      </c>
      <c r="C1801" s="2" t="s">
        <v>573</v>
      </c>
      <c r="D1801" s="2" t="str">
        <f t="shared" si="27"/>
        <v>Error?</v>
      </c>
    </row>
    <row r="1802" spans="1:4" x14ac:dyDescent="0.2">
      <c r="A1802" s="5">
        <v>1741</v>
      </c>
      <c r="B1802" s="138">
        <f>'Tax Sched 23'!F14</f>
        <v>57845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6120197</v>
      </c>
      <c r="C1807" s="2" t="s">
        <v>573</v>
      </c>
      <c r="D1807" s="2" t="str">
        <f t="shared" si="27"/>
        <v>Error?</v>
      </c>
    </row>
    <row r="1808" spans="1:4" x14ac:dyDescent="0.2">
      <c r="A1808" s="5">
        <v>1747</v>
      </c>
      <c r="B1808" s="138">
        <f>'Tax Sched 23'!E4</f>
        <v>3756002</v>
      </c>
      <c r="D1808" s="2" t="str">
        <f t="shared" si="27"/>
        <v>Error?</v>
      </c>
    </row>
    <row r="1809" spans="1:4" x14ac:dyDescent="0.2">
      <c r="A1809" s="5">
        <v>1748</v>
      </c>
      <c r="B1809" s="138">
        <f>'Tax Sched 23'!E5</f>
        <v>939987</v>
      </c>
      <c r="D1809" s="2" t="str">
        <f t="shared" si="27"/>
        <v>Error?</v>
      </c>
    </row>
    <row r="1810" spans="1:4" x14ac:dyDescent="0.2">
      <c r="A1810" s="5">
        <v>1749</v>
      </c>
      <c r="B1810" s="138">
        <f>'Tax Sched 23'!E6</f>
        <v>463613</v>
      </c>
      <c r="D1810" s="2" t="str">
        <f t="shared" si="27"/>
        <v>Error?</v>
      </c>
    </row>
    <row r="1811" spans="1:4" x14ac:dyDescent="0.2">
      <c r="A1811" s="5">
        <v>1750</v>
      </c>
      <c r="B1811" s="138">
        <f>'Tax Sched 23'!E7</f>
        <v>289227</v>
      </c>
      <c r="D1811" s="2" t="str">
        <f t="shared" si="27"/>
        <v>Error?</v>
      </c>
    </row>
    <row r="1812" spans="1:4" x14ac:dyDescent="0.2">
      <c r="A1812" s="5">
        <v>1751</v>
      </c>
      <c r="B1812" s="138">
        <f>'Tax Sched 23'!E8</f>
        <v>112307</v>
      </c>
      <c r="D1812" s="2" t="str">
        <f t="shared" si="27"/>
        <v>Error?</v>
      </c>
    </row>
    <row r="1813" spans="1:4" x14ac:dyDescent="0.2">
      <c r="A1813" s="5">
        <v>1752</v>
      </c>
      <c r="B1813" s="138">
        <f>'Tax Sched 23'!E10</f>
        <v>20000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218916</v>
      </c>
      <c r="D1816" s="2" t="str">
        <f t="shared" si="27"/>
        <v>Error?</v>
      </c>
    </row>
    <row r="1817" spans="1:4" x14ac:dyDescent="0.2">
      <c r="A1817" s="5">
        <v>1756</v>
      </c>
      <c r="B1817" s="138">
        <f>'Tax Sched 23'!E12</f>
        <v>72307</v>
      </c>
      <c r="D1817" s="2" t="str">
        <f t="shared" si="27"/>
        <v>Error?</v>
      </c>
    </row>
    <row r="1818" spans="1:4" x14ac:dyDescent="0.2">
      <c r="A1818" s="5">
        <v>1757</v>
      </c>
      <c r="B1818" s="138">
        <f>'Tax Sched 23'!E14</f>
        <v>57845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6120197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3225780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53502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53502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53502</v>
      </c>
      <c r="D1980" s="2" t="str">
        <f t="shared" si="29"/>
        <v>Error?</v>
      </c>
    </row>
    <row r="1981" spans="1:5" x14ac:dyDescent="0.2">
      <c r="A1981" s="10">
        <v>1920</v>
      </c>
      <c r="D1981" s="2" t="str">
        <f t="shared" si="29"/>
        <v>OK</v>
      </c>
      <c r="E1981" s="2" t="s">
        <v>135</v>
      </c>
    </row>
    <row r="1982" spans="1:5" x14ac:dyDescent="0.2">
      <c r="A1982" s="5">
        <v>1921</v>
      </c>
      <c r="B1982" s="138">
        <f>'Rest Tax Levies-Tort Im 25'!H23</f>
        <v>53502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42500</v>
      </c>
      <c r="D2008" s="2" t="str">
        <f t="shared" si="30"/>
        <v>Error?</v>
      </c>
    </row>
    <row r="2009" spans="1:4" x14ac:dyDescent="0.2">
      <c r="A2009" s="5">
        <v>1948</v>
      </c>
      <c r="B2009" s="138">
        <f>'Cap Outlay Deprec 26'!C8</f>
        <v>7709371</v>
      </c>
      <c r="D2009" s="2" t="str">
        <f t="shared" si="30"/>
        <v>Error?</v>
      </c>
    </row>
    <row r="2010" spans="1:4" x14ac:dyDescent="0.2">
      <c r="A2010" s="5">
        <v>1949</v>
      </c>
      <c r="B2010" s="138">
        <f>'Cap Outlay Deprec 26'!C10</f>
        <v>6682968</v>
      </c>
      <c r="D2010" s="2" t="str">
        <f t="shared" si="30"/>
        <v>Error?</v>
      </c>
    </row>
    <row r="2011" spans="1:4" x14ac:dyDescent="0.2">
      <c r="A2011" s="5">
        <v>1950</v>
      </c>
      <c r="B2011" s="138">
        <f>'Cap Outlay Deprec 26'!C12</f>
        <v>950392</v>
      </c>
      <c r="D2011" s="2" t="str">
        <f t="shared" si="30"/>
        <v>Error?</v>
      </c>
    </row>
    <row r="2012" spans="1:4" x14ac:dyDescent="0.2">
      <c r="A2012" s="5">
        <v>1951</v>
      </c>
      <c r="B2012" s="138">
        <f>'Cap Outlay Deprec 26'!C13</f>
        <v>100673</v>
      </c>
      <c r="D2012" s="2" t="str">
        <f t="shared" si="30"/>
        <v>Error?</v>
      </c>
    </row>
    <row r="2013" spans="1:4" x14ac:dyDescent="0.2">
      <c r="A2013" s="5">
        <v>1952</v>
      </c>
      <c r="B2013" s="138">
        <f>'Cap Outlay Deprec 26'!C16</f>
        <v>15485904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300808</v>
      </c>
      <c r="D2016" s="2" t="str">
        <f t="shared" si="30"/>
        <v>Error?</v>
      </c>
    </row>
    <row r="2017" spans="1:4" x14ac:dyDescent="0.2">
      <c r="A2017" s="5">
        <v>1956</v>
      </c>
      <c r="B2017" s="138">
        <f>'Cap Outlay Deprec 26'!D12</f>
        <v>232437</v>
      </c>
      <c r="D2017" s="2" t="str">
        <f t="shared" si="30"/>
        <v>Error?</v>
      </c>
    </row>
    <row r="2018" spans="1:4" x14ac:dyDescent="0.2">
      <c r="A2018" s="5">
        <v>1957</v>
      </c>
      <c r="B2018" s="138">
        <f>'Cap Outlay Deprec 26'!D13</f>
        <v>26900</v>
      </c>
      <c r="D2018" s="2" t="str">
        <f t="shared" si="30"/>
        <v>Error?</v>
      </c>
    </row>
    <row r="2019" spans="1:4" x14ac:dyDescent="0.2">
      <c r="A2019" s="5">
        <v>1958</v>
      </c>
      <c r="B2019" s="138">
        <f>'Cap Outlay Deprec 26'!D16</f>
        <v>560145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95542</v>
      </c>
      <c r="D2023" s="2" t="str">
        <f t="shared" si="30"/>
        <v>Error?</v>
      </c>
    </row>
    <row r="2024" spans="1:4" x14ac:dyDescent="0.2">
      <c r="A2024" s="5">
        <v>1963</v>
      </c>
      <c r="B2024" s="138">
        <f>'Cap Outlay Deprec 26'!E13</f>
        <v>8640</v>
      </c>
      <c r="D2024" s="2" t="str">
        <f t="shared" si="30"/>
        <v>Error?</v>
      </c>
    </row>
    <row r="2025" spans="1:4" x14ac:dyDescent="0.2">
      <c r="A2025" s="5">
        <v>1964</v>
      </c>
      <c r="B2025" s="138">
        <f>'Cap Outlay Deprec 26'!E16</f>
        <v>104182</v>
      </c>
      <c r="C2025" s="2" t="s">
        <v>573</v>
      </c>
      <c r="D2025" s="2" t="str">
        <f t="shared" si="30"/>
        <v>Error?</v>
      </c>
    </row>
    <row r="2026" spans="1:4" x14ac:dyDescent="0.2">
      <c r="A2026" s="5">
        <v>1965</v>
      </c>
      <c r="B2026" s="138">
        <f>'Cap Outlay Deprec 26'!F5</f>
        <v>42500</v>
      </c>
      <c r="C2026" s="2" t="s">
        <v>573</v>
      </c>
      <c r="D2026" s="2" t="str">
        <f t="shared" si="30"/>
        <v>Error?</v>
      </c>
    </row>
    <row r="2027" spans="1:4" x14ac:dyDescent="0.2">
      <c r="A2027" s="5">
        <v>1966</v>
      </c>
      <c r="B2027" s="138">
        <f>'Cap Outlay Deprec 26'!F8</f>
        <v>7709371</v>
      </c>
      <c r="C2027" s="2" t="s">
        <v>573</v>
      </c>
      <c r="D2027" s="2" t="str">
        <f t="shared" si="30"/>
        <v>Error?</v>
      </c>
    </row>
    <row r="2028" spans="1:4" x14ac:dyDescent="0.2">
      <c r="A2028" s="5">
        <v>1967</v>
      </c>
      <c r="B2028" s="138">
        <f>'Cap Outlay Deprec 26'!F10</f>
        <v>6983776</v>
      </c>
      <c r="C2028" s="2" t="s">
        <v>573</v>
      </c>
      <c r="D2028" s="2" t="str">
        <f t="shared" si="30"/>
        <v>Error?</v>
      </c>
    </row>
    <row r="2029" spans="1:4" x14ac:dyDescent="0.2">
      <c r="A2029" s="5">
        <v>1968</v>
      </c>
      <c r="B2029" s="138">
        <f>'Cap Outlay Deprec 26'!F12</f>
        <v>1087287</v>
      </c>
      <c r="C2029" s="2" t="s">
        <v>573</v>
      </c>
      <c r="D2029" s="2" t="str">
        <f t="shared" si="30"/>
        <v>Error?</v>
      </c>
    </row>
    <row r="2030" spans="1:4" x14ac:dyDescent="0.2">
      <c r="A2030" s="5">
        <v>1969</v>
      </c>
      <c r="B2030" s="138">
        <f>'Cap Outlay Deprec 26'!F13</f>
        <v>118933</v>
      </c>
      <c r="C2030" s="2" t="s">
        <v>573</v>
      </c>
      <c r="D2030" s="2" t="str">
        <f t="shared" si="30"/>
        <v>Error?</v>
      </c>
    </row>
    <row r="2031" spans="1:4" x14ac:dyDescent="0.2">
      <c r="A2031" s="5">
        <v>1970</v>
      </c>
      <c r="B2031" s="138">
        <f>'Cap Outlay Deprec 26'!F16</f>
        <v>15941867</v>
      </c>
      <c r="C2031" s="2" t="s">
        <v>573</v>
      </c>
      <c r="D2031" s="2" t="str">
        <f t="shared" si="30"/>
        <v>Error?</v>
      </c>
    </row>
    <row r="2032" spans="1:4" x14ac:dyDescent="0.2">
      <c r="A2032" s="10">
        <v>1971</v>
      </c>
      <c r="D2032" s="2" t="str">
        <f t="shared" si="30"/>
        <v>OK</v>
      </c>
    </row>
    <row r="2033" spans="1:4" x14ac:dyDescent="0.2">
      <c r="A2033" s="5">
        <v>1972</v>
      </c>
      <c r="B2033" s="138">
        <f>'Cap Outlay Deprec 26'!H8</f>
        <v>3903322</v>
      </c>
      <c r="D2033" s="2" t="str">
        <f t="shared" si="30"/>
        <v>Error?</v>
      </c>
    </row>
    <row r="2034" spans="1:4" x14ac:dyDescent="0.2">
      <c r="A2034" s="5">
        <v>1973</v>
      </c>
      <c r="B2034" s="138">
        <f>'Cap Outlay Deprec 26'!H10</f>
        <v>3047569</v>
      </c>
      <c r="D2034" s="2" t="str">
        <f t="shared" si="30"/>
        <v>Error?</v>
      </c>
    </row>
    <row r="2035" spans="1:4" x14ac:dyDescent="0.2">
      <c r="A2035" s="5">
        <v>1974</v>
      </c>
      <c r="B2035" s="138">
        <f>'Cap Outlay Deprec 26'!H12</f>
        <v>579135</v>
      </c>
      <c r="D2035" s="2" t="str">
        <f t="shared" si="30"/>
        <v>Error?</v>
      </c>
    </row>
    <row r="2036" spans="1:4" x14ac:dyDescent="0.2">
      <c r="A2036" s="5">
        <v>1975</v>
      </c>
      <c r="B2036" s="138">
        <f>'Cap Outlay Deprec 26'!H13</f>
        <v>49277</v>
      </c>
      <c r="D2036" s="2" t="str">
        <f t="shared" si="30"/>
        <v>Error?</v>
      </c>
    </row>
    <row r="2037" spans="1:4" x14ac:dyDescent="0.2">
      <c r="A2037" s="5">
        <v>1976</v>
      </c>
      <c r="B2037" s="138">
        <f>'Cap Outlay Deprec 26'!H16</f>
        <v>7579303</v>
      </c>
      <c r="C2037" s="2" t="s">
        <v>573</v>
      </c>
      <c r="D2037" s="2" t="str">
        <f t="shared" si="30"/>
        <v>Error?</v>
      </c>
    </row>
    <row r="2038" spans="1:4" x14ac:dyDescent="0.2">
      <c r="A2038" s="10">
        <v>1977</v>
      </c>
      <c r="D2038" s="2" t="str">
        <f t="shared" si="30"/>
        <v>OK</v>
      </c>
    </row>
    <row r="2039" spans="1:4" x14ac:dyDescent="0.2">
      <c r="A2039" s="5">
        <v>1978</v>
      </c>
      <c r="B2039" s="138">
        <f>'Cap Outlay Deprec 26'!I8</f>
        <v>154189</v>
      </c>
      <c r="D2039" s="2" t="str">
        <f t="shared" si="30"/>
        <v>Error?</v>
      </c>
    </row>
    <row r="2040" spans="1:4" x14ac:dyDescent="0.2">
      <c r="A2040" s="5">
        <v>1979</v>
      </c>
      <c r="B2040" s="138">
        <f>'Cap Outlay Deprec 26'!I10</f>
        <v>337679</v>
      </c>
      <c r="D2040" s="2" t="str">
        <f t="shared" si="30"/>
        <v>Error?</v>
      </c>
    </row>
    <row r="2041" spans="1:4" x14ac:dyDescent="0.2">
      <c r="A2041" s="5">
        <v>1980</v>
      </c>
      <c r="B2041" s="138">
        <f>'Cap Outlay Deprec 26'!I12</f>
        <v>108727</v>
      </c>
      <c r="D2041" s="2" t="str">
        <f t="shared" si="30"/>
        <v>Error?</v>
      </c>
    </row>
    <row r="2042" spans="1:4" x14ac:dyDescent="0.2">
      <c r="A2042" s="5">
        <v>1981</v>
      </c>
      <c r="B2042" s="138">
        <f>'Cap Outlay Deprec 26'!I13</f>
        <v>14472</v>
      </c>
      <c r="D2042" s="2" t="str">
        <f t="shared" si="30"/>
        <v>Error?</v>
      </c>
    </row>
    <row r="2043" spans="1:4" x14ac:dyDescent="0.2">
      <c r="A2043" s="5">
        <v>1982</v>
      </c>
      <c r="B2043" s="138">
        <f>'Cap Outlay Deprec 26'!I16</f>
        <v>615067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95542</v>
      </c>
      <c r="D2047" s="2" t="str">
        <f t="shared" ref="D2047:D2110" si="31">IF(ISBLANK(B2047),"OK",IF(A2047-B2047=0,"OK","Error?"))</f>
        <v>Error?</v>
      </c>
    </row>
    <row r="2048" spans="1:4" x14ac:dyDescent="0.2">
      <c r="A2048" s="5">
        <v>1987</v>
      </c>
      <c r="B2048" s="138">
        <f>'Cap Outlay Deprec 26'!J13</f>
        <v>8640</v>
      </c>
      <c r="D2048" s="2" t="str">
        <f t="shared" si="31"/>
        <v>Error?</v>
      </c>
    </row>
    <row r="2049" spans="1:4" x14ac:dyDescent="0.2">
      <c r="A2049" s="5">
        <v>1988</v>
      </c>
      <c r="B2049" s="138">
        <f>'Cap Outlay Deprec 26'!J16</f>
        <v>104182</v>
      </c>
      <c r="C2049" s="2" t="s">
        <v>573</v>
      </c>
      <c r="D2049" s="2" t="str">
        <f t="shared" si="31"/>
        <v>Error?</v>
      </c>
    </row>
    <row r="2050" spans="1:4" x14ac:dyDescent="0.2">
      <c r="A2050" s="10">
        <v>1989</v>
      </c>
      <c r="D2050" s="2" t="str">
        <f t="shared" si="31"/>
        <v>OK</v>
      </c>
    </row>
    <row r="2051" spans="1:4" x14ac:dyDescent="0.2">
      <c r="A2051" s="5">
        <v>1990</v>
      </c>
      <c r="B2051" s="138">
        <f>'Cap Outlay Deprec 26'!K8</f>
        <v>4057511</v>
      </c>
      <c r="C2051" s="2" t="s">
        <v>573</v>
      </c>
      <c r="D2051" s="2" t="str">
        <f t="shared" si="31"/>
        <v>Error?</v>
      </c>
    </row>
    <row r="2052" spans="1:4" x14ac:dyDescent="0.2">
      <c r="A2052" s="5">
        <v>1991</v>
      </c>
      <c r="B2052" s="138">
        <f>'Cap Outlay Deprec 26'!K10</f>
        <v>3385248</v>
      </c>
      <c r="C2052" s="2" t="s">
        <v>573</v>
      </c>
      <c r="D2052" s="2" t="str">
        <f t="shared" si="31"/>
        <v>Error?</v>
      </c>
    </row>
    <row r="2053" spans="1:4" x14ac:dyDescent="0.2">
      <c r="A2053" s="5">
        <v>1992</v>
      </c>
      <c r="B2053" s="138">
        <f>'Cap Outlay Deprec 26'!K12</f>
        <v>592320</v>
      </c>
      <c r="C2053" s="2" t="s">
        <v>573</v>
      </c>
      <c r="D2053" s="2" t="str">
        <f t="shared" si="31"/>
        <v>Error?</v>
      </c>
    </row>
    <row r="2054" spans="1:4" x14ac:dyDescent="0.2">
      <c r="A2054" s="5">
        <v>1993</v>
      </c>
      <c r="B2054" s="138">
        <f>'Cap Outlay Deprec 26'!K13</f>
        <v>55109</v>
      </c>
      <c r="C2054" s="2" t="s">
        <v>573</v>
      </c>
      <c r="D2054" s="2" t="str">
        <f t="shared" si="31"/>
        <v>Error?</v>
      </c>
    </row>
    <row r="2055" spans="1:4" x14ac:dyDescent="0.2">
      <c r="A2055" s="5">
        <v>1994</v>
      </c>
      <c r="B2055" s="138">
        <f>'Cap Outlay Deprec 26'!K16</f>
        <v>8090188</v>
      </c>
      <c r="C2055" s="2" t="s">
        <v>573</v>
      </c>
      <c r="D2055" s="2" t="str">
        <f t="shared" si="31"/>
        <v>Error?</v>
      </c>
    </row>
    <row r="2056" spans="1:4" x14ac:dyDescent="0.2">
      <c r="A2056" s="5">
        <v>1995</v>
      </c>
      <c r="B2056" s="138">
        <f>'Cap Outlay Deprec 26'!L5</f>
        <v>42500</v>
      </c>
      <c r="C2056" s="2" t="s">
        <v>573</v>
      </c>
      <c r="D2056" s="2" t="str">
        <f t="shared" si="31"/>
        <v>Error?</v>
      </c>
    </row>
    <row r="2057" spans="1:4" x14ac:dyDescent="0.2">
      <c r="A2057" s="5">
        <v>1996</v>
      </c>
      <c r="B2057" s="138">
        <f>'Cap Outlay Deprec 26'!L8</f>
        <v>3651860</v>
      </c>
      <c r="C2057" s="2" t="s">
        <v>573</v>
      </c>
      <c r="D2057" s="2" t="str">
        <f t="shared" si="31"/>
        <v>Error?</v>
      </c>
    </row>
    <row r="2058" spans="1:4" x14ac:dyDescent="0.2">
      <c r="A2058" s="5">
        <v>1997</v>
      </c>
      <c r="B2058" s="138">
        <f>'Cap Outlay Deprec 26'!L10</f>
        <v>3598528</v>
      </c>
      <c r="C2058" s="2" t="s">
        <v>573</v>
      </c>
      <c r="D2058" s="2" t="str">
        <f t="shared" si="31"/>
        <v>Error?</v>
      </c>
    </row>
    <row r="2059" spans="1:4" x14ac:dyDescent="0.2">
      <c r="A2059" s="5">
        <v>1998</v>
      </c>
      <c r="B2059" s="138">
        <f>'Cap Outlay Deprec 26'!L12</f>
        <v>494967</v>
      </c>
      <c r="C2059" s="2" t="s">
        <v>573</v>
      </c>
      <c r="D2059" s="2" t="str">
        <f t="shared" si="31"/>
        <v>Error?</v>
      </c>
    </row>
    <row r="2060" spans="1:4" x14ac:dyDescent="0.2">
      <c r="A2060" s="5">
        <v>1999</v>
      </c>
      <c r="B2060" s="138">
        <f>'Cap Outlay Deprec 26'!L13</f>
        <v>63824</v>
      </c>
      <c r="C2060" s="2" t="s">
        <v>573</v>
      </c>
      <c r="D2060" s="2" t="str">
        <f t="shared" si="31"/>
        <v>Error?</v>
      </c>
    </row>
    <row r="2061" spans="1:4" x14ac:dyDescent="0.2">
      <c r="A2061" s="5">
        <v>2000</v>
      </c>
      <c r="B2061" s="138">
        <f>'Cap Outlay Deprec 26'!L16</f>
        <v>7851679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2144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44498</v>
      </c>
      <c r="C2088" s="2" t="s">
        <v>573</v>
      </c>
      <c r="D2088" s="2" t="str">
        <f t="shared" si="31"/>
        <v>Error?</v>
      </c>
    </row>
    <row r="2089" spans="1:4" x14ac:dyDescent="0.2">
      <c r="A2089" s="5">
        <v>2028</v>
      </c>
      <c r="B2089" s="138">
        <f>'Expenditures 15-22'!K92</f>
        <v>180842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53340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79928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4128665</v>
      </c>
      <c r="C2551" s="2" t="s">
        <v>573</v>
      </c>
      <c r="D2551" s="2" t="str">
        <f t="shared" si="38"/>
        <v>Error?</v>
      </c>
    </row>
    <row r="2552" spans="1:4" x14ac:dyDescent="0.2">
      <c r="A2552" s="10">
        <v>2491</v>
      </c>
      <c r="D2552" s="2" t="str">
        <f t="shared" si="38"/>
        <v>OK</v>
      </c>
    </row>
    <row r="2553" spans="1:4" x14ac:dyDescent="0.2">
      <c r="A2553" s="5">
        <v>2492</v>
      </c>
      <c r="B2553" s="138">
        <f>'Acct Summary 7-8'!C6</f>
        <v>2195637</v>
      </c>
      <c r="C2553" s="2" t="s">
        <v>573</v>
      </c>
      <c r="D2553" s="2" t="str">
        <f t="shared" si="38"/>
        <v>Error?</v>
      </c>
    </row>
    <row r="2554" spans="1:4" x14ac:dyDescent="0.2">
      <c r="A2554" s="5">
        <v>2493</v>
      </c>
      <c r="B2554" s="138">
        <f>'Acct Summary 7-8'!C7</f>
        <v>409368</v>
      </c>
      <c r="C2554" s="2" t="s">
        <v>573</v>
      </c>
      <c r="D2554" s="2" t="str">
        <f t="shared" si="38"/>
        <v>Error?</v>
      </c>
    </row>
    <row r="2555" spans="1:4" x14ac:dyDescent="0.2">
      <c r="A2555" s="5">
        <v>2494</v>
      </c>
      <c r="B2555" s="138">
        <f>'Acct Summary 7-8'!C8</f>
        <v>6733670</v>
      </c>
      <c r="C2555" s="2" t="s">
        <v>573</v>
      </c>
      <c r="D2555" s="2" t="str">
        <f t="shared" si="38"/>
        <v>Error?</v>
      </c>
    </row>
    <row r="2556" spans="1:4" x14ac:dyDescent="0.2">
      <c r="A2556" s="5">
        <v>2495</v>
      </c>
      <c r="B2556" s="138">
        <f>'Acct Summary 7-8'!C12</f>
        <v>4511376</v>
      </c>
      <c r="C2556" s="2" t="s">
        <v>573</v>
      </c>
      <c r="D2556" s="2" t="str">
        <f t="shared" si="38"/>
        <v>Error?</v>
      </c>
    </row>
    <row r="2557" spans="1:4" x14ac:dyDescent="0.2">
      <c r="A2557" s="5">
        <v>2496</v>
      </c>
      <c r="B2557" s="138">
        <f>'Acct Summary 7-8'!C13</f>
        <v>1752173</v>
      </c>
      <c r="C2557" s="2" t="s">
        <v>573</v>
      </c>
      <c r="D2557" s="2" t="str">
        <f t="shared" si="38"/>
        <v>Error?</v>
      </c>
    </row>
    <row r="2558" spans="1:4" x14ac:dyDescent="0.2">
      <c r="A2558" s="5">
        <v>2497</v>
      </c>
      <c r="B2558" s="138">
        <f>'Acct Summary 7-8'!C14</f>
        <v>1761</v>
      </c>
      <c r="C2558" s="2" t="s">
        <v>573</v>
      </c>
      <c r="D2558" s="2" t="str">
        <f t="shared" si="38"/>
        <v>Error?</v>
      </c>
    </row>
    <row r="2559" spans="1:4" x14ac:dyDescent="0.2">
      <c r="A2559" s="5">
        <v>2498</v>
      </c>
      <c r="B2559" s="138">
        <f>'Acct Summary 7-8'!C15</f>
        <v>225340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6490650</v>
      </c>
      <c r="C2561" s="2" t="s">
        <v>573</v>
      </c>
      <c r="D2561" s="2" t="str">
        <f t="shared" si="39"/>
        <v>Error?</v>
      </c>
    </row>
    <row r="2562" spans="1:4" x14ac:dyDescent="0.2">
      <c r="A2562" s="5">
        <v>2501</v>
      </c>
      <c r="B2562" s="138">
        <f>'Acct Summary 7-8'!C20</f>
        <v>243020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887761</v>
      </c>
      <c r="C2564" s="2" t="s">
        <v>573</v>
      </c>
      <c r="D2564" s="2" t="str">
        <f t="shared" si="39"/>
        <v>Error?</v>
      </c>
    </row>
    <row r="2565" spans="1:4" x14ac:dyDescent="0.2">
      <c r="A2565" s="10">
        <v>2504</v>
      </c>
      <c r="D2565" s="2" t="str">
        <f t="shared" si="39"/>
        <v>OK</v>
      </c>
    </row>
    <row r="2566" spans="1:4" x14ac:dyDescent="0.2">
      <c r="A2566" s="5">
        <v>2505</v>
      </c>
      <c r="B2566" s="138">
        <f>'Acct Summary 7-8'!D6</f>
        <v>40000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927761</v>
      </c>
      <c r="C2568" s="2" t="s">
        <v>573</v>
      </c>
      <c r="D2568" s="2" t="str">
        <f t="shared" si="39"/>
        <v>Error?</v>
      </c>
    </row>
    <row r="2569" spans="1:4" x14ac:dyDescent="0.2">
      <c r="A2569" s="5">
        <v>2508</v>
      </c>
      <c r="B2569" s="138">
        <f>'Acct Summary 7-8'!D13</f>
        <v>652265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652265</v>
      </c>
      <c r="C2573" s="2" t="s">
        <v>573</v>
      </c>
      <c r="D2573" s="2" t="str">
        <f t="shared" si="39"/>
        <v>Error?</v>
      </c>
    </row>
    <row r="2574" spans="1:4" x14ac:dyDescent="0.2">
      <c r="A2574" s="5">
        <v>2513</v>
      </c>
      <c r="B2574" s="138">
        <f>'Acct Summary 7-8'!D20</f>
        <v>275496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277396</v>
      </c>
      <c r="C2591" s="2" t="s">
        <v>573</v>
      </c>
      <c r="D2591" s="2" t="str">
        <f t="shared" si="39"/>
        <v>Error?</v>
      </c>
    </row>
    <row r="2592" spans="1:4" x14ac:dyDescent="0.2">
      <c r="A2592" s="10">
        <v>2531</v>
      </c>
      <c r="D2592" s="2" t="str">
        <f t="shared" si="39"/>
        <v>OK</v>
      </c>
    </row>
    <row r="2593" spans="1:4" x14ac:dyDescent="0.2">
      <c r="A2593" s="5">
        <v>2532</v>
      </c>
      <c r="B2593" s="138">
        <f>'Acct Summary 7-8'!F6</f>
        <v>540062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817458</v>
      </c>
      <c r="C2595" s="2" t="s">
        <v>573</v>
      </c>
      <c r="D2595" s="2" t="str">
        <f t="shared" si="39"/>
        <v>Error?</v>
      </c>
    </row>
    <row r="2596" spans="1:4" x14ac:dyDescent="0.2">
      <c r="A2596" s="5">
        <v>2535</v>
      </c>
      <c r="B2596" s="138">
        <f>'Acct Summary 7-8'!F13</f>
        <v>679299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679299</v>
      </c>
      <c r="C2600" s="2" t="s">
        <v>573</v>
      </c>
      <c r="D2600" s="2" t="str">
        <f t="shared" si="39"/>
        <v>Error?</v>
      </c>
    </row>
    <row r="2601" spans="1:4" x14ac:dyDescent="0.2">
      <c r="A2601" s="5">
        <v>2540</v>
      </c>
      <c r="B2601" s="138">
        <f>'Acct Summary 7-8'!F20</f>
        <v>138159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330842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2990</v>
      </c>
      <c r="C2605" s="2" t="s">
        <v>573</v>
      </c>
      <c r="D2605" s="2" t="str">
        <f t="shared" si="39"/>
        <v>Error?</v>
      </c>
    </row>
    <row r="2606" spans="1:4" x14ac:dyDescent="0.2">
      <c r="A2606" s="5">
        <v>2545</v>
      </c>
      <c r="B2606" s="138">
        <f>'Acct Summary 7-8'!G8</f>
        <v>333832</v>
      </c>
      <c r="C2606" s="2" t="s">
        <v>573</v>
      </c>
      <c r="D2606" s="2" t="str">
        <f t="shared" si="39"/>
        <v>Error?</v>
      </c>
    </row>
    <row r="2607" spans="1:4" x14ac:dyDescent="0.2">
      <c r="A2607" s="5">
        <v>2546</v>
      </c>
      <c r="B2607" s="138">
        <f>'Acct Summary 7-8'!G12</f>
        <v>137756</v>
      </c>
      <c r="C2607" s="2" t="s">
        <v>573</v>
      </c>
      <c r="D2607" s="2" t="str">
        <f t="shared" si="39"/>
        <v>Error?</v>
      </c>
    </row>
    <row r="2608" spans="1:4" x14ac:dyDescent="0.2">
      <c r="A2608" s="5">
        <v>2547</v>
      </c>
      <c r="B2608" s="138">
        <f>'Acct Summary 7-8'!G13</f>
        <v>183059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320815</v>
      </c>
      <c r="C2612" s="2" t="s">
        <v>573</v>
      </c>
      <c r="D2612" s="2" t="str">
        <f t="shared" si="39"/>
        <v>Error?</v>
      </c>
    </row>
    <row r="2613" spans="1:4" x14ac:dyDescent="0.2">
      <c r="A2613" s="5">
        <v>2552</v>
      </c>
      <c r="B2613" s="138">
        <f>'Acct Summary 7-8'!G20</f>
        <v>13017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473488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473488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464384</v>
      </c>
      <c r="C2634" s="2" t="s">
        <v>573</v>
      </c>
      <c r="D2634" s="2" t="str">
        <f t="shared" si="40"/>
        <v>Error?</v>
      </c>
    </row>
    <row r="2635" spans="1:4" x14ac:dyDescent="0.2">
      <c r="A2635" s="5">
        <v>2574</v>
      </c>
      <c r="B2635" s="138">
        <f>'Acct Summary 7-8'!E17</f>
        <v>464384</v>
      </c>
      <c r="C2635" s="2" t="s">
        <v>573</v>
      </c>
      <c r="D2635" s="2" t="str">
        <f t="shared" si="40"/>
        <v>Error?</v>
      </c>
    </row>
    <row r="2636" spans="1:4" x14ac:dyDescent="0.2">
      <c r="A2636" s="5">
        <v>2575</v>
      </c>
      <c r="B2636" s="138">
        <f>'Acct Summary 7-8'!E20</f>
        <v>9104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6631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6631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6631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42354</v>
      </c>
      <c r="C2789" s="2" t="s">
        <v>573</v>
      </c>
      <c r="D2789" s="2" t="str">
        <f t="shared" si="42"/>
        <v>Error?</v>
      </c>
    </row>
    <row r="2790" spans="1:4" x14ac:dyDescent="0.2">
      <c r="A2790" s="5">
        <v>2729</v>
      </c>
      <c r="B2790" s="138">
        <f>'Expenditures 15-22'!E102</f>
        <v>42354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391500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918896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61251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170810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918896</v>
      </c>
      <c r="D2912" s="2" t="str">
        <f t="shared" si="44"/>
        <v>Error?</v>
      </c>
    </row>
    <row r="2913" spans="1:4" x14ac:dyDescent="0.2">
      <c r="A2913" s="5">
        <v>2852</v>
      </c>
      <c r="B2913" s="138">
        <f>'Assets-Liab 5-6'!I41</f>
        <v>918896</v>
      </c>
      <c r="C2913" s="2" t="s">
        <v>573</v>
      </c>
      <c r="D2913" s="2" t="str">
        <f t="shared" si="44"/>
        <v>Error?</v>
      </c>
    </row>
    <row r="2914" spans="1:4" x14ac:dyDescent="0.2">
      <c r="A2914" s="5">
        <v>2853</v>
      </c>
      <c r="B2914" s="138">
        <f>'Assets-Liab 5-6'!L33</f>
        <v>170810</v>
      </c>
      <c r="D2914" s="2" t="str">
        <f t="shared" si="44"/>
        <v>Error?</v>
      </c>
    </row>
    <row r="2915" spans="1:4" x14ac:dyDescent="0.2">
      <c r="A2915" s="10">
        <v>2854</v>
      </c>
      <c r="D2915" s="2" t="str">
        <f t="shared" si="44"/>
        <v>OK</v>
      </c>
    </row>
    <row r="2916" spans="1:4" x14ac:dyDescent="0.2">
      <c r="A2916" s="5">
        <v>2855</v>
      </c>
      <c r="B2916" s="138">
        <f>'Assets-Liab 5-6'!L34</f>
        <v>170810</v>
      </c>
      <c r="C2916" s="2" t="s">
        <v>573</v>
      </c>
      <c r="D2916" s="2" t="str">
        <f t="shared" si="44"/>
        <v>Error?</v>
      </c>
    </row>
    <row r="2917" spans="1:4" x14ac:dyDescent="0.2">
      <c r="A2917" s="5">
        <v>2856</v>
      </c>
      <c r="B2917" s="138">
        <f>'Assets-Liab 5-6'!L41</f>
        <v>170810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10844</v>
      </c>
      <c r="D2949" s="2" t="str">
        <f t="shared" si="45"/>
        <v>Error?</v>
      </c>
    </row>
    <row r="2950" spans="1:4" x14ac:dyDescent="0.2">
      <c r="A2950" s="5">
        <v>2889</v>
      </c>
      <c r="B2950" s="138">
        <f>'Expenditures 15-22'!E79</f>
        <v>31010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2144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10844</v>
      </c>
      <c r="C2973" s="2" t="s">
        <v>573</v>
      </c>
      <c r="D2973" s="2" t="str">
        <f t="shared" si="45"/>
        <v>Error?</v>
      </c>
    </row>
    <row r="2974" spans="1:4" x14ac:dyDescent="0.2">
      <c r="A2974" s="5">
        <v>2913</v>
      </c>
      <c r="B2974" s="138">
        <f>'Expenditures 15-22'!K79</f>
        <v>31010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2144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84366</v>
      </c>
      <c r="D3055" s="2" t="str">
        <f t="shared" si="46"/>
        <v>Error?</v>
      </c>
    </row>
    <row r="3056" spans="1:4" x14ac:dyDescent="0.2">
      <c r="A3056" s="5">
        <v>2995</v>
      </c>
      <c r="B3056" s="138">
        <f>'Expenditures 15-22'!D10</f>
        <v>6492</v>
      </c>
      <c r="D3056" s="2" t="str">
        <f t="shared" si="46"/>
        <v>Error?</v>
      </c>
    </row>
    <row r="3057" spans="1:4" x14ac:dyDescent="0.2">
      <c r="A3057" s="5">
        <v>2996</v>
      </c>
      <c r="B3057" s="138">
        <f>'Expenditures 15-22'!E10</f>
        <v>25406</v>
      </c>
      <c r="D3057" s="2" t="str">
        <f t="shared" si="46"/>
        <v>Error?</v>
      </c>
    </row>
    <row r="3058" spans="1:4" x14ac:dyDescent="0.2">
      <c r="A3058" s="5">
        <v>2997</v>
      </c>
      <c r="B3058" s="138">
        <f>'Expenditures 15-22'!F10</f>
        <v>102468</v>
      </c>
      <c r="D3058" s="2" t="str">
        <f t="shared" si="46"/>
        <v>Error?</v>
      </c>
    </row>
    <row r="3059" spans="1:4" x14ac:dyDescent="0.2">
      <c r="A3059" s="5">
        <v>2998</v>
      </c>
      <c r="B3059" s="138">
        <f>'Expenditures 15-22'!G10</f>
        <v>18276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237008</v>
      </c>
      <c r="C3062" s="2" t="s">
        <v>573</v>
      </c>
      <c r="D3062" s="2" t="str">
        <f t="shared" si="46"/>
        <v>Error?</v>
      </c>
    </row>
    <row r="3063" spans="1:4" x14ac:dyDescent="0.2">
      <c r="A3063" s="10">
        <v>3002</v>
      </c>
      <c r="D3063" s="2" t="str">
        <f t="shared" si="46"/>
        <v>OK</v>
      </c>
    </row>
    <row r="3064" spans="1:4" x14ac:dyDescent="0.2">
      <c r="A3064" s="5">
        <v>3003</v>
      </c>
      <c r="B3064" s="138">
        <f>'Expenditures 15-22'!D219</f>
        <v>12362</v>
      </c>
      <c r="D3064" s="2" t="str">
        <f t="shared" si="46"/>
        <v>Error?</v>
      </c>
    </row>
    <row r="3065" spans="1:4" x14ac:dyDescent="0.2">
      <c r="A3065" s="5">
        <v>3004</v>
      </c>
      <c r="B3065" s="138">
        <f>'Expenditures 15-22'!K219</f>
        <v>12362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20000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20000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27847</v>
      </c>
      <c r="C3225" s="2" t="s">
        <v>573</v>
      </c>
      <c r="D3225" s="2" t="str">
        <f t="shared" si="49"/>
        <v>Error?</v>
      </c>
    </row>
    <row r="3226" spans="1:4" x14ac:dyDescent="0.2">
      <c r="A3226" s="5">
        <v>3165</v>
      </c>
      <c r="B3226" s="138">
        <f>'Acct Summary 7-8'!I8</f>
        <v>27847</v>
      </c>
      <c r="C3226" s="2" t="s">
        <v>573</v>
      </c>
      <c r="D3226" s="2" t="str">
        <f t="shared" si="49"/>
        <v>Error?</v>
      </c>
    </row>
    <row r="3227" spans="1:4" x14ac:dyDescent="0.2">
      <c r="A3227" s="5">
        <v>3166</v>
      </c>
      <c r="B3227" s="138">
        <f>'Acct Summary 7-8'!I20</f>
        <v>27847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243020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30051</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30051</v>
      </c>
      <c r="C3238" s="2" t="s">
        <v>573</v>
      </c>
      <c r="D3238" s="2" t="str">
        <f t="shared" si="49"/>
        <v>Error?</v>
      </c>
    </row>
    <row r="3239" spans="1:4" x14ac:dyDescent="0.2">
      <c r="A3239" s="5">
        <v>3178</v>
      </c>
      <c r="B3239" s="138">
        <f>'Acct Summary 7-8'!D78</f>
        <v>305547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12281</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12281</v>
      </c>
      <c r="C3255" s="2" t="s">
        <v>573</v>
      </c>
      <c r="D3255" s="2" t="str">
        <f t="shared" si="49"/>
        <v>Error?</v>
      </c>
    </row>
    <row r="3256" spans="1:4" x14ac:dyDescent="0.2">
      <c r="A3256" s="5">
        <v>3195</v>
      </c>
      <c r="B3256" s="138">
        <f>'Acct Summary 7-8'!F78</f>
        <v>150440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13017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9104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20000</v>
      </c>
      <c r="C3298" s="2" t="s">
        <v>573</v>
      </c>
      <c r="D3298" s="2" t="str">
        <f t="shared" si="50"/>
        <v>Error?</v>
      </c>
    </row>
    <row r="3299" spans="1:4" x14ac:dyDescent="0.2">
      <c r="A3299" s="5">
        <v>3238</v>
      </c>
      <c r="B3299" s="138">
        <f>'Acct Summary 7-8'!H77</f>
        <v>-20000</v>
      </c>
      <c r="C3299" s="2" t="s">
        <v>573</v>
      </c>
      <c r="D3299" s="2" t="str">
        <f t="shared" si="50"/>
        <v>Error?</v>
      </c>
    </row>
    <row r="3300" spans="1:4" x14ac:dyDescent="0.2">
      <c r="A3300" s="5">
        <v>3239</v>
      </c>
      <c r="B3300" s="138">
        <f>'Acct Summary 7-8'!H78</f>
        <v>-13369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27847</v>
      </c>
      <c r="C3320" s="2" t="s">
        <v>573</v>
      </c>
      <c r="D3320" s="2" t="str">
        <f t="shared" si="50"/>
        <v>Error?</v>
      </c>
    </row>
    <row r="3321" spans="1:4" x14ac:dyDescent="0.2">
      <c r="A3321" s="5">
        <v>3260</v>
      </c>
      <c r="B3321" s="138">
        <f>'Acct Summary 7-8'!I79</f>
        <v>891049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918896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578817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103817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687133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41340</v>
      </c>
      <c r="D3387" s="2" t="str">
        <f t="shared" si="51"/>
        <v>Error?</v>
      </c>
    </row>
    <row r="3388" spans="1:4" x14ac:dyDescent="0.2">
      <c r="A3388" s="5">
        <v>3327</v>
      </c>
      <c r="B3388" s="138">
        <f>'Expenditures 15-22'!D217</f>
        <v>54462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41340</v>
      </c>
      <c r="C3390" s="2" t="s">
        <v>573</v>
      </c>
      <c r="D3390" s="2" t="str">
        <f t="shared" si="51"/>
        <v>Error?</v>
      </c>
    </row>
    <row r="3391" spans="1:4" x14ac:dyDescent="0.2">
      <c r="A3391" s="5">
        <v>3330</v>
      </c>
      <c r="B3391" s="138">
        <f>'Expenditures 15-22'!K217</f>
        <v>54462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1609486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1363417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258686</v>
      </c>
      <c r="D3417" s="2" t="str">
        <f t="shared" si="52"/>
        <v>Error?</v>
      </c>
    </row>
    <row r="3418" spans="1:4" x14ac:dyDescent="0.2">
      <c r="A3418" s="10">
        <v>3357</v>
      </c>
      <c r="D3418" s="2" t="str">
        <f t="shared" si="52"/>
        <v>OK</v>
      </c>
    </row>
    <row r="3419" spans="1:4" x14ac:dyDescent="0.2">
      <c r="A3419" s="5">
        <v>3358</v>
      </c>
      <c r="B3419" s="138">
        <f>'Assets-Liab 5-6'!F4</f>
        <v>714072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283714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7595</v>
      </c>
      <c r="D3425" s="2" t="str">
        <f t="shared" si="52"/>
        <v>Error?</v>
      </c>
    </row>
    <row r="3426" spans="1:4" x14ac:dyDescent="0.2">
      <c r="A3426" s="10">
        <v>3365</v>
      </c>
      <c r="D3426" s="2" t="str">
        <f t="shared" si="52"/>
        <v>OK</v>
      </c>
    </row>
    <row r="3427" spans="1:4" x14ac:dyDescent="0.2">
      <c r="A3427" s="5">
        <v>3366</v>
      </c>
      <c r="B3427" s="138">
        <f>'Assets-Liab 5-6'!I4</f>
        <v>527396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109559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188989</v>
      </c>
      <c r="C3446" s="2" t="s">
        <v>573</v>
      </c>
      <c r="D3446" s="2" t="str">
        <f t="shared" si="52"/>
        <v>Error?</v>
      </c>
    </row>
    <row r="3447" spans="1:4" x14ac:dyDescent="0.2">
      <c r="A3447" s="5">
        <v>3386</v>
      </c>
      <c r="B3447" s="138">
        <f>'Tax Sched 23'!D16</f>
        <v>188989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189993</v>
      </c>
      <c r="C3449" s="2" t="s">
        <v>573</v>
      </c>
      <c r="D3449" s="2" t="str">
        <f t="shared" si="52"/>
        <v>Error?</v>
      </c>
    </row>
    <row r="3450" spans="1:4" x14ac:dyDescent="0.2">
      <c r="A3450" s="5">
        <v>3389</v>
      </c>
      <c r="B3450" s="138">
        <f>'Tax Sched 23'!E16</f>
        <v>189993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10051</v>
      </c>
      <c r="D3531" s="2" t="str">
        <f t="shared" si="54"/>
        <v>Error?</v>
      </c>
    </row>
    <row r="3532" spans="1:4" x14ac:dyDescent="0.2">
      <c r="A3532" s="5">
        <v>3471</v>
      </c>
      <c r="B3532" s="138">
        <f>'Acct Summary 7-8'!F36</f>
        <v>12281</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891296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205363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1096659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1096659</v>
      </c>
      <c r="D3567" s="2" t="str">
        <f t="shared" si="54"/>
        <v>Error?</v>
      </c>
    </row>
    <row r="3568" spans="1:4" x14ac:dyDescent="0.2">
      <c r="A3568" s="5">
        <v>3507</v>
      </c>
      <c r="B3568" s="138">
        <f>'Assets-Liab 5-6'!K41</f>
        <v>1096659</v>
      </c>
      <c r="C3568" s="2" t="s">
        <v>573</v>
      </c>
      <c r="D3568" s="2" t="str">
        <f t="shared" si="54"/>
        <v>Error?</v>
      </c>
    </row>
    <row r="3569" spans="1:4" x14ac:dyDescent="0.2">
      <c r="A3569" s="5">
        <v>3508</v>
      </c>
      <c r="B3569" s="138">
        <f>'Acct Summary 7-8'!K4</f>
        <v>78704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78704</v>
      </c>
      <c r="C3571" s="2" t="s">
        <v>573</v>
      </c>
      <c r="D3571" s="2" t="str">
        <f t="shared" si="54"/>
        <v>Error?</v>
      </c>
    </row>
    <row r="3572" spans="1:4" x14ac:dyDescent="0.2">
      <c r="A3572" s="5">
        <v>3511</v>
      </c>
      <c r="B3572" s="138">
        <f>'Acct Summary 7-8'!K13</f>
        <v>300808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300808</v>
      </c>
      <c r="C3575" s="2" t="s">
        <v>573</v>
      </c>
      <c r="D3575" s="2" t="str">
        <f t="shared" si="54"/>
        <v>Error?</v>
      </c>
    </row>
    <row r="3576" spans="1:4" x14ac:dyDescent="0.2">
      <c r="A3576" s="5">
        <v>3515</v>
      </c>
      <c r="B3576" s="138">
        <f>'Acct Summary 7-8'!K20</f>
        <v>-222104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-222104</v>
      </c>
      <c r="C3588" s="2" t="s">
        <v>573</v>
      </c>
      <c r="D3588" s="2" t="str">
        <f t="shared" si="55"/>
        <v>Error?</v>
      </c>
    </row>
    <row r="3589" spans="1:4" x14ac:dyDescent="0.2">
      <c r="A3589" s="5">
        <v>3528</v>
      </c>
      <c r="B3589" s="138">
        <f>'Acct Summary 7-8'!K79</f>
        <v>1318763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1096659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300808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300808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300808</v>
      </c>
      <c r="C3649" s="2" t="s">
        <v>573</v>
      </c>
      <c r="D3649" s="2" t="str">
        <f t="shared" si="56"/>
        <v>Error?</v>
      </c>
    </row>
    <row r="3650" spans="1:4" x14ac:dyDescent="0.2">
      <c r="A3650" s="5">
        <v>3589</v>
      </c>
      <c r="B3650" s="138">
        <f>'Expenditures 15-22'!G367</f>
        <v>300808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300808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300808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300808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300808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-222104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141317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2717208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9450878</v>
      </c>
      <c r="C4122" s="2" t="s">
        <v>573</v>
      </c>
      <c r="D4122" s="2" t="str">
        <f t="shared" si="63"/>
        <v>Error?</v>
      </c>
    </row>
    <row r="4123" spans="1:4" x14ac:dyDescent="0.2">
      <c r="A4123" s="5">
        <v>4062</v>
      </c>
      <c r="B4123" s="138">
        <f>'Acct Summary 7-8'!D10</f>
        <v>927761</v>
      </c>
      <c r="C4123" s="2" t="s">
        <v>573</v>
      </c>
      <c r="D4123" s="2" t="str">
        <f t="shared" si="63"/>
        <v>Error?</v>
      </c>
    </row>
    <row r="4124" spans="1:4" x14ac:dyDescent="0.2">
      <c r="A4124" s="5">
        <v>4063</v>
      </c>
      <c r="B4124" s="138">
        <f>'Acct Summary 7-8'!E10</f>
        <v>473488</v>
      </c>
      <c r="C4124" s="2" t="s">
        <v>573</v>
      </c>
      <c r="D4124" s="2" t="str">
        <f t="shared" si="63"/>
        <v>Error?</v>
      </c>
    </row>
    <row r="4125" spans="1:4" x14ac:dyDescent="0.2">
      <c r="A4125" s="5">
        <v>4064</v>
      </c>
      <c r="B4125" s="138">
        <f>'Acct Summary 7-8'!F10</f>
        <v>817458</v>
      </c>
      <c r="C4125" s="2" t="s">
        <v>573</v>
      </c>
      <c r="D4125" s="2" t="str">
        <f t="shared" si="63"/>
        <v>Error?</v>
      </c>
    </row>
    <row r="4126" spans="1:4" x14ac:dyDescent="0.2">
      <c r="A4126" s="5">
        <v>4065</v>
      </c>
      <c r="B4126" s="138">
        <f>'Acct Summary 7-8'!G10</f>
        <v>333832</v>
      </c>
      <c r="C4126" s="2" t="s">
        <v>573</v>
      </c>
      <c r="D4126" s="2" t="str">
        <f t="shared" si="63"/>
        <v>Error?</v>
      </c>
    </row>
    <row r="4127" spans="1:4" x14ac:dyDescent="0.2">
      <c r="A4127" s="5">
        <v>4066</v>
      </c>
      <c r="B4127" s="138">
        <f>'Acct Summary 7-8'!H10</f>
        <v>6631</v>
      </c>
      <c r="C4127" s="2" t="s">
        <v>573</v>
      </c>
      <c r="D4127" s="2" t="str">
        <f t="shared" si="63"/>
        <v>Error?</v>
      </c>
    </row>
    <row r="4128" spans="1:4" x14ac:dyDescent="0.2">
      <c r="A4128" s="5">
        <v>4067</v>
      </c>
      <c r="B4128" s="138">
        <f>'Acct Summary 7-8'!I10</f>
        <v>27847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78704</v>
      </c>
      <c r="C4130" s="2" t="s">
        <v>573</v>
      </c>
      <c r="D4130" s="2" t="str">
        <f t="shared" si="63"/>
        <v>Error?</v>
      </c>
    </row>
    <row r="4131" spans="1:4" x14ac:dyDescent="0.2">
      <c r="A4131" s="5">
        <v>4070</v>
      </c>
      <c r="B4131" s="138">
        <f>'Acct Summary 7-8'!C18</f>
        <v>2717208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9207858</v>
      </c>
      <c r="C4136" s="2" t="s">
        <v>573</v>
      </c>
      <c r="D4136" s="2" t="str">
        <f t="shared" si="63"/>
        <v>Error?</v>
      </c>
    </row>
    <row r="4137" spans="1:4" x14ac:dyDescent="0.2">
      <c r="A4137" s="5">
        <v>4076</v>
      </c>
      <c r="B4137" s="138">
        <f>'Acct Summary 7-8'!D19</f>
        <v>652265</v>
      </c>
      <c r="C4137" s="2" t="s">
        <v>573</v>
      </c>
      <c r="D4137" s="2" t="str">
        <f t="shared" si="63"/>
        <v>Error?</v>
      </c>
    </row>
    <row r="4138" spans="1:4" x14ac:dyDescent="0.2">
      <c r="A4138" s="5">
        <v>4077</v>
      </c>
      <c r="B4138" s="138">
        <f>'Acct Summary 7-8'!E19</f>
        <v>464384</v>
      </c>
      <c r="C4138" s="2" t="s">
        <v>573</v>
      </c>
      <c r="D4138" s="2" t="str">
        <f t="shared" si="63"/>
        <v>Error?</v>
      </c>
    </row>
    <row r="4139" spans="1:4" x14ac:dyDescent="0.2">
      <c r="A4139" s="5">
        <v>4078</v>
      </c>
      <c r="B4139" s="138">
        <f>'Acct Summary 7-8'!F19</f>
        <v>679299</v>
      </c>
      <c r="C4139" s="2" t="s">
        <v>573</v>
      </c>
      <c r="D4139" s="2" t="str">
        <f t="shared" si="63"/>
        <v>Error?</v>
      </c>
    </row>
    <row r="4140" spans="1:4" x14ac:dyDescent="0.2">
      <c r="A4140" s="5">
        <v>4079</v>
      </c>
      <c r="B4140" s="138">
        <f>'Acct Summary 7-8'!G19</f>
        <v>320815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300808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2875150</v>
      </c>
      <c r="C4171" s="2" t="s">
        <v>573</v>
      </c>
      <c r="D4171" s="2" t="str">
        <f t="shared" si="64"/>
        <v>Error?</v>
      </c>
    </row>
    <row r="4172" spans="1:4" x14ac:dyDescent="0.2">
      <c r="A4172" s="5">
        <v>4111</v>
      </c>
      <c r="B4172" s="138">
        <f>'Short-Term Long-Term Debt 24'!J49</f>
        <v>2616464</v>
      </c>
      <c r="C4172" s="2" t="s">
        <v>573</v>
      </c>
      <c r="D4172" s="2" t="str">
        <f t="shared" si="64"/>
        <v>Error?</v>
      </c>
    </row>
    <row r="4173" spans="1:4" x14ac:dyDescent="0.2">
      <c r="A4173" s="5">
        <v>4112</v>
      </c>
      <c r="B4173" s="138">
        <f>'Short-Term Long-Term Debt 24'!H49</f>
        <v>350630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2597.27</v>
      </c>
      <c r="C4265" s="2" t="s">
        <v>573</v>
      </c>
      <c r="D4265" s="2" t="str">
        <f t="shared" si="65"/>
        <v>Error?</v>
      </c>
      <c r="E4265" s="128"/>
    </row>
    <row r="4266" spans="1:5" x14ac:dyDescent="0.2">
      <c r="A4266" s="12">
        <v>4205</v>
      </c>
      <c r="B4266" s="138">
        <f>('FP Info 3'!F10)*100000</f>
        <v>650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3447</v>
      </c>
      <c r="C4268" s="2" t="s">
        <v>573</v>
      </c>
      <c r="D4268" s="2" t="str">
        <f t="shared" si="65"/>
        <v>Error?</v>
      </c>
    </row>
    <row r="4269" spans="1:5" x14ac:dyDescent="0.2">
      <c r="A4269" s="12">
        <v>4208</v>
      </c>
      <c r="B4269" s="138">
        <f>'FP Info 3'!J16</f>
        <v>9041997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10233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13952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13068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15858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138.29999999999998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144613446</v>
      </c>
      <c r="D4995" s="2" t="str">
        <f t="shared" si="77"/>
        <v>Error?</v>
      </c>
    </row>
    <row r="4996" spans="1:4" x14ac:dyDescent="0.2">
      <c r="A4996" s="12">
        <v>4935</v>
      </c>
      <c r="B4996" s="138">
        <f>'FP Info 3'!H31</f>
        <v>19956655.548</v>
      </c>
      <c r="D4996" s="2" t="str">
        <f t="shared" si="77"/>
        <v>Error?</v>
      </c>
    </row>
    <row r="4997" spans="1:4" x14ac:dyDescent="0.2">
      <c r="A4997" s="12">
        <v>4936</v>
      </c>
      <c r="B4997" s="138">
        <f>'FP Info 3'!H37</f>
        <v>2875150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3591690</v>
      </c>
      <c r="D5061" s="2" t="str">
        <f t="shared" si="78"/>
        <v>Error?</v>
      </c>
    </row>
    <row r="5062" spans="1:4" x14ac:dyDescent="0.2">
      <c r="A5062" s="10">
        <v>5001</v>
      </c>
      <c r="D5062" s="2" t="str">
        <f t="shared" si="78"/>
        <v>OK</v>
      </c>
    </row>
    <row r="5063" spans="1:4" x14ac:dyDescent="0.2">
      <c r="A5063" s="5">
        <v>5002</v>
      </c>
      <c r="B5063" s="138">
        <f>'Revenues 9-14'!C7</f>
        <v>53436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3645126</v>
      </c>
      <c r="C5066" s="2" t="s">
        <v>573</v>
      </c>
      <c r="D5066" s="2" t="str">
        <f t="shared" si="78"/>
        <v>Error?</v>
      </c>
    </row>
    <row r="5067" spans="1:4" x14ac:dyDescent="0.2">
      <c r="A5067" s="5">
        <v>5006</v>
      </c>
      <c r="B5067" s="138">
        <f>'Revenues 9-14'!C14</f>
        <v>4451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203276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207727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37204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37204</v>
      </c>
      <c r="C5090" s="2" t="s">
        <v>573</v>
      </c>
      <c r="D5090" s="2" t="str">
        <f t="shared" si="78"/>
        <v>Error?</v>
      </c>
    </row>
    <row r="5091" spans="1:4" x14ac:dyDescent="0.2">
      <c r="A5091" s="5">
        <v>5030</v>
      </c>
      <c r="B5091" s="138">
        <f>'Revenues 9-14'!C70</f>
        <v>13492</v>
      </c>
      <c r="D5091" s="2" t="str">
        <f t="shared" si="78"/>
        <v>Error?</v>
      </c>
    </row>
    <row r="5092" spans="1:4" x14ac:dyDescent="0.2">
      <c r="A5092" s="5">
        <v>5031</v>
      </c>
      <c r="B5092" s="138">
        <f>'Revenues 9-14'!C71</f>
        <v>10516</v>
      </c>
      <c r="D5092" s="2" t="str">
        <f t="shared" si="78"/>
        <v>Error?</v>
      </c>
    </row>
    <row r="5093" spans="1:4" x14ac:dyDescent="0.2">
      <c r="A5093" s="5">
        <v>5032</v>
      </c>
      <c r="B5093" s="138">
        <f>'Revenues 9-14'!C72</f>
        <v>3816</v>
      </c>
      <c r="D5093" s="2" t="str">
        <f t="shared" si="78"/>
        <v>Error?</v>
      </c>
    </row>
    <row r="5094" spans="1:4" x14ac:dyDescent="0.2">
      <c r="A5094" s="5">
        <v>5033</v>
      </c>
      <c r="B5094" s="138">
        <f>'Revenues 9-14'!C73</f>
        <v>8482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109860</v>
      </c>
      <c r="C5096" s="2" t="s">
        <v>573</v>
      </c>
      <c r="D5096" s="2" t="str">
        <f t="shared" si="78"/>
        <v>Error?</v>
      </c>
    </row>
    <row r="5097" spans="1:4" x14ac:dyDescent="0.2">
      <c r="A5097" s="5">
        <v>5036</v>
      </c>
      <c r="B5097" s="138">
        <f>'Revenues 9-14'!C77</f>
        <v>15975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435</v>
      </c>
      <c r="D5101" s="2" t="str">
        <f t="shared" si="78"/>
        <v>Error?</v>
      </c>
    </row>
    <row r="5102" spans="1:4" x14ac:dyDescent="0.2">
      <c r="A5102" s="5">
        <v>5041</v>
      </c>
      <c r="B5102" s="138">
        <f>'Revenues 9-14'!C82</f>
        <v>21255</v>
      </c>
      <c r="C5102" s="2" t="s">
        <v>573</v>
      </c>
      <c r="D5102" s="2" t="str">
        <f t="shared" si="78"/>
        <v>Error?</v>
      </c>
    </row>
    <row r="5103" spans="1:4" x14ac:dyDescent="0.2">
      <c r="A5103" s="5">
        <v>5042</v>
      </c>
      <c r="B5103" s="138">
        <f>'Revenues 9-14'!C84</f>
        <v>32529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1050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33579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11875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4987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48007</v>
      </c>
      <c r="D5119" s="2" t="str">
        <f t="shared" ref="D5119:D5182" si="79">IF(ISBLANK(B5119),"OK",IF(A5119-B5119=0,"OK","Error?"))</f>
        <v>Error?</v>
      </c>
    </row>
    <row r="5120" spans="1:4" x14ac:dyDescent="0.2">
      <c r="A5120" s="5">
        <v>5059</v>
      </c>
      <c r="B5120" s="138">
        <f>'Revenues 9-14'!C108</f>
        <v>73914</v>
      </c>
      <c r="C5120" s="2" t="s">
        <v>573</v>
      </c>
      <c r="D5120" s="2" t="str">
        <f t="shared" si="79"/>
        <v>Error?</v>
      </c>
    </row>
    <row r="5121" spans="1:4" x14ac:dyDescent="0.2">
      <c r="A5121" s="5">
        <v>5060</v>
      </c>
      <c r="B5121" s="138">
        <f>'Revenues 9-14'!C109</f>
        <v>4128665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1867311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1867311</v>
      </c>
      <c r="C5132" s="2" t="s">
        <v>573</v>
      </c>
      <c r="D5132" s="2" t="str">
        <f t="shared" si="79"/>
        <v>Error?</v>
      </c>
    </row>
    <row r="5133" spans="1:4" x14ac:dyDescent="0.2">
      <c r="A5133" s="5">
        <v>5072</v>
      </c>
      <c r="B5133" s="138">
        <f>'Revenues 9-14'!C125</f>
        <v>5392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29372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34764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21523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4534</v>
      </c>
      <c r="D5167" s="2" t="str">
        <f t="shared" si="79"/>
        <v>Error?</v>
      </c>
    </row>
    <row r="5168" spans="1:4" x14ac:dyDescent="0.2">
      <c r="A5168" s="5">
        <v>5107</v>
      </c>
      <c r="B5168" s="138">
        <f>'Revenues 9-14'!C148</f>
        <v>10769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255986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328326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2195637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196879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70072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266951</v>
      </c>
      <c r="C5246" s="2" t="s">
        <v>573</v>
      </c>
      <c r="D5246" s="2" t="str">
        <f t="shared" si="80"/>
        <v>Error?</v>
      </c>
    </row>
    <row r="5247" spans="1:4" x14ac:dyDescent="0.2">
      <c r="A5247" s="5">
        <v>5186</v>
      </c>
      <c r="B5247" s="138">
        <f>'Revenues 9-14'!C200</f>
        <v>89306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99539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409368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409368</v>
      </c>
      <c r="C5326" s="2" t="s">
        <v>573</v>
      </c>
      <c r="D5326" s="2" t="str">
        <f t="shared" si="82"/>
        <v>Error?</v>
      </c>
    </row>
    <row r="5327" spans="1:5" x14ac:dyDescent="0.2">
      <c r="A5327" s="5">
        <v>5266</v>
      </c>
      <c r="B5327" s="138">
        <f>'Revenues 9-14'!C268</f>
        <v>6733670</v>
      </c>
      <c r="C5327" s="2" t="s">
        <v>573</v>
      </c>
      <c r="D5327" s="2" t="str">
        <f t="shared" si="82"/>
        <v>Error?</v>
      </c>
    </row>
    <row r="5328" spans="1:5" x14ac:dyDescent="0.2">
      <c r="A5328" s="5">
        <v>5267</v>
      </c>
      <c r="B5328" s="138">
        <f>'Revenues 9-14'!D5</f>
        <v>874849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874849</v>
      </c>
      <c r="C5334" s="2" t="s">
        <v>573</v>
      </c>
      <c r="D5334" s="2" t="str">
        <f t="shared" si="82"/>
        <v>Error?</v>
      </c>
    </row>
    <row r="5335" spans="1:4" x14ac:dyDescent="0.2">
      <c r="A5335" s="5">
        <v>5274</v>
      </c>
      <c r="B5335" s="138">
        <f>'Revenues 9-14'!D14</f>
        <v>1070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1070</v>
      </c>
      <c r="C5339" s="2" t="s">
        <v>573</v>
      </c>
      <c r="D5339" s="2" t="str">
        <f t="shared" si="82"/>
        <v>Error?</v>
      </c>
    </row>
    <row r="5340" spans="1:4" x14ac:dyDescent="0.2">
      <c r="A5340" s="5">
        <v>5279</v>
      </c>
      <c r="B5340" s="138">
        <f>'Revenues 9-14'!D65</f>
        <v>6055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6055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5225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562</v>
      </c>
      <c r="D5354" s="2" t="str">
        <f t="shared" si="82"/>
        <v>Error?</v>
      </c>
    </row>
    <row r="5355" spans="1:4" x14ac:dyDescent="0.2">
      <c r="A5355" s="5">
        <v>5294</v>
      </c>
      <c r="B5355" s="138">
        <f>'Revenues 9-14'!D108</f>
        <v>5787</v>
      </c>
      <c r="C5355" s="2" t="s">
        <v>573</v>
      </c>
      <c r="D5355" s="2" t="str">
        <f t="shared" si="82"/>
        <v>Error?</v>
      </c>
    </row>
    <row r="5356" spans="1:4" x14ac:dyDescent="0.2">
      <c r="A5356" s="5">
        <v>5295</v>
      </c>
      <c r="B5356" s="138">
        <f>'Revenues 9-14'!D109</f>
        <v>887761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927761</v>
      </c>
      <c r="C5508" s="2" t="s">
        <v>573</v>
      </c>
      <c r="D5508" s="2" t="str">
        <f t="shared" si="85"/>
        <v>Error?</v>
      </c>
    </row>
    <row r="5509" spans="1:4" x14ac:dyDescent="0.2">
      <c r="A5509" s="5">
        <v>5448</v>
      </c>
      <c r="B5509" s="138">
        <f>'Revenues 9-14'!E5</f>
        <v>469207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469207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4281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473488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473488</v>
      </c>
      <c r="C5552" s="2" t="s">
        <v>573</v>
      </c>
      <c r="D5552" s="2" t="str">
        <f t="shared" si="85"/>
        <v>Error?</v>
      </c>
    </row>
    <row r="5553" spans="1:4" x14ac:dyDescent="0.2">
      <c r="A5553" s="5">
        <v>5492</v>
      </c>
      <c r="B5553" s="138">
        <f>'Revenues 9-14'!F5</f>
        <v>269187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269187</v>
      </c>
      <c r="C5557" s="2" t="s">
        <v>573</v>
      </c>
      <c r="D5557" s="2" t="str">
        <f t="shared" si="85"/>
        <v>Error?</v>
      </c>
    </row>
    <row r="5558" spans="1:4" x14ac:dyDescent="0.2">
      <c r="A5558" s="5">
        <v>5497</v>
      </c>
      <c r="B5558" s="138">
        <f>'Revenues 9-14'!F14</f>
        <v>329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329</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7691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7691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189</v>
      </c>
      <c r="D5586" s="2" t="str">
        <f t="shared" si="86"/>
        <v>Error?</v>
      </c>
    </row>
    <row r="5587" spans="1:4" x14ac:dyDescent="0.2">
      <c r="A5587" s="5">
        <v>5526</v>
      </c>
      <c r="B5587" s="138">
        <f>'Revenues 9-14'!F108</f>
        <v>189</v>
      </c>
      <c r="C5587" s="2" t="s">
        <v>573</v>
      </c>
      <c r="D5587" s="2" t="str">
        <f t="shared" si="86"/>
        <v>Error?</v>
      </c>
    </row>
    <row r="5588" spans="1:4" x14ac:dyDescent="0.2">
      <c r="A5588" s="5">
        <v>5527</v>
      </c>
      <c r="B5588" s="138">
        <f>'Revenues 9-14'!F109</f>
        <v>277396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357384</v>
      </c>
      <c r="D5615" s="2" t="str">
        <f t="shared" si="86"/>
        <v>Error?</v>
      </c>
    </row>
    <row r="5616" spans="1:4" x14ac:dyDescent="0.2">
      <c r="A5616" s="10">
        <v>5555</v>
      </c>
      <c r="D5616" s="2" t="str">
        <f t="shared" si="86"/>
        <v>OK</v>
      </c>
    </row>
    <row r="5617" spans="1:5" x14ac:dyDescent="0.2">
      <c r="A5617" s="5">
        <v>5556</v>
      </c>
      <c r="B5617" s="138">
        <f>'Revenues 9-14'!F153</f>
        <v>172678</v>
      </c>
      <c r="D5617" s="2" t="str">
        <f t="shared" si="86"/>
        <v>Error?</v>
      </c>
    </row>
    <row r="5618" spans="1:5" x14ac:dyDescent="0.2">
      <c r="A5618" s="5">
        <v>5557</v>
      </c>
      <c r="B5618" s="138">
        <f>'Revenues 9-14'!F155</f>
        <v>530062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530062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540062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817458</v>
      </c>
      <c r="C5720" s="2" t="s">
        <v>573</v>
      </c>
      <c r="D5720" s="2" t="str">
        <f t="shared" si="88"/>
        <v>Error?</v>
      </c>
    </row>
    <row r="5721" spans="1:4" x14ac:dyDescent="0.2">
      <c r="A5721" s="5">
        <v>5660</v>
      </c>
      <c r="B5721" s="138">
        <f>'Revenues 9-14'!G5</f>
        <v>111990</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188989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300979</v>
      </c>
      <c r="C5725" s="2" t="s">
        <v>573</v>
      </c>
      <c r="D5725" s="2" t="str">
        <f t="shared" si="88"/>
        <v>Error?</v>
      </c>
    </row>
    <row r="5726" spans="1:4" x14ac:dyDescent="0.2">
      <c r="A5726" s="5">
        <v>5665</v>
      </c>
      <c r="B5726" s="138">
        <f>'Revenues 9-14'!G14</f>
        <v>367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24367</v>
      </c>
      <c r="C5730" s="2" t="s">
        <v>573</v>
      </c>
      <c r="D5730" s="2" t="str">
        <f t="shared" si="88"/>
        <v>Error?</v>
      </c>
    </row>
    <row r="5731" spans="1:4" x14ac:dyDescent="0.2">
      <c r="A5731" s="5">
        <v>5670</v>
      </c>
      <c r="B5731" s="138">
        <f>'Revenues 9-14'!G65</f>
        <v>5496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5496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2990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2990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2990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2990</v>
      </c>
      <c r="C5869" s="2" t="s">
        <v>573</v>
      </c>
      <c r="D5869" s="2" t="str">
        <f t="shared" si="90"/>
        <v>Error?</v>
      </c>
    </row>
    <row r="5870" spans="1:4" x14ac:dyDescent="0.2">
      <c r="A5870" s="5">
        <v>5809</v>
      </c>
      <c r="B5870" s="138">
        <f>'Revenues 9-14'!G268</f>
        <v>333832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6392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6631</v>
      </c>
      <c r="C5915" s="2" t="s">
        <v>573</v>
      </c>
      <c r="D5915" s="2" t="str">
        <f t="shared" si="91"/>
        <v>Error?</v>
      </c>
    </row>
    <row r="5916" spans="1:4" x14ac:dyDescent="0.2">
      <c r="A5916" s="5">
        <v>5855</v>
      </c>
      <c r="B5916" s="138">
        <f>'Revenues 9-14'!I5</f>
        <v>20003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20003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7844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7844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27847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67204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67204</v>
      </c>
      <c r="C5987" s="2" t="s">
        <v>573</v>
      </c>
      <c r="D5987" s="2" t="str">
        <f t="shared" si="92"/>
        <v>Error?</v>
      </c>
    </row>
    <row r="5988" spans="1:4" x14ac:dyDescent="0.2">
      <c r="A5988" s="5">
        <v>5927</v>
      </c>
      <c r="B5988" s="138">
        <f>'Revenues 9-14'!K14</f>
        <v>82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82</v>
      </c>
      <c r="C5992" s="2" t="s">
        <v>573</v>
      </c>
      <c r="D5992" s="2" t="str">
        <f t="shared" si="92"/>
        <v>Error?</v>
      </c>
    </row>
    <row r="5993" spans="1:4" x14ac:dyDescent="0.2">
      <c r="A5993" s="5">
        <v>5932</v>
      </c>
      <c r="B5993" s="138">
        <f>'Revenues 9-14'!K65</f>
        <v>11418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11418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78704</v>
      </c>
      <c r="C6023" s="2" t="s">
        <v>573</v>
      </c>
      <c r="D6023" s="2" t="str">
        <f t="shared" si="93"/>
        <v>Error?</v>
      </c>
    </row>
    <row r="6024" spans="1:5" x14ac:dyDescent="0.2">
      <c r="A6024" s="5">
        <v>5963</v>
      </c>
      <c r="B6024" s="138">
        <f>'Revenues 9-14'!G109</f>
        <v>330842</v>
      </c>
      <c r="C6024" s="2" t="s">
        <v>573</v>
      </c>
      <c r="D6024" s="2" t="str">
        <f t="shared" si="93"/>
        <v>Error?</v>
      </c>
    </row>
    <row r="6025" spans="1:5" x14ac:dyDescent="0.2">
      <c r="A6025" s="5">
        <v>5964</v>
      </c>
      <c r="B6025" s="138">
        <f>'Revenues 9-14'!H109</f>
        <v>6631</v>
      </c>
      <c r="C6025" s="2" t="s">
        <v>573</v>
      </c>
      <c r="D6025" s="2" t="str">
        <f t="shared" si="93"/>
        <v>Error?</v>
      </c>
    </row>
    <row r="6026" spans="1:5" x14ac:dyDescent="0.2">
      <c r="A6026" s="5">
        <v>5965</v>
      </c>
      <c r="B6026" s="138">
        <f>'Revenues 9-14'!I109</f>
        <v>27847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78704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73554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36384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705.2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429863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429863</v>
      </c>
      <c r="D6215" s="2" t="str">
        <f t="shared" si="96"/>
        <v>Error?</v>
      </c>
      <c r="E6215" s="2" t="s">
        <v>190</v>
      </c>
    </row>
    <row r="6216" spans="1:5" x14ac:dyDescent="0.2">
      <c r="A6216">
        <v>6155</v>
      </c>
      <c r="B6216" s="138">
        <f>'Assets-Liab 5-6'!J41</f>
        <v>429863</v>
      </c>
      <c r="D6216" s="2" t="str">
        <f t="shared" si="96"/>
        <v>Error?</v>
      </c>
      <c r="E6216" s="2" t="s">
        <v>190</v>
      </c>
    </row>
    <row r="6217" spans="1:5" x14ac:dyDescent="0.2">
      <c r="A6217">
        <v>6156</v>
      </c>
      <c r="B6217" s="138">
        <f>'Assets-Liab 5-6'!J4</f>
        <v>429863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229656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229656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229656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199706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199706</v>
      </c>
      <c r="D6229" s="2" t="str">
        <f t="shared" si="96"/>
        <v>Error?</v>
      </c>
      <c r="E6229" s="2" t="s">
        <v>190</v>
      </c>
    </row>
    <row r="6230" spans="1:5" x14ac:dyDescent="0.2">
      <c r="A6230">
        <v>6169</v>
      </c>
      <c r="B6230" s="138">
        <f>'Acct Summary 7-8'!J20</f>
        <v>29950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29950</v>
      </c>
      <c r="D6263" s="2" t="str">
        <f t="shared" si="96"/>
        <v>Error?</v>
      </c>
      <c r="E6263" s="2" t="s">
        <v>190</v>
      </c>
    </row>
    <row r="6264" spans="1:5" x14ac:dyDescent="0.2">
      <c r="A6264">
        <v>6203</v>
      </c>
      <c r="B6264" s="138">
        <f>'Acct Summary 7-8'!J79</f>
        <v>399913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429863</v>
      </c>
      <c r="D6266" s="2" t="str">
        <f t="shared" si="96"/>
        <v>Error?</v>
      </c>
      <c r="E6266" s="2" t="s">
        <v>190</v>
      </c>
    </row>
    <row r="6267" spans="1:5" x14ac:dyDescent="0.2">
      <c r="A6267">
        <v>6206</v>
      </c>
      <c r="B6267" s="138">
        <f>'Acct Summary 7-8'!C82</f>
        <v>243020</v>
      </c>
      <c r="D6267" s="2" t="str">
        <f t="shared" si="96"/>
        <v>Error?</v>
      </c>
      <c r="E6267" s="2" t="s">
        <v>190</v>
      </c>
    </row>
    <row r="6268" spans="1:5" x14ac:dyDescent="0.2">
      <c r="A6268">
        <v>6207</v>
      </c>
      <c r="B6268" s="138">
        <f>'Acct Summary 7-8'!D82</f>
        <v>305547</v>
      </c>
      <c r="D6268" s="2" t="str">
        <f t="shared" si="96"/>
        <v>Error?</v>
      </c>
      <c r="E6268" s="2" t="s">
        <v>190</v>
      </c>
    </row>
    <row r="6269" spans="1:5" x14ac:dyDescent="0.2">
      <c r="A6269">
        <v>6208</v>
      </c>
      <c r="B6269" s="138">
        <f>'Acct Summary 7-8'!E82</f>
        <v>9104</v>
      </c>
      <c r="D6269" s="2" t="str">
        <f t="shared" si="96"/>
        <v>Error?</v>
      </c>
      <c r="E6269" s="2" t="s">
        <v>190</v>
      </c>
    </row>
    <row r="6270" spans="1:5" x14ac:dyDescent="0.2">
      <c r="A6270">
        <v>6209</v>
      </c>
      <c r="B6270" s="138">
        <f>'Acct Summary 7-8'!F82</f>
        <v>150440</v>
      </c>
      <c r="D6270" s="2" t="str">
        <f t="shared" si="96"/>
        <v>Error?</v>
      </c>
      <c r="E6270" s="2" t="s">
        <v>190</v>
      </c>
    </row>
    <row r="6271" spans="1:5" x14ac:dyDescent="0.2">
      <c r="A6271">
        <v>6210</v>
      </c>
      <c r="B6271" s="138">
        <f>'Acct Summary 7-8'!G82</f>
        <v>13017</v>
      </c>
      <c r="D6271" s="2" t="str">
        <f t="shared" ref="D6271:D6334" si="97">IF(ISBLANK(B6271),"OK",IF(A6271-B6271=0,"OK","Error?"))</f>
        <v>Error?</v>
      </c>
      <c r="E6271" s="2" t="s">
        <v>190</v>
      </c>
    </row>
    <row r="6272" spans="1:5" x14ac:dyDescent="0.2">
      <c r="A6272">
        <v>6211</v>
      </c>
      <c r="B6272" s="138">
        <f>'Acct Summary 7-8'!H82</f>
        <v>-13369</v>
      </c>
      <c r="D6272" s="2" t="str">
        <f t="shared" si="97"/>
        <v>Error?</v>
      </c>
      <c r="E6272" s="2" t="s">
        <v>190</v>
      </c>
    </row>
    <row r="6273" spans="1:5" x14ac:dyDescent="0.2">
      <c r="A6273">
        <v>6212</v>
      </c>
      <c r="B6273" s="138">
        <f>'Acct Summary 7-8'!I82</f>
        <v>27847</v>
      </c>
      <c r="D6273" s="2" t="str">
        <f t="shared" si="97"/>
        <v>Error?</v>
      </c>
      <c r="E6273" s="2" t="s">
        <v>190</v>
      </c>
    </row>
    <row r="6274" spans="1:5" x14ac:dyDescent="0.2">
      <c r="A6274">
        <v>6213</v>
      </c>
      <c r="B6274" s="138">
        <f>'Acct Summary 7-8'!J82</f>
        <v>29950</v>
      </c>
      <c r="D6274" s="2" t="str">
        <f t="shared" si="97"/>
        <v>Error?</v>
      </c>
      <c r="E6274" s="2" t="s">
        <v>190</v>
      </c>
    </row>
    <row r="6275" spans="1:5" x14ac:dyDescent="0.2">
      <c r="A6275">
        <v>6214</v>
      </c>
      <c r="B6275" s="138">
        <f>'Acct Summary 7-8'!K82</f>
        <v>-222104</v>
      </c>
      <c r="D6275" s="2" t="str">
        <f t="shared" si="97"/>
        <v>Error?</v>
      </c>
      <c r="E6275" s="2" t="s">
        <v>190</v>
      </c>
    </row>
    <row r="6276" spans="1:5" x14ac:dyDescent="0.2">
      <c r="A6276">
        <v>6215</v>
      </c>
      <c r="B6276" s="138">
        <f>'Acct Summary 7-8'!C83</f>
        <v>4.4509410218263143E-2</v>
      </c>
      <c r="D6276" s="2" t="str">
        <f t="shared" si="97"/>
        <v>Error?</v>
      </c>
      <c r="E6276" s="2" t="s">
        <v>190</v>
      </c>
    </row>
    <row r="6277" spans="1:5" x14ac:dyDescent="0.2">
      <c r="A6277">
        <v>6216</v>
      </c>
      <c r="B6277" s="138">
        <f>'Acct Summary 7-8'!D83</f>
        <v>0.16810843554459581</v>
      </c>
      <c r="D6277" s="2" t="str">
        <f t="shared" si="97"/>
        <v>Error?</v>
      </c>
      <c r="E6277" s="2" t="s">
        <v>190</v>
      </c>
    </row>
    <row r="6278" spans="1:5" x14ac:dyDescent="0.2">
      <c r="A6278">
        <v>6217</v>
      </c>
      <c r="B6278" s="138">
        <f>'Acct Summary 7-8'!E83</f>
        <v>3.5193245865644061E-2</v>
      </c>
      <c r="D6278" s="2" t="str">
        <f t="shared" si="97"/>
        <v>Error?</v>
      </c>
      <c r="E6278" s="2" t="s">
        <v>190</v>
      </c>
    </row>
    <row r="6279" spans="1:5" x14ac:dyDescent="0.2">
      <c r="A6279">
        <v>6218</v>
      </c>
      <c r="B6279" s="138">
        <f>'Acct Summary 7-8'!F83</f>
        <v>0.17791485773552373</v>
      </c>
      <c r="D6279" s="2" t="str">
        <f t="shared" si="97"/>
        <v>Error?</v>
      </c>
      <c r="E6279" s="2" t="s">
        <v>190</v>
      </c>
    </row>
    <row r="6280" spans="1:5" x14ac:dyDescent="0.2">
      <c r="A6280">
        <v>6219</v>
      </c>
      <c r="B6280" s="138">
        <f>'Acct Summary 7-8'!G83</f>
        <v>2.8717919302139339E-2</v>
      </c>
      <c r="D6280" s="2" t="str">
        <f t="shared" si="97"/>
        <v>Error?</v>
      </c>
      <c r="E6280" s="2" t="s">
        <v>190</v>
      </c>
    </row>
    <row r="6281" spans="1:5" x14ac:dyDescent="0.2">
      <c r="A6281">
        <v>6220</v>
      </c>
      <c r="B6281" s="138">
        <f>'Acct Summary 7-8'!H83</f>
        <v>-1.7602369980250165</v>
      </c>
      <c r="D6281" s="2" t="str">
        <f t="shared" si="97"/>
        <v>Error?</v>
      </c>
      <c r="E6281" s="2" t="s">
        <v>190</v>
      </c>
    </row>
    <row r="6282" spans="1:5" x14ac:dyDescent="0.2">
      <c r="A6282">
        <v>6221</v>
      </c>
      <c r="B6282" s="138">
        <f>'Acct Summary 7-8'!I83</f>
        <v>3.0304844073758073E-2</v>
      </c>
      <c r="D6282" s="2" t="str">
        <f t="shared" si="97"/>
        <v>Error?</v>
      </c>
      <c r="E6282" s="2" t="s">
        <v>190</v>
      </c>
    </row>
    <row r="6283" spans="1:5" x14ac:dyDescent="0.2">
      <c r="A6283">
        <v>6222</v>
      </c>
      <c r="B6283" s="138">
        <f>'Acct Summary 7-8'!J83</f>
        <v>6.9673361047589574E-2</v>
      </c>
      <c r="D6283" s="2" t="str">
        <f t="shared" si="97"/>
        <v>Error?</v>
      </c>
      <c r="E6283" s="2" t="s">
        <v>190</v>
      </c>
    </row>
    <row r="6284" spans="1:5" x14ac:dyDescent="0.2">
      <c r="A6284">
        <v>6223</v>
      </c>
      <c r="B6284" s="138">
        <f>'Acct Summary 7-8'!K83</f>
        <v>-0.2025278596172557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218394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218394</v>
      </c>
      <c r="D6301" s="2" t="str">
        <f t="shared" si="97"/>
        <v>Error?</v>
      </c>
      <c r="E6301" s="2" t="s">
        <v>190</v>
      </c>
    </row>
    <row r="6302" spans="1:5" x14ac:dyDescent="0.2">
      <c r="A6302">
        <v>6241</v>
      </c>
      <c r="B6302" s="138">
        <f>'Revenues 9-14'!J14</f>
        <v>267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267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4821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4821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6174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9045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6174</v>
      </c>
      <c r="D6351" s="2" t="str">
        <f t="shared" si="98"/>
        <v>Error?</v>
      </c>
      <c r="E6351" s="2" t="s">
        <v>190</v>
      </c>
    </row>
    <row r="6352" spans="1:5" x14ac:dyDescent="0.2">
      <c r="A6352">
        <v>6291</v>
      </c>
      <c r="B6352" s="138">
        <f>'Revenues 9-14'!J109</f>
        <v>229656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21523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187127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235677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26520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13875</v>
      </c>
      <c r="D6880" s="2" t="str">
        <f t="shared" si="106"/>
        <v>Error?</v>
      </c>
    </row>
    <row r="6881" spans="1:4" x14ac:dyDescent="0.2">
      <c r="A6881">
        <v>6820</v>
      </c>
      <c r="B6881" s="138">
        <f>'Expenditures 15-22'!K22</f>
        <v>13875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241</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241</v>
      </c>
      <c r="D6940" s="2" t="str">
        <f t="shared" si="107"/>
        <v>Error?</v>
      </c>
    </row>
    <row r="6941" spans="1:4" x14ac:dyDescent="0.2">
      <c r="A6941">
        <v>6880</v>
      </c>
      <c r="B6941" s="138">
        <f>'Expenditures 15-22'!L52</f>
        <v>20000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180842</v>
      </c>
      <c r="D6983" s="2" t="str">
        <f t="shared" si="108"/>
        <v>Error?</v>
      </c>
    </row>
    <row r="6984" spans="1:4" x14ac:dyDescent="0.2">
      <c r="A6984">
        <v>6923</v>
      </c>
      <c r="B6984" s="138">
        <f>'Expenditures 15-22'!K86</f>
        <v>180842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180842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199706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229656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11836</v>
      </c>
      <c r="D7073" s="2" t="str">
        <f t="shared" si="109"/>
        <v>Error?</v>
      </c>
    </row>
    <row r="7074" spans="1:4" x14ac:dyDescent="0.2">
      <c r="A7074">
        <v>7013</v>
      </c>
      <c r="B7074" s="138">
        <f>'Expenditures 15-22'!K216</f>
        <v>11836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337</v>
      </c>
      <c r="D7079" s="2" t="str">
        <f t="shared" si="109"/>
        <v>Error?</v>
      </c>
    </row>
    <row r="7080" spans="1:4" x14ac:dyDescent="0.2">
      <c r="A7080">
        <v>7019</v>
      </c>
      <c r="B7080" s="138">
        <f>'Expenditures 15-22'!K226</f>
        <v>337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14660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14660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151455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151455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6029</v>
      </c>
      <c r="D7174" s="2" t="str">
        <f t="shared" si="111"/>
        <v>Error?</v>
      </c>
    </row>
    <row r="7175" spans="1:4" x14ac:dyDescent="0.2">
      <c r="A7175">
        <v>7114</v>
      </c>
      <c r="B7175" s="138">
        <f>'Expenditures 15-22'!F325</f>
        <v>2301</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8330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25261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25261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197405</v>
      </c>
      <c r="D7201" s="2" t="str">
        <f t="shared" si="111"/>
        <v>Error?</v>
      </c>
    </row>
    <row r="7202" spans="1:4" x14ac:dyDescent="0.2">
      <c r="A7202">
        <v>7141</v>
      </c>
      <c r="B7202" s="138">
        <f>'Expenditures 15-22'!F330</f>
        <v>2301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199706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197405</v>
      </c>
      <c r="D7218" s="2" t="str">
        <f t="shared" si="111"/>
        <v>Error?</v>
      </c>
    </row>
    <row r="7219" spans="1:4" x14ac:dyDescent="0.2">
      <c r="A7219">
        <v>7158</v>
      </c>
      <c r="B7219" s="138">
        <f>'Expenditures 15-22'!F342</f>
        <v>2301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199706</v>
      </c>
      <c r="D7224" s="2" t="str">
        <f t="shared" si="111"/>
        <v>Error?</v>
      </c>
    </row>
    <row r="7225" spans="1:4" x14ac:dyDescent="0.2">
      <c r="A7225">
        <v>7164</v>
      </c>
      <c r="B7225" s="138">
        <f>'Expenditures 15-22'!K343</f>
        <v>29950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31118</v>
      </c>
      <c r="D7246" s="2" t="str">
        <f t="shared" si="112"/>
        <v>Error?</v>
      </c>
    </row>
    <row r="7247" spans="1:4" x14ac:dyDescent="0.2">
      <c r="A7247">
        <f t="shared" si="113"/>
        <v>7186</v>
      </c>
      <c r="B7247" s="138">
        <f>'Expenditures 15-22'!E7</f>
        <v>1084</v>
      </c>
      <c r="D7247" s="2" t="str">
        <f t="shared" si="112"/>
        <v>Error?</v>
      </c>
    </row>
    <row r="7248" spans="1:4" x14ac:dyDescent="0.2">
      <c r="A7248">
        <f t="shared" si="113"/>
        <v>7187</v>
      </c>
      <c r="B7248" s="138">
        <f>'Expenditures 15-22'!F7</f>
        <v>15669</v>
      </c>
      <c r="D7248" s="2" t="str">
        <f t="shared" si="112"/>
        <v>Error?</v>
      </c>
    </row>
    <row r="7249" spans="1:4" x14ac:dyDescent="0.2">
      <c r="A7249">
        <f t="shared" si="113"/>
        <v>7188</v>
      </c>
      <c r="B7249" s="138">
        <f>'Expenditures 15-22'!G7</f>
        <v>679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23273</v>
      </c>
      <c r="D7263" s="2" t="str">
        <f t="shared" si="112"/>
        <v>Error?</v>
      </c>
    </row>
    <row r="7264" spans="1:4" x14ac:dyDescent="0.2">
      <c r="A7264">
        <f t="shared" si="113"/>
        <v>7203</v>
      </c>
      <c r="B7264" s="138">
        <f>'Expenditures 15-22'!D17</f>
        <v>351</v>
      </c>
      <c r="D7264" s="2" t="str">
        <f t="shared" si="112"/>
        <v>Error?</v>
      </c>
    </row>
    <row r="7265" spans="1:5" x14ac:dyDescent="0.2">
      <c r="A7265">
        <f t="shared" si="113"/>
        <v>7204</v>
      </c>
      <c r="B7265" s="138">
        <f>'Expenditures 15-22'!E17</f>
        <v>2896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615067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20964</v>
      </c>
      <c r="D7708" s="2" t="str">
        <f t="shared" si="126"/>
        <v>Error?</v>
      </c>
      <c r="E7708" s="2" t="s">
        <v>827</v>
      </c>
    </row>
    <row r="7709" spans="1:5" x14ac:dyDescent="0.2">
      <c r="A7709">
        <v>7648</v>
      </c>
      <c r="B7709" s="138">
        <f>'Rest Tax Levies-Tort Im 25'!K3</f>
        <v>6064</v>
      </c>
      <c r="D7709" s="2" t="str">
        <f t="shared" si="126"/>
        <v>Error?</v>
      </c>
      <c r="E7709" s="2" t="s">
        <v>827</v>
      </c>
    </row>
    <row r="7710" spans="1:5" x14ac:dyDescent="0.2">
      <c r="A7710">
        <v>7649</v>
      </c>
      <c r="B7710" s="138">
        <f>'Rest Tax Levies-Tort Im 25'!J6</f>
        <v>239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9045</v>
      </c>
      <c r="D7712" s="2" t="str">
        <f t="shared" si="126"/>
        <v>Error?</v>
      </c>
      <c r="E7712" s="2" t="s">
        <v>827</v>
      </c>
    </row>
    <row r="7713" spans="1:6" x14ac:dyDescent="0.2">
      <c r="A7713">
        <v>7652</v>
      </c>
      <c r="B7713" s="138">
        <f>'Rest Tax Levies-Tort Im 25'!J8</f>
        <v>6392</v>
      </c>
      <c r="D7713" s="2" t="str">
        <f t="shared" si="126"/>
        <v>Error?</v>
      </c>
      <c r="E7713" s="2" t="s">
        <v>827</v>
      </c>
    </row>
    <row r="7714" spans="1:6" x14ac:dyDescent="0.2">
      <c r="A7714">
        <v>7653</v>
      </c>
      <c r="B7714" s="138">
        <f>'Rest Tax Levies-Tort Im 25'!K9</f>
        <v>10769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6631</v>
      </c>
      <c r="D7718" s="2" t="str">
        <f t="shared" si="126"/>
        <v>Error?</v>
      </c>
      <c r="E7718" s="2" t="s">
        <v>827</v>
      </c>
    </row>
    <row r="7719" spans="1:6" x14ac:dyDescent="0.2">
      <c r="A7719">
        <v>7658</v>
      </c>
      <c r="B7719" s="138">
        <f>'Rest Tax Levies-Tort Im 25'!K12</f>
        <v>19814</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23273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2605</v>
      </c>
      <c r="D7729" s="2" t="str">
        <f t="shared" si="126"/>
        <v>Error?</v>
      </c>
      <c r="E7729" s="2" t="s">
        <v>827</v>
      </c>
    </row>
    <row r="7730" spans="1:6" x14ac:dyDescent="0.2">
      <c r="A7730">
        <v>7669</v>
      </c>
      <c r="B7730" s="138">
        <f>'Rest Tax Levies-Tort Im 25'!J23</f>
        <v>20000</v>
      </c>
      <c r="D7730" s="2" t="str">
        <f t="shared" si="126"/>
        <v>Error?</v>
      </c>
      <c r="E7730" s="2" t="s">
        <v>827</v>
      </c>
    </row>
    <row r="7731" spans="1:6" x14ac:dyDescent="0.2">
      <c r="A7731">
        <v>7670</v>
      </c>
      <c r="B7731" s="138">
        <f>'Revenues 9-14'!H103</f>
        <v>6392</v>
      </c>
      <c r="D7731" s="2" t="str">
        <f t="shared" si="126"/>
        <v>Error?</v>
      </c>
      <c r="E7731" s="2" t="s">
        <v>827</v>
      </c>
    </row>
    <row r="7732" spans="1:6" x14ac:dyDescent="0.2">
      <c r="A7732">
        <v>7671</v>
      </c>
      <c r="B7732" s="138">
        <f>'Rest Tax Levies-Tort Im 25'!J24</f>
        <v>7595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7595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20000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29'!D28</f>
        <v>262904</v>
      </c>
      <c r="D7797" s="2" t="str">
        <f t="shared" si="127"/>
        <v>Error?</v>
      </c>
      <c r="E7797" s="4" t="s">
        <v>1903</v>
      </c>
    </row>
    <row r="7798" spans="1:5" x14ac:dyDescent="0.2">
      <c r="A7798">
        <v>7737</v>
      </c>
      <c r="B7798" s="138">
        <f>'Contracts Paid in CY 29'!F28</f>
        <v>25000</v>
      </c>
      <c r="D7798" s="2" t="str">
        <f t="shared" si="127"/>
        <v>Error?</v>
      </c>
      <c r="E7798" s="4" t="s">
        <v>1903</v>
      </c>
    </row>
    <row r="7799" spans="1:5" x14ac:dyDescent="0.2">
      <c r="A7799">
        <v>7738</v>
      </c>
      <c r="B7799" s="138">
        <f>'Contracts Paid in CY 29'!G28</f>
        <v>237904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97" sqref="B9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West Central CUSD 235</v>
      </c>
      <c r="B7" s="2405"/>
      <c r="C7" s="2405"/>
      <c r="D7" s="2406"/>
      <c r="E7" s="2407">
        <f>COVER!A13</f>
        <v>33036235026</v>
      </c>
      <c r="F7" s="2408"/>
      <c r="G7" s="2414">
        <f>COVER!T23</f>
        <v>60.008476000000002</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Cavanaugh, Davies, Blackman &amp; Cramblet, CPA's</v>
      </c>
      <c r="H9" s="2420"/>
      <c r="I9" s="2420"/>
      <c r="J9" s="2420"/>
      <c r="K9" s="2420"/>
      <c r="L9" s="2421"/>
    </row>
    <row r="10" spans="1:29" ht="13.5" customHeight="1" x14ac:dyDescent="0.2">
      <c r="A10" s="2394" t="str">
        <f>COVER!A38</f>
        <v>Mrs. Paula Markey</v>
      </c>
      <c r="B10" s="2395"/>
      <c r="C10" s="2395"/>
      <c r="D10" s="2395"/>
      <c r="E10" s="2395"/>
      <c r="F10" s="2396"/>
      <c r="G10" s="2388" t="str">
        <f>COVER!T17</f>
        <v>1021 North Main Street, PO Box 318</v>
      </c>
      <c r="H10" s="2389"/>
      <c r="I10" s="2389"/>
      <c r="J10" s="2389"/>
      <c r="K10" s="2389"/>
      <c r="L10" s="2390"/>
    </row>
    <row r="11" spans="1:29" ht="13.5" customHeight="1" x14ac:dyDescent="0.2">
      <c r="A11" s="1184" t="s">
        <v>1519</v>
      </c>
      <c r="B11" s="1185"/>
      <c r="C11" s="1186"/>
      <c r="D11" s="1191"/>
      <c r="E11" s="1186"/>
      <c r="F11" s="1190"/>
      <c r="G11" s="2388" t="str">
        <f>COVER!T19</f>
        <v>Monmouth</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cdbccpas@monmouthcpa.com</v>
      </c>
      <c r="J13" s="2401"/>
      <c r="K13" s="2401"/>
      <c r="L13" s="2402"/>
    </row>
    <row r="14" spans="1:29" ht="13.5" customHeight="1" x14ac:dyDescent="0.2">
      <c r="A14" s="2388" t="str">
        <f>COVER!A19</f>
        <v>1514 Old US Rt 34</v>
      </c>
      <c r="B14" s="2389"/>
      <c r="C14" s="2389"/>
      <c r="D14" s="2389"/>
      <c r="E14" s="2389"/>
      <c r="F14" s="2390"/>
      <c r="G14" s="1195" t="s">
        <v>1185</v>
      </c>
      <c r="H14" s="1193"/>
      <c r="I14" s="1193"/>
      <c r="J14" s="1193"/>
      <c r="K14" s="1193"/>
      <c r="L14" s="1194"/>
    </row>
    <row r="15" spans="1:29" ht="13.5" customHeight="1" x14ac:dyDescent="0.2">
      <c r="A15" s="2388" t="str">
        <f>COVER!A21</f>
        <v>Biggsville</v>
      </c>
      <c r="B15" s="2389"/>
      <c r="C15" s="2389"/>
      <c r="D15" s="2389"/>
      <c r="E15" s="2389"/>
      <c r="F15" s="2390"/>
      <c r="G15" s="2385" t="str">
        <f>COVER!T15</f>
        <v>Rod Davies</v>
      </c>
      <c r="H15" s="2386"/>
      <c r="I15" s="2386"/>
      <c r="J15" s="2386"/>
      <c r="K15" s="2386"/>
      <c r="L15" s="2387"/>
    </row>
    <row r="16" spans="1:29" ht="12.2" customHeight="1" x14ac:dyDescent="0.2">
      <c r="A16" s="2410">
        <f>COVER!A25</f>
        <v>61418</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309-734-2330</v>
      </c>
      <c r="H18" s="2405"/>
      <c r="I18" s="2405"/>
      <c r="J18" s="2405"/>
      <c r="K18" s="2404" t="str">
        <f>COVER!X21</f>
        <v>309-734-2349</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97" sqref="B97"/>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West Central CUSD 235</v>
      </c>
      <c r="B1" s="2403"/>
      <c r="C1" s="2403"/>
      <c r="D1" s="2403"/>
    </row>
    <row r="2" spans="1:11" s="1212" customFormat="1" ht="12.75" x14ac:dyDescent="0.2">
      <c r="A2" s="2427">
        <f>'Single Audit Cover'!E7</f>
        <v>33036235026</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97" sqref="B9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West Central CUSD 235</v>
      </c>
      <c r="B1" s="2430"/>
      <c r="C1" s="2430"/>
      <c r="D1" s="2430"/>
      <c r="E1" s="2430"/>
    </row>
    <row r="2" spans="1:5" x14ac:dyDescent="0.2">
      <c r="A2" s="2431">
        <f>'Single Audit Cover'!E7</f>
        <v>33036235026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412358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36384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-13068</v>
      </c>
    </row>
    <row r="19" spans="1:4" ht="13.5" thickBot="1" x14ac:dyDescent="0.25">
      <c r="A19" s="1262" t="s">
        <v>1235</v>
      </c>
      <c r="D19" s="1263">
        <f>SUM(D10:D17)</f>
        <v>435674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435674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435674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97" sqref="B9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West Central CUSD 235</v>
      </c>
      <c r="C1" s="2434"/>
      <c r="D1" s="2434"/>
      <c r="E1" s="2434"/>
      <c r="F1" s="2434"/>
      <c r="G1" s="2434"/>
      <c r="H1" s="2434"/>
      <c r="I1" s="2434"/>
      <c r="J1" s="2434"/>
      <c r="K1" s="2434"/>
      <c r="L1" s="2434"/>
      <c r="M1" s="2434"/>
    </row>
    <row r="2" spans="2:14" ht="15" x14ac:dyDescent="0.2">
      <c r="B2" s="2435">
        <f>'Single Audit Cover'!E7</f>
        <v>33036235026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B97" sqref="B9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West Central CUSD 235</v>
      </c>
      <c r="B1" s="2447"/>
      <c r="C1" s="2447"/>
      <c r="D1" s="2447"/>
      <c r="E1" s="2447"/>
      <c r="F1" s="2447"/>
    </row>
    <row r="2" spans="1:7" ht="13.5" customHeight="1" x14ac:dyDescent="0.2">
      <c r="A2" s="2435">
        <f>'Single Audit Cover'!E7</f>
        <v>33036235026</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4" t="s">
        <v>1270</v>
      </c>
      <c r="D15" s="2444" t="s">
        <v>1269</v>
      </c>
      <c r="E15" s="2444"/>
      <c r="F15" s="2444"/>
    </row>
    <row r="16" spans="1:7" ht="13.5" customHeight="1" x14ac:dyDescent="0.2">
      <c r="A16" s="1279"/>
      <c r="B16" s="1273" t="s">
        <v>1268</v>
      </c>
      <c r="C16" s="1844" t="s">
        <v>1267</v>
      </c>
      <c r="D16" s="2445" t="s">
        <v>1588</v>
      </c>
      <c r="E16" s="2445"/>
      <c r="F16" s="2445"/>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0" t="s">
        <v>1732</v>
      </c>
      <c r="B32" s="2440"/>
      <c r="C32" s="2440"/>
      <c r="D32" s="2440"/>
      <c r="E32" s="2440"/>
      <c r="F32" s="2440"/>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1">
        <f>+C33+C34</f>
        <v>0</v>
      </c>
      <c r="F34" s="2442"/>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3"/>
      <c r="C50" s="1843"/>
      <c r="D50" s="1843"/>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97" sqref="B9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West Central CUSD 235</v>
      </c>
      <c r="C1" s="2462"/>
      <c r="D1" s="2462"/>
      <c r="E1" s="2462"/>
      <c r="F1" s="2462"/>
      <c r="G1" s="2462"/>
      <c r="H1" s="2462"/>
      <c r="I1" s="2462"/>
      <c r="J1" s="1406"/>
    </row>
    <row r="2" spans="2:10" s="317" customFormat="1" ht="12.75" customHeight="1" x14ac:dyDescent="0.2">
      <c r="B2" s="2463">
        <f>'Single Audit Cover'!E7</f>
        <v>33036235026</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0</v>
      </c>
      <c r="H43" s="2453"/>
      <c r="I43" s="2453"/>
    </row>
    <row r="44" spans="2:9" ht="12.75" customHeight="1" x14ac:dyDescent="0.2"/>
    <row r="45" spans="2:9" ht="12.75" customHeight="1" x14ac:dyDescent="0.2">
      <c r="B45" s="1419" t="s">
        <v>2062</v>
      </c>
      <c r="D45" s="2454">
        <v>0</v>
      </c>
      <c r="E45" s="245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6"/>
      <c r="F49" s="2456"/>
      <c r="G49" s="245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B97" sqref="B9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West Central CUSD 235</v>
      </c>
      <c r="C1" s="2461"/>
      <c r="D1" s="2461"/>
      <c r="E1" s="2461"/>
      <c r="F1" s="2461"/>
      <c r="G1" s="2461"/>
      <c r="H1" s="2461"/>
      <c r="I1" s="2461"/>
      <c r="J1" s="2461"/>
      <c r="K1" s="2461"/>
      <c r="L1" s="1371"/>
      <c r="M1" s="1371"/>
    </row>
    <row r="2" spans="1:13" ht="12" customHeight="1" x14ac:dyDescent="0.2">
      <c r="B2" s="2463">
        <f>'Single Audit Cover'!E7</f>
        <v>33036235026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55.5" customHeight="1" x14ac:dyDescent="0.2">
      <c r="B14" s="2476" t="s">
        <v>2087</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2088</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2089</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2090</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2091</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2092</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B97" sqref="B9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West Central CUSD 235</v>
      </c>
      <c r="C1" s="2461"/>
      <c r="D1" s="2461"/>
      <c r="E1" s="2461"/>
      <c r="F1" s="2461"/>
      <c r="G1" s="2461"/>
      <c r="H1" s="2461"/>
      <c r="I1" s="2461"/>
      <c r="J1" s="2461"/>
      <c r="K1" s="2461"/>
      <c r="L1" s="1371"/>
      <c r="M1" s="1371"/>
    </row>
    <row r="2" spans="1:13" ht="12" customHeight="1" x14ac:dyDescent="0.2">
      <c r="B2" s="2463">
        <f>'Single Audit Cover'!E7</f>
        <v>33036235026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t="s">
        <v>2065</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2128</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2129</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2131</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2130</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2142</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97" sqref="B9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West Central CUSD 235</v>
      </c>
      <c r="C1" s="2461"/>
      <c r="D1" s="2461"/>
      <c r="E1" s="2461"/>
      <c r="F1" s="2461"/>
      <c r="G1" s="2461"/>
      <c r="H1" s="2461"/>
      <c r="I1" s="2461"/>
      <c r="J1" s="2461"/>
      <c r="K1" s="2461"/>
      <c r="L1" s="1371"/>
      <c r="M1" s="1371"/>
    </row>
    <row r="2" spans="1:13" ht="12" customHeight="1" x14ac:dyDescent="0.2">
      <c r="B2" s="2463">
        <f>'Single Audit Cover'!E7</f>
        <v>33036235026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3</v>
      </c>
      <c r="E10" s="322"/>
      <c r="F10" s="1384" t="s">
        <v>1295</v>
      </c>
      <c r="G10" s="1385" t="s">
        <v>2065</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2136</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2141</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2137</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2138</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97" sqref="B9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West Central CUSD 235</v>
      </c>
      <c r="C1" s="2461"/>
      <c r="D1" s="2461"/>
      <c r="E1" s="1469"/>
    </row>
    <row r="2" spans="2:5" s="1279" customFormat="1" ht="12.75" customHeight="1" x14ac:dyDescent="0.2">
      <c r="B2" s="2463">
        <f>'Single Audit Cover'!E7</f>
        <v>33036235026</v>
      </c>
      <c r="C2" s="2463"/>
      <c r="D2" s="2463"/>
      <c r="E2" s="1470"/>
    </row>
    <row r="3" spans="2:5" ht="12.75" customHeight="1" x14ac:dyDescent="0.2">
      <c r="B3" s="2477" t="s">
        <v>1766</v>
      </c>
      <c r="C3" s="2477"/>
      <c r="D3" s="2477"/>
      <c r="E3" s="1271"/>
    </row>
    <row r="4" spans="2:5" s="1279" customFormat="1" ht="12.75" customHeight="1" x14ac:dyDescent="0.2">
      <c r="B4" s="2481" t="str">
        <f>'Single Audit Cover'!A4</f>
        <v>Year Ending June 30, 2019</v>
      </c>
      <c r="C4" s="2481"/>
      <c r="D4" s="248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2093</v>
      </c>
      <c r="C7" s="324" t="s">
        <v>2094</v>
      </c>
      <c r="D7" s="324" t="s">
        <v>2095</v>
      </c>
      <c r="E7" s="324"/>
    </row>
    <row r="8" spans="2:5" ht="13.5" customHeight="1" x14ac:dyDescent="0.2">
      <c r="B8" s="1474"/>
      <c r="C8" s="324"/>
      <c r="D8" s="324" t="s">
        <v>2096</v>
      </c>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B97" sqref="B9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West Central CUSD 235</v>
      </c>
      <c r="C1" s="2485"/>
      <c r="D1" s="2485"/>
      <c r="E1" s="2485"/>
      <c r="F1" s="2485"/>
      <c r="G1" s="2485"/>
      <c r="H1" s="2485"/>
      <c r="I1" s="2485"/>
      <c r="J1" s="2485"/>
      <c r="K1" s="2485"/>
      <c r="L1" s="1449"/>
    </row>
    <row r="2" spans="1:12" ht="12.75" customHeight="1" x14ac:dyDescent="0.2">
      <c r="B2" s="2486">
        <f>'Single Audit Cover'!E7</f>
        <v>33036235026</v>
      </c>
      <c r="C2" s="2486"/>
      <c r="D2" s="2486"/>
      <c r="E2" s="2486"/>
      <c r="F2" s="2486"/>
      <c r="G2" s="2486"/>
      <c r="H2" s="2486"/>
      <c r="I2" s="2486"/>
      <c r="J2" s="2486"/>
      <c r="K2" s="2486"/>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purl.org/dc/terms/"/>
    <ds:schemaRef ds:uri="4d435f69-8686-490b-bd6d-b153bf22ab50"/>
    <ds:schemaRef ds:uri="http://schemas.microsoft.com/office/2006/documentManagement/typ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SSPAF</vt:lpstr>
      <vt:lpstr>SF&amp;QC Sec-3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2019-10-09T13:56:29Z</cp:lastPrinted>
  <dcterms:created xsi:type="dcterms:W3CDTF">2003-10-29T19:06:34Z</dcterms:created>
  <dcterms:modified xsi:type="dcterms:W3CDTF">2019-11-19T21:07:35Z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