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68AB92B-1297-41E3-9DA6-8A5C338523C7}"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5" i="181" l="1"/>
  <c r="F25" i="181" s="1"/>
  <c r="G25" i="181" s="1"/>
  <c r="E24" i="181"/>
  <c r="F24" i="181" s="1"/>
  <c r="G24" i="181" s="1"/>
  <c r="F31" i="181" l="1"/>
  <c r="F30" i="181"/>
  <c r="F29" i="181"/>
  <c r="F28" i="181"/>
  <c r="F27"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0" i="181"/>
  <c r="E30" i="181"/>
  <c r="G29" i="181"/>
  <c r="E29" i="181"/>
  <c r="G31" i="181"/>
  <c r="E31" i="181"/>
  <c r="E28" i="181"/>
  <c r="E27" i="181"/>
  <c r="G27" i="181" s="1"/>
  <c r="E26" i="181"/>
  <c r="E23" i="181"/>
  <c r="E22" i="181"/>
  <c r="E21" i="181"/>
  <c r="E20" i="181"/>
  <c r="F20" i="181" s="1"/>
  <c r="E19" i="181"/>
  <c r="F19" i="181" s="1"/>
  <c r="F26" i="181" l="1"/>
  <c r="G26" i="181" s="1"/>
  <c r="F23" i="181"/>
  <c r="G23" i="181" s="1"/>
  <c r="F22" i="181"/>
  <c r="G22" i="181" s="1"/>
  <c r="F21" i="181"/>
  <c r="G21" i="181" s="1"/>
  <c r="G28" i="181"/>
  <c r="G20" i="181"/>
  <c r="G19" i="181"/>
  <c r="D32" i="181"/>
  <c r="D80" i="36" l="1"/>
  <c r="B7797" i="106"/>
  <c r="E32" i="181"/>
  <c r="E18" i="181"/>
  <c r="F18" i="181" s="1"/>
  <c r="E17" i="181"/>
  <c r="F17" i="181" s="1"/>
  <c r="G17" i="181" l="1"/>
  <c r="G18" i="181"/>
  <c r="G32" i="181" s="1"/>
  <c r="G40" i="108" l="1"/>
  <c r="B7799" i="106"/>
  <c r="F3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E27" i="108"/>
  <c r="G27" i="108"/>
  <c r="F31" i="108"/>
  <c r="G28" i="108"/>
  <c r="G30" i="108"/>
  <c r="D31" i="108"/>
  <c r="E31" i="108"/>
  <c r="G31" i="108"/>
  <c r="E33"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L22" i="37"/>
  <c r="D24" i="37"/>
  <c r="B4270" i="106" s="1"/>
  <c r="D4270" i="106" s="1"/>
  <c r="F72" i="34" l="1"/>
  <c r="F71" i="34"/>
  <c r="F67" i="34"/>
  <c r="F37" i="34"/>
  <c r="G35" i="108"/>
  <c r="F27" i="108"/>
  <c r="F41" i="108" s="1"/>
  <c r="G43" i="108" s="1"/>
  <c r="J352" i="29"/>
  <c r="J367" i="29" s="1"/>
  <c r="B7245" i="106" s="1"/>
  <c r="B7076" i="106"/>
  <c r="D7076" i="106" s="1"/>
  <c r="F28" i="108"/>
  <c r="J41" i="3"/>
  <c r="B6216" i="106" s="1"/>
  <c r="D6216" i="106" s="1"/>
  <c r="C342" i="29"/>
  <c r="B7216" i="106" s="1"/>
  <c r="D7216" i="106" s="1"/>
  <c r="E38" i="108"/>
  <c r="D36" i="108"/>
  <c r="F36" i="108"/>
  <c r="F34" i="34"/>
  <c r="H28" i="118"/>
  <c r="E35" i="108"/>
  <c r="G29" i="108"/>
  <c r="J210" i="29"/>
  <c r="B7072" i="106" s="1"/>
  <c r="D7072" i="106" s="1"/>
  <c r="G15" i="145"/>
  <c r="F70" i="34"/>
  <c r="L367" i="29"/>
  <c r="F19" i="7"/>
  <c r="B1807" i="106" s="1"/>
  <c r="D1807" i="106" s="1"/>
  <c r="F50" i="34"/>
  <c r="G26" i="108"/>
  <c r="I210" i="29"/>
  <c r="B7071" i="106" s="1"/>
  <c r="D7071" i="106" s="1"/>
  <c r="H112" i="29"/>
  <c r="B7018" i="106" s="1"/>
  <c r="D7018" i="106" s="1"/>
  <c r="J77" i="4"/>
  <c r="B6262" i="106" s="1"/>
  <c r="D6262" i="106" s="1"/>
  <c r="K184" i="29"/>
  <c r="F13" i="4" s="1"/>
  <c r="B2596" i="106" s="1"/>
  <c r="D2596" i="106" s="1"/>
  <c r="G210" i="29"/>
  <c r="C129" i="29"/>
  <c r="C151" i="29" s="1"/>
  <c r="B1226" i="106" s="1"/>
  <c r="D1226" i="106" s="1"/>
  <c r="L5" i="11"/>
  <c r="B2056" i="106" s="1"/>
  <c r="D2056" i="106" s="1"/>
  <c r="D7245" i="106"/>
  <c r="D6103" i="106"/>
  <c r="H365" i="29"/>
  <c r="B7242" i="106" s="1"/>
  <c r="D7242"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K365" i="29" l="1"/>
  <c r="D7254" i="106"/>
  <c r="J16" i="4"/>
  <c r="B6226" i="106" s="1"/>
  <c r="D6226" i="106" s="1"/>
  <c r="D7250" i="106"/>
  <c r="L16" i="11"/>
  <c r="B2061" i="106" s="1"/>
  <c r="D2061" i="106" s="1"/>
  <c r="N23" i="3"/>
  <c r="B284" i="106" s="1"/>
  <c r="D284" i="106" s="1"/>
  <c r="L114" i="29"/>
  <c r="B1225" i="106"/>
  <c r="D1225" i="106" s="1"/>
  <c r="D51" i="36"/>
  <c r="C114" i="29"/>
  <c r="B757" i="106" s="1"/>
  <c r="D757" i="106" s="1"/>
  <c r="D44" i="36"/>
  <c r="B1365" i="106"/>
  <c r="D1365" i="106" s="1"/>
  <c r="F65" i="34"/>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K17" i="4"/>
  <c r="K19" i="4" s="1"/>
  <c r="B4144" i="106" s="1"/>
  <c r="D4144" i="106" s="1"/>
  <c r="D8" i="146"/>
  <c r="J20" i="4"/>
  <c r="B6230" i="106" s="1"/>
  <c r="D6230" i="106" s="1"/>
  <c r="J19" i="4"/>
  <c r="B6229" i="106" s="1"/>
  <c r="D6229"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<sst xmlns="http://schemas.openxmlformats.org/spreadsheetml/2006/main" count="5079" uniqueCount="2101">
  <si>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</si>
  <si>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</si>
  <si>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</si>
  <si>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</si>
  <si>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</si>
  <si>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</si>
  <si>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</si>
  <si>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</si>
  <si>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</si>
  <si>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</si>
  <si>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</si>
  <si>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</si>
  <si>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</si>
  <si>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</si>
  <si>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</si>
  <si>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</si>
  <si>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</si>
  <si>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</si>
  <si>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</si>
  <si>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</si>
  <si>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</si>
  <si>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</si>
  <si>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</si>
  <si>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</si>
  <si>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</si>
  <si>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</si>
  <si>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</si>
  <si>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</si>
  <si>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</si>
  <si>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</si>
  <si>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</si>
  <si>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</si>
  <si>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</si>
  <si>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</si>
  <si>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</si>
  <si>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</si>
  <si>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</si>
  <si>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</si>
  <si>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</si>
  <si>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</si>
  <si>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</si>
  <si>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</si>
  <si>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</si>
  <si>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</si>
  <si>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</si>
  <si>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</si>
  <si>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</si>
  <si>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</si>
  <si>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</si>
  <si>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</si>
  <si>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</si>
  <si>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</si>
  <si>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</si>
  <si>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</si>
  <si>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</si>
  <si>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</si>
  <si>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</si>
  <si>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</si>
  <si>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</si>
  <si>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</si>
  <si>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</si>
  <si>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</si>
  <si>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</si>
  <si>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</si>
  <si>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</si>
  <si>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</si>
  <si>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</si>
  <si>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</si>
  <si>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</si>
  <si>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</si>
  <si>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</si>
  <si>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</si>
  <si>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</si>
  <si>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</si>
  <si>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</si>
  <si>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</si>
  <si>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</si>
  <si>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</si>
  <si>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</si>
  <si>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</si>
  <si>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</si>
  <si>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</si>
  <si>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</si>
  <si>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</si>
  <si>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</si>
  <si>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</si>
  <si>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</si>
  <si>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</si>
  <si>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</si>
  <si>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</si>
  <si>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</si>
  <si>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</si>
  <si>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</si>
  <si>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</si>
  <si>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</si>
  <si>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</si>
  <si>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</si>
  <si>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</si>
  <si>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</si>
  <si>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</si>
  <si>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</si>
  <si>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</si>
  <si>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</si>
  <si>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</si>
  <si>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</si>
  <si>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</si>
  <si>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</si>
  <si>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</si>
  <si>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</si>
  <si>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</si>
  <si>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</si>
  <si>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</si>
  <si>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</si>
  <si>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</si>
  <si>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</si>
  <si>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</si>
  <si>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</si>
  <si>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</si>
  <si>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</si>
  <si>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</si>
  <si>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</si>
  <si>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</si>
  <si>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</si>
  <si>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</si>
  <si>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</si>
  <si>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</si>
  <si>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</si>
  <si>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</si>
  <si>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</si>
  <si>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</si>
  <si>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</si>
  <si>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</si>
  <si>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</si>
  <si>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</si>
  <si>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</si>
  <si>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</si>
  <si>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</si>
  <si>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</si>
  <si>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</si>
  <si>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</si>
  <si>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</si>
  <si>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</si>
  <si>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</si>
  <si>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</si>
  <si>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</si>
  <si>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</si>
  <si>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</si>
  <si>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</si>
  <si>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</si>
  <si>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</si>
  <si>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</si>
  <si>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</si>
  <si>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</si>
  <si>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</si>
  <si>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</si>
  <si>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</si>
  <si>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</si>
  <si>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</si>
  <si>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</si>
  <si>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</si>
  <si>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</si>
  <si>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</si>
  <si>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</si>
  <si>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</si>
  <si>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</si>
  <si>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</si>
  <si>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</si>
  <si>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</si>
  <si>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</si>
  <si>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</si>
  <si>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</si>
  <si>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</si>
  <si>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</si>
  <si>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</si>
  <si>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</si>
  <si>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</si>
  <si>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</si>
  <si>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</si>
  <si>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</si>
  <si>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</si>
  <si>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</si>
  <si>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</si>
  <si>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</si>
  <si>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</si>
  <si>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</si>
  <si>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</si>
  <si>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</si>
  <si>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</si>
  <si>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</si>
  <si>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</si>
  <si>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</si>
  <si>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</si>
  <si>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</si>
  <si>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</si>
  <si>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</si>
  <si>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</si>
  <si>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</si>
  <si>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</si>
  <si>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</si>
  <si>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</si>
  <si>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</si>
  <si>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</si>
  <si>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</si>
  <si>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</si>
  <si>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</si>
  <si>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</si>
  <si>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</si>
  <si>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</si>
  <si>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</si>
  <si>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</si>
  <si>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</si>
  <si>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</si>
  <si>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</si>
  <si>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</si>
  <si>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</si>
  <si>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</si>
  <si>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</si>
  <si>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</si>
  <si>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</si>
  <si>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</si>
  <si>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</si>
  <si>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</si>
  <si>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</si>
  <si>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</si>
  <si>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</si>
  <si>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</si>
  <si>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</si>
  <si>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</si>
  <si>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</si>
  <si>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</si>
  <si>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</si>
  <si>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</si>
  <si>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</si>
  <si>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</si>
  <si>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</si>
  <si>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</si>
  <si>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</si>
  <si>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</si>
  <si>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</si>
  <si>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</si>
  <si>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</si>
  <si>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</si>
  <si>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</si>
  <si>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</si>
  <si>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</si>
  <si>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</si>
  <si>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</si>
  <si>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</si>
  <si>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</si>
  <si>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</si>
  <si>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</si>
  <si>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</si>
  <si>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</si>
  <si>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</si>
  <si>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</si>
  <si>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</si>
  <si>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</si>
  <si>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</si>
  <si>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</si>
  <si>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</si>
  <si>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</si>
  <si>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</si>
  <si>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</si>
  <si>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</si>
  <si>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</si>
  <si>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</si>
  <si>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</si>
  <si>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</si>
  <si>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</si>
  <si>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</si>
  <si>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</si>
  <si>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</si>
  <si>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</si>
  <si>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</si>
  <si>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</si>
  <si>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</si>
  <si>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</si>
  <si>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</si>
  <si>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</si>
  <si>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</si>
  <si>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</si>
  <si>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</si>
  <si>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</si>
  <si>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</si>
  <si>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</si>
  <si>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</si>
  <si>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</si>
  <si>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</si>
  <si>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</si>
  <si>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</si>
  <si>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</si>
  <si>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</si>
  <si>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</si>
  <si>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</si>
  <si>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</si>
  <si>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</si>
  <si>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</si>
  <si>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</si>
  <si>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</si>
  <si>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</si>
  <si>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</si>
  <si>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</si>
  <si>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</si>
  <si>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</si>
  <si>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</si>
  <si>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</si>
  <si>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</si>
  <si>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</si>
  <si>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</si>
  <si>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</si>
  <si>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</si>
  <si>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</si>
  <si>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</si>
  <si>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</si>
  <si>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</si>
  <si>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</si>
  <si>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</si>
  <si>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</si>
  <si>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</si>
  <si>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</si>
  <si>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</si>
  <si>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</si>
  <si>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</si>
  <si>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</si>
  <si>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</si>
  <si>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</si>
  <si>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</si>
  <si>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</si>
  <si>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</si>
  <si>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</si>
  <si>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</si>
  <si>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</si>
  <si>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</si>
  <si>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</si>
  <si>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</si>
  <si>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</si>
  <si>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</si>
  <si>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</si>
  <si>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</si>
  <si>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</si>
  <si>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</si>
  <si>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</si>
  <si>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</si>
  <si>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</si>
  <si>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</si>
  <si>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</si>
  <si>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</si>
  <si>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</si>
  <si>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</si>
  <si>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</si>
  <si>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</si>
  <si>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</si>
  <si>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</si>
  <si>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</si>
  <si>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</si>
  <si>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</si>
  <si>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</si>
  <si>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</si>
  <si>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</si>
  <si>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</si>
  <si>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</si>
  <si>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</si>
  <si>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</si>
  <si>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</si>
  <si>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</si>
  <si>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</si>
  <si>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</si>
  <si>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</si>
  <si>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</si>
  <si>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</si>
  <si>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</si>
  <si>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</si>
  <si>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</si>
  <si>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</si>
  <si>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</si>
  <si>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</si>
  <si>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</si>
  <si>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</si>
  <si>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</si>
  <si>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</si>
  <si>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</si>
  <si>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</si>
  <si>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</si>
  <si>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</si>
  <si>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</si>
  <si>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</si>
  <si>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</si>
  <si>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</si>
  <si>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</si>
  <si>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</si>
  <si>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</si>
  <si>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</si>
  <si>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</si>
  <si>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</si>
  <si>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</si>
  <si>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</si>
  <si>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</si>
  <si>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</si>
  <si>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</si>
  <si>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</si>
  <si>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</si>
  <si>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</si>
  <si>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</si>
  <si>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</si>
  <si>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</si>
  <si>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</si>
  <si>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</si>
  <si>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</si>
  <si>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</si>
  <si>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</si>
  <si>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</si>
  <si>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</si>
  <si>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</si>
  <si>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</si>
  <si>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</si>
  <si>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</si>
  <si>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</si>
  <si>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</si>
  <si>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</si>
  <si>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</si>
  <si>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</si>
  <si>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</si>
  <si>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</si>
  <si>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</si>
  <si>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</si>
  <si>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</si>
  <si>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</si>
  <si>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</si>
  <si>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</si>
  <si>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</si>
  <si>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</si>
  <si>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</si>
  <si>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</si>
  <si>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</si>
  <si>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</si>
  <si>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</si>
  <si>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</si>
  <si>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</si>
  <si>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</si>
  <si>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</si>
  <si>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</si>
  <si>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</si>
  <si>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</si>
  <si>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</si>
  <si>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</si>
  <si>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</si>
  <si>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</si>
  <si>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</si>
  <si>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</si>
  <si>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</si>
  <si>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</si>
  <si>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</si>
  <si>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</si>
  <si>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</si>
  <si>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</si>
  <si>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</si>
  <si>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</si>
  <si>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</si>
  <si>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</si>
  <si>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</si>
  <si>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</si>
  <si>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</si>
  <si>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</si>
  <si>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</si>
  <si>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</si>
  <si>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</si>
  <si>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</si>
  <si>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</si>
  <si>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</si>
  <si>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</si>
  <si>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</si>
  <si>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</si>
  <si>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</si>
  <si>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</si>
  <si>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</si>
  <si>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</si>
  <si>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</si>
  <si>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</si>
  <si>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</si>
  <si>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</si>
  <si>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</si>
  <si>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</si>
  <si>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</si>
  <si>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</si>
  <si>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</si>
  <si>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</si>
  <si>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</si>
  <si>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</si>
  <si>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</si>
  <si>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</si>
  <si>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</si>
  <si>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</si>
  <si>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</si>
  <si>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</si>
  <si>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</si>
  <si>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</si>
  <si>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</si>
  <si>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</si>
  <si>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</si>
  <si>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</si>
  <si>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</si>
  <si>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</si>
  <si>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</si>
  <si>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</si>
  <si>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</si>
  <si>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</si>
  <si>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</si>
  <si>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</si>
  <si>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</si>
  <si>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</si>
  <si>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</si>
  <si>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</si>
  <si>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</si>
  <si>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</si>
  <si>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</si>
  <si>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</si>
  <si>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</si>
  <si>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</si>
  <si>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</si>
  <si>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</si>
  <si>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</si>
  <si>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</si>
  <si>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</si>
  <si>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</si>
  <si>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</si>
  <si>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</si>
  <si>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</si>
  <si>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</si>
  <si>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</si>
  <si>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</si>
  <si>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</si>
  <si>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</si>
  <si>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</si>
  <si>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</si>
  <si>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</si>
  <si>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</si>
  <si>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</si>
  <si>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</si>
  <si>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</si>
  <si>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</si>
  <si>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</si>
  <si>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</si>
  <si>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</si>
  <si>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</si>
  <si>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</si>
  <si>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</si>
  <si>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</si>
  <si>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</si>
  <si>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</si>
  <si>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</si>
  <si>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</si>
  <si>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</si>
  <si>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</si>
  <si>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</si>
  <si>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</si>
  <si>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</si>
  <si>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</si>
  <si>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</si>
  <si>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</si>
  <si>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</si>
  <si>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</si>
  <si>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</si>
  <si>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</si>
  <si>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</si>
  <si>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</si>
  <si>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</si>
  <si>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</si>
  <si>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</si>
  <si>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</si>
  <si>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</si>
  <si>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</si>
  <si>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</si>
  <si>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</si>
  <si>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</si>
  <si>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</si>
  <si>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</si>
  <si>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</si>
  <si>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</si>
  <si>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</si>
  <si>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</si>
  <si>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</si>
  <si>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</si>
  <si>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</si>
  <si>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</si>
  <si>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</si>
  <si>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</si>
  <si>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</si>
  <si>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</si>
  <si>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</si>
  <si>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</si>
  <si>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</si>
  <si>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</si>
  <si>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</si>
  <si>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</si>
  <si>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</si>
  <si>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</si>
  <si>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</si>
  <si>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</si>
  <si>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</si>
  <si>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</si>
  <si>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</si>
  <si>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</si>
  <si>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</si>
  <si>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</si>
  <si>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</si>
  <si>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</si>
  <si>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</si>
  <si>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</si>
  <si>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</si>
  <si>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</si>
  <si>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</si>
  <si>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</si>
  <si>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</si>
  <si>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</si>
  <si>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</si>
  <si>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</si>
  <si>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</si>
  <si>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</si>
  <si>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</si>
  <si>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</si>
  <si>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</si>
  <si>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</si>
  <si>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</si>
  <si>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</si>
  <si>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</si>
  <si>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</si>
  <si>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</si>
  <si>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</si>
  <si>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</si>
  <si>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</si>
  <si>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</si>
  <si>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</si>
  <si>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</si>
  <si>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</si>
  <si>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</si>
  <si>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</si>
  <si>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</si>
  <si>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</si>
  <si>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</si>
  <si>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</si>
  <si>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</si>
  <si>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</si>
  <si>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</si>
  <si>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</si>
  <si>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</si>
  <si>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</si>
  <si>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</si>
  <si>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</si>
  <si>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</si>
  <si>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</si>
  <si>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</si>
  <si>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</si>
  <si>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</si>
  <si>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</si>
  <si>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</si>
  <si>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</si>
  <si>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</si>
  <si>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</si>
  <si>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</si>
  <si>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</si>
  <si>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</si>
  <si>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</si>
  <si>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</si>
  <si>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</si>
  <si>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</si>
  <si>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</si>
  <si>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</si>
  <si>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</si>
  <si>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</si>
  <si>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</si>
  <si>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</si>
  <si>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</si>
  <si>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</si>
  <si>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</si>
  <si>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</si>
  <si>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</si>
  <si>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</si>
  <si>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</si>
  <si>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</si>
  <si>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</si>
  <si>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</si>
  <si>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</si>
  <si>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</si>
  <si>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</si>
  <si>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</si>
  <si>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</si>
  <si>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</si>
  <si>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</si>
  <si>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</si>
  <si>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</si>
  <si>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</si>
  <si>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</si>
  <si>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</si>
  <si>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</si>
  <si>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</si>
  <si>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</si>
  <si>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</si>
  <si>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</si>
  <si>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</si>
  <si>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</si>
  <si>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</si>
  <si>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</si>
  <si>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</si>
  <si>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</si>
  <si>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</si>
  <si>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</si>
  <si>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</si>
  <si>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</si>
  <si>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</si>
  <si>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</si>
  <si>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</si>
  <si>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</si>
  <si>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</si>
  <si>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</si>
  <si>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</si>
  <si>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</si>
  <si>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</si>
  <si>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</si>
  <si>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</si>
  <si>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</si>
  <si>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</si>
  <si>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</si>
  <si>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</si>
  <si>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</si>
  <si>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</si>
  <si>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</si>
  <si>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</si>
  <si>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</si>
  <si>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</si>
  <si>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</si>
  <si>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</si>
  <si>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</si>
  <si>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</si>
  <si>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</si>
  <si>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</si>
  <si>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</si>
  <si>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</si>
  <si>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</si>
  <si>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</si>
  <si>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</si>
  <si>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</si>
  <si>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</si>
  <si>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</si>
  <si>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</si>
  <si>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</si>
  <si>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</si>
  <si>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</si>
  <si>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</si>
  <si>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</si>
  <si>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</si>
  <si>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</si>
  <si>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</si>
  <si>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</si>
  <si>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</si>
  <si>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</si>
  <si>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</si>
  <si>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</si>
  <si>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</si>
  <si>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</si>
  <si>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</si>
  <si>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</si>
  <si>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</si>
  <si>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</si>
  <si>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</si>
  <si>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</si>
  <si>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</si>
  <si>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</si>
  <si>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</si>
  <si>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</si>
  <si>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</si>
  <si>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</si>
  <si>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</si>
  <si>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</si>
  <si>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</si>
  <si>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</si>
  <si>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</si>
  <si>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</si>
  <si>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</si>
  <si>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</si>
  <si>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</si>
  <si>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</si>
  <si>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</si>
  <si>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</si>
  <si>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</si>
  <si>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</si>
  <si>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</si>
  <si>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</si>
  <si>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</si>
  <si>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</si>
  <si>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</si>
  <si>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</si>
  <si>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</si>
  <si>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</si>
  <si>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</si>
  <si>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</si>
  <si>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</si>
  <si>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</si>
  <si>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</si>
  <si>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</si>
  <si>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</si>
  <si>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</si>
  <si>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</si>
  <si>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</si>
  <si>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</si>
  <si>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</si>
  <si>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</si>
  <si>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</si>
  <si>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</si>
  <si>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</si>
  <si>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</si>
  <si>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</si>
  <si>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</si>
  <si>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</si>
  <si>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</si>
  <si>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</si>
  <si>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</si>
  <si>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</si>
  <si>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</si>
  <si>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</si>
  <si>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</si>
  <si>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</si>
  <si>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</si>
  <si>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</si>
  <si>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</si>
  <si>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</si>
  <si>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</si>
  <si>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</si>
  <si>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</si>
  <si>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</si>
  <si>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</si>
  <si>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</si>
  <si>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</si>
  <si>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</si>
  <si>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</si>
  <si>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</si>
  <si>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</si>
  <si>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</si>
  <si>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</si>
  <si>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</si>
  <si>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</si>
  <si>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</si>
  <si>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</si>
  <si>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</si>
  <si>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</si>
  <si>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</si>
  <si>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</si>
  <si>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</si>
  <si>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</si>
  <si>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</si>
  <si>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</si>
  <si>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</si>
  <si>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</si>
  <si>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</si>
  <si>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</si>
  <si>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</si>
  <si>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</si>
  <si>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</si>
  <si>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</si>
  <si>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</si>
  <si>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</si>
  <si>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</si>
  <si>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</si>
  <si>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</si>
  <si>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</si>
  <si>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</si>
  <si>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</si>
  <si>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</si>
  <si>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</si>
  <si>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</si>
  <si>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</si>
  <si>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</si>
  <si>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</si>
  <si>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</si>
  <si>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</si>
  <si>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</si>
  <si>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</si>
  <si>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</si>
  <si>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</si>
  <si>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</si>
  <si>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</si>
  <si>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</si>
  <si>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</si>
  <si>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</si>
  <si>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</si>
  <si>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</si>
  <si>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</si>
  <si>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</si>
  <si>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</si>
  <si>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</si>
  <si>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</si>
  <si>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</si>
  <si>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</si>
  <si>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</si>
  <si>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</si>
  <si>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</si>
  <si>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</si>
  <si>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</si>
  <si>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</si>
  <si>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</si>
  <si>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</si>
  <si>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</si>
  <si>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</si>
  <si>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</si>
  <si>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</si>
  <si>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</si>
  <si>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</si>
  <si>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</si>
  <si>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</si>
  <si>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</si>
  <si>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</si>
  <si>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</si>
  <si>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</si>
  <si>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</si>
  <si>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</si>
  <si>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</si>
  <si>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</si>
  <si>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</si>
  <si>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</si>
  <si>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</si>
  <si>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</si>
  <si>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</si>
  <si>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</si>
  <si>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</si>
  <si>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</si>
  <si>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</si>
  <si>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</si>
  <si>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</si>
  <si>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</si>
  <si>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</si>
  <si>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</si>
  <si>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</si>
  <si>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</si>
  <si>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</si>
  <si>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</si>
  <si>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</si>
  <si>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</si>
  <si>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</si>
  <si>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</si>
  <si>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</si>
  <si>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</si>
  <si>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</si>
  <si>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</si>
  <si>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</si>
  <si>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</si>
  <si>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</si>
  <si>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</si>
  <si>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</si>
  <si>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</si>
  <si>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</si>
  <si>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</si>
  <si>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</si>
  <si>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</si>
  <si>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</si>
  <si>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</si>
  <si>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</si>
  <si>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</si>
  <si>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</si>
  <si>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</si>
  <si>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</si>
  <si>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</si>
  <si>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</si>
  <si>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</si>
  <si>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</si>
  <si>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</si>
  <si>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</si>
  <si>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</si>
  <si>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</si>
  <si>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</si>
  <si>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</si>
  <si>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</si>
  <si>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</si>
  <si>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</si>
  <si>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</si>
  <si>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</si>
  <si>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</si>
  <si>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</si>
  <si>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</si>
  <si>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</si>
  <si>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</si>
  <si>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</si>
  <si>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</si>
  <si>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</si>
  <si>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</si>
  <si>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</si>
  <si>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</si>
  <si>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</si>
  <si>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</si>
  <si>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</si>
  <si>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</si>
  <si>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</si>
  <si>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</si>
  <si>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</si>
  <si>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</si>
  <si>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</si>
  <si>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</si>
  <si>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</si>
  <si>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</si>
  <si>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</si>
  <si>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</si>
  <si>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</si>
  <si>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</si>
  <si>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</si>
  <si>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</si>
  <si>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</si>
  <si>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</si>
  <si>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</si>
  <si>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</si>
  <si>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</si>
  <si>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</si>
  <si>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</si>
  <si>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</si>
  <si>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</si>
  <si>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</si>
  <si>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</si>
  <si>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</si>
  <si>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</si>
  <si>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</si>
  <si>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</si>
  <si>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</si>
  <si>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</si>
  <si>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</si>
  <si>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</si>
  <si>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</si>
  <si>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</si>
  <si>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</si>
  <si>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</si>
  <si>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</si>
  <si>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</si>
  <si>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</si>
  <si>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</si>
  <si>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</si>
  <si>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</si>
  <si>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</si>
  <si>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</si>
  <si>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</si>
  <si>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</si>
  <si>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</si>
  <si>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</si>
  <si>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</si>
  <si>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</si>
  <si>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</si>
  <si>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</si>
  <si>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</si>
  <si>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</si>
  <si>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</si>
  <si>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</si>
  <si>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</si>
  <si>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</si>
  <si>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</si>
  <si>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</si>
  <si>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</si>
  <si>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</si>
  <si>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</si>
  <si>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</si>
  <si>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</si>
  <si>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</si>
  <si>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</si>
  <si>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</si>
  <si>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</si>
  <si>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</si>
  <si>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</si>
  <si>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</si>
  <si>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</si>
  <si>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</si>
  <si>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</si>
  <si>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</si>
  <si>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</si>
  <si>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</si>
  <si>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</si>
  <si>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</si>
  <si>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</si>
  <si>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</si>
  <si>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</si>
  <si>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</si>
  <si>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</si>
  <si>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</si>
  <si>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</si>
  <si>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</si>
  <si>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</si>
  <si>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</si>
  <si>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</si>
  <si>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</si>
  <si>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</si>
  <si>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</si>
  <si>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</si>
  <si>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</si>
  <si>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</si>
  <si>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</si>
  <si>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</si>
  <si>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</si>
  <si>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</si>
  <si>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</si>
  <si>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</si>
  <si>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</si>
  <si>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</si>
  <si>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</si>
  <si>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</si>
  <si>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</si>
  <si>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</si>
  <si>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</si>
  <si>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</si>
  <si>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</si>
  <si>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</si>
  <si>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</si>
  <si>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</si>
  <si>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</si>
  <si>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</si>
  <si>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</si>
  <si>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</si>
  <si>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</si>
  <si>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</si>
  <si>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</si>
  <si>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</si>
  <si>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</si>
  <si>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</si>
  <si>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</si>
  <si>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</si>
  <si>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</si>
  <si>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</si>
  <si>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</si>
  <si>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</si>
  <si>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</si>
  <si>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</si>
  <si>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</si>
  <si>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</si>
  <si>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</si>
  <si>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</si>
  <si>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</si>
  <si>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</si>
  <si>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</si>
  <si>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</si>
  <si>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</si>
  <si>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</si>
  <si>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</si>
  <si>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</si>
  <si>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</si>
  <si>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</si>
  <si>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</si>
  <si>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</si>
  <si>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</si>
  <si>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</si>
  <si>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</si>
  <si>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</si>
  <si>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</si>
  <si>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</si>
  <si>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</si>
  <si>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</si>
  <si>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</si>
  <si>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</si>
  <si>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</si>
  <si>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</si>
  <si>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</si>
  <si>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</si>
  <si>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</si>
  <si>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</si>
  <si>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</si>
  <si>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</si>
  <si>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</si>
  <si>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</si>
  <si>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</si>
  <si>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</si>
  <si>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</si>
  <si>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</si>
  <si>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</si>
  <si>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</si>
  <si>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</si>
  <si>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</si>
  <si>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</si>
  <si>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</si>
  <si>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</si>
  <si>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</si>
  <si>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</si>
  <si>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</si>
  <si>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</si>
  <si>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</si>
  <si>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</si>
  <si>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</si>
  <si>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</si>
  <si>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</si>
  <si>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</si>
  <si>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</si>
  <si>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</si>
  <si>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</si>
  <si>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</si>
  <si>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</si>
  <si>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</si>
  <si>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</si>
  <si>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</si>
  <si>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</si>
  <si>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</si>
  <si>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</si>
  <si>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</si>
  <si>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</si>
  <si>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</si>
  <si>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</si>
  <si>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</si>
  <si>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</si>
  <si>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</si>
  <si>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</si>
  <si>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</si>
  <si>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</si>
  <si>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</si>
  <si>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</si>
  <si>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</si>
  <si>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</si>
  <si>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</si>
  <si>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</si>
  <si>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</si>
  <si>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</si>
  <si>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</si>
  <si>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</si>
  <si>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</si>
  <si>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</si>
  <si>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</si>
  <si>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</si>
  <si>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</si>
  <si>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</si>
  <si>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</si>
  <si>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</si>
  <si>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</si>
  <si>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</si>
  <si>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</si>
  <si>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</si>
  <si>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</si>
  <si>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</si>
  <si>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</si>
  <si>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</si>
  <si>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</si>
  <si>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</si>
  <si>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</si>
  <si>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</si>
  <si>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</si>
  <si>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</si>
  <si>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</si>
  <si>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</si>
  <si>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</si>
  <si>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</si>
  <si>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</si>
  <si>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</si>
  <si>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</si>
  <si>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</si>
  <si>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</si>
  <si>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</si>
  <si>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</si>
  <si>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</si>
  <si>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</si>
  <si>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</si>
  <si>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</si>
  <si>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</si>
  <si>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</si>
  <si>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</si>
  <si>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</si>
  <si>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</si>
  <si>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</si>
  <si>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</si>
  <si>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</si>
  <si>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</si>
  <si>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</si>
  <si>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</si>
  <si>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</si>
  <si>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</si>
  <si>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</si>
  <si>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</si>
  <si>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</si>
  <si>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</si>
  <si>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</si>
  <si>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</si>
  <si>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</si>
  <si>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</si>
  <si>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</si>
  <si>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</si>
  <si>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</si>
  <si>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</si>
  <si>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</si>
  <si>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</si>
  <si>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</si>
  <si>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</si>
  <si>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</si>
  <si>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</si>
  <si>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</si>
  <si>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</si>
  <si>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</si>
  <si>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</si>
  <si>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</si>
  <si>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</si>
  <si>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</si>
  <si>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</si>
  <si>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</si>
  <si>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</si>
  <si>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</si>
  <si>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</si>
  <si>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</si>
  <si>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</si>
  <si>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</si>
  <si>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</si>
  <si>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</si>
  <si>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</si>
  <si>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</si>
  <si>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</si>
  <si>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</si>
  <si>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</si>
  <si>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</si>
  <si>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</si>
  <si>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</si>
  <si>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</si>
  <si>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</si>
  <si>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</si>
  <si>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</si>
  <si>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</si>
  <si>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</si>
  <si>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</si>
  <si>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</si>
  <si>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</si>
  <si>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</si>
  <si>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</si>
  <si>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</si>
  <si>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</si>
  <si>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</si>
  <si>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</si>
  <si>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</si>
  <si>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</si>
  <si>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</si>
  <si>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</si>
  <si>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</si>
  <si>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</si>
  <si>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</si>
  <si>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</si>
  <si>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</si>
  <si>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</si>
  <si>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</si>
  <si>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</si>
  <si>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</si>
  <si>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</si>
  <si>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</si>
  <si>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</si>
  <si>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</si>
  <si>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</si>
  <si>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</si>
  <si>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</si>
  <si>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</si>
  <si>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</si>
  <si>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</si>
  <si>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</si>
  <si>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</si>
  <si>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</si>
  <si>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</si>
  <si>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</si>
  <si>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</si>
  <si>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</si>
  <si>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</si>
  <si>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</si>
  <si>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</si>
  <si>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</si>
  <si>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</si>
  <si>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</si>
  <si>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</si>
  <si>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</si>
  <si>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</si>
  <si>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</si>
  <si>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</si>
  <si>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</si>
  <si>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</si>
  <si>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</si>
  <si>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</si>
  <si>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</si>
  <si>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</si>
  <si>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</si>
  <si>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</si>
  <si>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</si>
  <si>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</si>
  <si>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</si>
  <si>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</si>
  <si>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</si>
  <si>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</si>
  <si>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</si>
  <si>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</si>
  <si>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</si>
  <si>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</si>
  <si>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</si>
  <si>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</si>
  <si>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</si>
  <si>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</si>
  <si>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</si>
  <si>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</si>
  <si>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</si>
  <si>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</si>
  <si>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</si>
  <si>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</si>
  <si>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</si>
  <si>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</si>
  <si>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</si>
  <si>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</si>
  <si>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</si>
  <si>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</si>
  <si>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</si>
  <si>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</si>
  <si>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</si>
  <si>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</si>
  <si>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</si>
  <si>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</si>
  <si>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</si>
  <si>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</si>
  <si>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</si>
  <si>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</si>
  <si>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</si>
  <si>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</si>
  <si>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</si>
  <si>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</si>
  <si>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</si>
  <si>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</si>
  <si>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</si>
  <si>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</si>
  <si>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</si>
  <si>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</si>
  <si>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</si>
  <si>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</si>
  <si>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</si>
  <si>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</si>
  <si>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</si>
  <si>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</si>
  <si>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</si>
  <si>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</si>
  <si>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</si>
  <si>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</si>
  <si>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</si>
  <si>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</si>
  <si>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</si>
  <si>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</si>
  <si>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</si>
  <si>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</si>
  <si>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</si>
  <si>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</si>
  <si>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</si>
  <si>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</si>
  <si>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</si>
  <si>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</si>
  <si>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</si>
  <si>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</si>
  <si>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</si>
  <si>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</si>
  <si>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</si>
  <si>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</si>
  <si>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</si>
  <si>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</si>
  <si>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</si>
  <si>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</si>
  <si>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</si>
  <si>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</si>
  <si>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</si>
  <si>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</si>
  <si>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</si>
  <si>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</si>
  <si>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</si>
  <si>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</si>
  <si>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</si>
  <si>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</si>
  <si>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</si>
  <si>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</si>
  <si>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</si>
  <si>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</si>
  <si>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</si>
  <si>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</si>
  <si>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</si>
  <si>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</si>
  <si>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</si>
  <si>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</si>
  <si>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</si>
  <si>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</si>
  <si>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</si>
  <si>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</si>
  <si>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</si>
  <si>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</si>
  <si>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</si>
  <si>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</si>
  <si>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</si>
  <si>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</si>
  <si>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</si>
  <si>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</si>
  <si>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</si>
  <si>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</si>
  <si>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</si>
  <si>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</si>
  <si>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</si>
  <si>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</si>
  <si>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</si>
  <si>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</si>
  <si>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</si>
  <si>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</si>
  <si>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</si>
  <si>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</si>
  <si>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</si>
  <si>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</si>
  <si>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</si>
  <si>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</si>
  <si>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</si>
  <si>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</si>
  <si>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</si>
  <si>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</si>
  <si>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</si>
  <si>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</si>
  <si>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</si>
  <si>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</si>
  <si>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</si>
  <si>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</si>
  <si>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</si>
  <si>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</si>
  <si>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</si>
  <si>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</si>
  <si>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</si>
  <si>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</si>
  <si>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</si>
  <si>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</si>
  <si>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</si>
  <si>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</si>
  <si>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</si>
  <si>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</si>
  <si>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</si>
  <si>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</si>
  <si>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</si>
  <si>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</si>
  <si>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</si>
  <si>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</si>
  <si>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</si>
  <si>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</si>
  <si>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</si>
  <si>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</si>
  <si>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</si>
  <si>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</si>
  <si>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</si>
  <si>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</si>
  <si>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</si>
  <si>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</si>
  <si>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</si>
  <si>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</si>
  <si>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</si>
  <si>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</si>
  <si>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</si>
  <si>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</si>
  <si>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</si>
  <si>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</si>
  <si>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</si>
  <si>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</si>
  <si>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</si>
  <si>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</si>
  <si>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</si>
  <si>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</si>
  <si>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</si>
  <si>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</si>
  <si>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</si>
  <si>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</si>
  <si>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</si>
  <si>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</si>
  <si>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</si>
  <si>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</si>
  <si>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</si>
  <si>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</si>
  <si>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</si>
  <si>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</si>
  <si>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</si>
  <si>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</si>
  <si>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</si>
  <si>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</si>
  <si>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</si>
  <si>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</si>
  <si>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</si>
  <si>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</si>
  <si>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</si>
  <si>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</si>
  <si>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</si>
  <si>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</si>
  <si>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</si>
  <si>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</si>
  <si>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</si>
  <si>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</si>
  <si>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</si>
  <si>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</si>
  <si>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</si>
  <si>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</si>
  <si>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</si>
  <si>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</si>
  <si>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</si>
  <si>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</si>
  <si>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</si>
  <si>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</si>
  <si>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</si>
  <si>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</si>
  <si>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</si>
  <si>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</si>
  <si>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</si>
  <si>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</si>
  <si>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</si>
  <si>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</si>
  <si>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</si>
  <si>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</si>
  <si>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</si>
  <si>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</si>
  <si>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</si>
  <si>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</si>
  <si>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</si>
  <si>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</si>
  <si>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</si>
  <si>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</si>
  <si>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</si>
  <si>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</si>
  <si>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</si>
  <si>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</si>
  <si>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</si>
  <si>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</si>
  <si>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</si>
  <si>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</si>
  <si>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</si>
  <si>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</si>
  <si>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</si>
  <si>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</si>
  <si>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</si>
  <si>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</si>
  <si>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</si>
  <si>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</si>
  <si>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</si>
  <si>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</si>
  <si>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</si>
  <si>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</si>
  <si>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</si>
  <si>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</si>
  <si>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</si>
  <si>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</si>
  <si>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</si>
  <si>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</si>
  <si>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</si>
  <si>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</si>
  <si>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</si>
  <si>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</si>
  <si>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</si>
  <si>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</si>
  <si>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</si>
  <si>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</si>
  <si>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</si>
  <si>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</si>
  <si>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</si>
  <si>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</si>
  <si>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</si>
  <si>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</si>
  <si>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</si>
  <si>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</si>
  <si>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</si>
  <si>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</si>
  <si>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</si>
  <si>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</si>
  <si>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</si>
  <si>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</si>
  <si>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</si>
  <si>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</si>
  <si>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</si>
  <si>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</si>
  <si>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</si>
  <si>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</si>
  <si>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</si>
  <si>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</si>
  <si>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</si>
  <si>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</si>
  <si>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</si>
  <si>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</si>
  <si>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</si>
  <si>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</si>
  <si>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</si>
  <si>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</si>
  <si>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</si>
  <si>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</si>
  <si>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</si>
  <si>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</si>
  <si>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</si>
  <si>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</si>
  <si>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</si>
  <si>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</si>
  <si>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</si>
  <si>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</si>
  <si>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</si>
  <si>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</si>
  <si>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</si>
  <si>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</si>
  <si>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</si>
  <si>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</si>
  <si>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</si>
  <si>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</si>
  <si>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</si>
  <si>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</si>
  <si>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</si>
  <si>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</si>
  <si>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</si>
  <si>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</si>
  <si>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</si>
  <si>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</si>
  <si>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</si>
  <si>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</si>
  <si>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</si>
  <si>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</si>
  <si>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</si>
  <si>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</si>
  <si>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</si>
  <si>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</si>
  <si>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</si>
  <si>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</si>
  <si>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</si>
  <si>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</si>
  <si>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</si>
  <si>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</si>
  <si>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</si>
  <si>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</si>
  <si>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</si>
  <si>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</si>
  <si>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</si>
  <si>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</si>
  <si>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</si>
  <si>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</si>
  <si>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</si>
  <si>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</si>
  <si>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</si>
  <si>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</si>
  <si>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</si>
  <si>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</si>
  <si>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</si>
  <si>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</si>
  <si>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</si>
  <si>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</si>
  <si>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</si>
  <si>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</si>
  <si>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</si>
  <si>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</si>
  <si>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</si>
  <si>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</si>
  <si>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</si>
  <si>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</si>
  <si>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</si>
  <si>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</si>
  <si>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</si>
  <si>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</si>
  <si>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</si>
  <si>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</si>
  <si>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</si>
  <si>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</si>
  <si>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</si>
  <si>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</si>
  <si>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</si>
  <si>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</si>
  <si>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</si>
  <si>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</si>
  <si>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</si>
  <si>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</si>
  <si>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</si>
  <si>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</si>
  <si>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</si>
  <si>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</si>
  <si>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</si>
  <si>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</si>
  <si>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</si>
  <si>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</si>
  <si>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</si>
  <si>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</si>
  <si>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</si>
  <si>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</si>
  <si>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</si>
  <si>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</si>
  <si>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</si>
  <si>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</si>
  <si>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</si>
  <si>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</si>
  <si>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</si>
  <si>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</si>
  <si>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</si>
  <si>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</si>
  <si>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</si>
  <si>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</si>
  <si>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</si>
  <si>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</si>
  <si>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</si>
  <si>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</si>
  <si>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</si>
  <si>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</si>
  <si>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</si>
  <si>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</si>
  <si>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</si>
  <si>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</si>
  <si>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</si>
  <si>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</si>
  <si>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</si>
  <si>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</si>
  <si>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</si>
  <si>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</si>
  <si>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</si>
  <si>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</si>
  <si>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</si>
  <si>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</si>
  <si>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</si>
  <si>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</si>
  <si>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</si>
  <si>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</si>
  <si>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</si>
  <si>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</si>
  <si>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</si>
  <si>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</si>
  <si>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</si>
  <si>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</si>
  <si>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</si>
  <si>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</si>
  <si>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</si>
  <si>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</si>
  <si>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</si>
  <si>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</si>
  <si>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</si>
  <si>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</si>
  <si>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</si>
  <si>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</si>
  <si>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</si>
  <si>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</si>
  <si>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</si>
  <si>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</si>
  <si>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</si>
  <si>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</si>
  <si>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</si>
  <si>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</si>
  <si>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</si>
  <si>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</si>
  <si>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</si>
  <si>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</si>
  <si>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</si>
  <si>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</si>
  <si>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</si>
  <si>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</si>
  <si>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</si>
  <si>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</si>
  <si>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</si>
  <si>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</si>
  <si>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</si>
  <si>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</si>
  <si>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</si>
  <si>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</si>
  <si>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</si>
  <si>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</si>
  <si>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</si>
  <si>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</si>
  <si>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</si>
  <si>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</si>
  <si>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</si>
  <si>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</si>
  <si>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</si>
  <si>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</si>
  <si>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</si>
  <si>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</si>
  <si>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</si>
  <si>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</si>
  <si>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</si>
  <si>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</si>
  <si>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</si>
  <si>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</si>
  <si>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</si>
  <si>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</si>
  <si>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</si>
  <si>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</si>
  <si>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</si>
  <si>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</si>
  <si>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</si>
  <si>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</si>
  <si>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</si>
  <si>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</si>
  <si>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</si>
  <si>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</si>
  <si>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</si>
  <si>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</si>
  <si>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</si>
  <si>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</si>
  <si>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</si>
  <si>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</si>
  <si>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</si>
  <si>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</si>
  <si>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</si>
  <si>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</si>
  <si>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</si>
  <si>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</si>
  <si>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</si>
  <si>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</si>
  <si>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</si>
  <si>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</si>
  <si>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</si>
  <si>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</si>
  <si>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</si>
  <si>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</si>
  <si>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</si>
  <si>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</si>
  <si>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</si>
  <si>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</si>
  <si>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</si>
  <si>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</si>
  <si>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</si>
  <si>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</si>
  <si>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</si>
  <si>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</si>
  <si>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</si>
  <si>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</si>
  <si>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</si>
  <si>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</si>
  <si>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</si>
  <si>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</si>
  <si>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</si>
  <si>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</si>
  <si>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</si>
  <si>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</si>
  <si>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</si>
  <si>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</si>
  <si>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</si>
  <si>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</si>
  <si>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</si>
  <si>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</si>
  <si>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</si>
  <si>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</si>
  <si>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</si>
  <si>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</si>
  <si>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</si>
  <si>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</si>
  <si>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</si>
  <si>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</si>
  <si>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</si>
  <si>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</si>
  <si>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</si>
  <si>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</si>
  <si>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</si>
  <si>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</si>
  <si>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</si>
  <si>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</si>
  <si>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</si>
  <si>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</si>
  <si>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</si>
  <si>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</si>
  <si>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</si>
  <si>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</si>
  <si>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</si>
  <si>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</si>
  <si>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</si>
  <si>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</si>
  <si>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</si>
  <si>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</si>
  <si>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</si>
  <si>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</si>
  <si>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</si>
  <si>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</si>
  <si>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</si>
  <si>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</si>
  <si>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</si>
  <si>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</si>
  <si>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</si>
  <si>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</si>
  <si>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</si>
  <si>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</si>
  <si>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</si>
  <si>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</si>
  <si>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</si>
  <si>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</si>
  <si>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</si>
  <si>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</si>
  <si>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</si>
  <si>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</si>
  <si>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</si>
  <si>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</si>
  <si>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</si>
  <si>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</si>
  <si>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</si>
  <si>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</si>
  <si>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</si>
  <si>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</si>
  <si>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</si>
  <si>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</si>
  <si>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</si>
  <si>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</si>
  <si>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</si>
  <si>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</si>
  <si>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</si>
  <si>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</si>
  <si>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</si>
  <si>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</si>
  <si>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</si>
  <si>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</si>
  <si>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</si>
  <si>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</si>
  <si>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</si>
  <si>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</si>
  <si>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</si>
  <si>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</si>
  <si>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</si>
  <si>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</si>
  <si>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</si>
  <si>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</si>
  <si>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</si>
  <si>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</si>
  <si>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</si>
  <si>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</si>
  <si>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</si>
  <si>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</si>
  <si>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</si>
  <si>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</si>
  <si>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</si>
  <si>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</si>
  <si>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</si>
  <si>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</si>
  <si>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</si>
  <si>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</si>
  <si>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</si>
  <si>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</si>
  <si>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</si>
  <si>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</si>
  <si>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</si>
  <si>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</si>
  <si>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</si>
  <si>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</si>
  <si>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</si>
  <si>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</si>
  <si>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</si>
  <si>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</si>
  <si>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</si>
  <si>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</si>
  <si>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</si>
  <si>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</si>
  <si>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</si>
  <si>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</si>
  <si>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</si>
  <si>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</si>
  <si>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</si>
  <si>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</si>
  <si>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</si>
  <si>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</si>
  <si>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</si>
  <si>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</si>
  <si>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</si>
  <si>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</si>
  <si>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</si>
  <si>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</si>
  <si>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</si>
  <si>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</si>
  <si>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</si>
  <si>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</si>
  <si>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</si>
  <si>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</si>
  <si>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</si>
  <si>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</si>
  <si>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</si>
  <si>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</si>
  <si>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</si>
  <si>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</si>
  <si>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</si>
  <si>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</si>
  <si>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</si>
  <si>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</si>
  <si>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</si>
  <si>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</si>
  <si>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</si>
  <si>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</si>
  <si>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</si>
  <si>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</si>
  <si>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</si>
  <si>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</si>
  <si>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</si>
  <si>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</si>
  <si>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</si>
  <si>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</si>
  <si>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</si>
  <si>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</si>
  <si>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</si>
  <si>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Kankakee</t>
  </si>
  <si>
    <t>x</t>
  </si>
  <si>
    <t>4120 S. Wheeler Road</t>
  </si>
  <si>
    <t>Hopkins Park</t>
  </si>
  <si>
    <t>malexander@pembroke.k12.ilus</t>
  </si>
  <si>
    <t>Dr. Marcus Alexander</t>
  </si>
  <si>
    <t>malexander@pembroke.k12.il.us</t>
  </si>
  <si>
    <t>815-944-5448</t>
  </si>
  <si>
    <t>815-944-6750</t>
  </si>
  <si>
    <t>Jodi K. Gill, CPA</t>
  </si>
  <si>
    <t>Jodi Gill</t>
  </si>
  <si>
    <t>33 N. Main St. Ste. #1</t>
  </si>
  <si>
    <t>Manteno</t>
  </si>
  <si>
    <t>Il</t>
  </si>
  <si>
    <t>815-468-8802</t>
  </si>
  <si>
    <t>815-468-8805</t>
  </si>
  <si>
    <t>jodi@jodigillcpa.com</t>
  </si>
  <si>
    <t>Page 2 - Part A, #1 - I could not verify that any school board member had filed an economic interest statement.</t>
  </si>
  <si>
    <t>Working Cash Bond</t>
  </si>
  <si>
    <t>ED-Fiscal Services - Purchased Services</t>
  </si>
  <si>
    <t>10-2520-300</t>
  </si>
  <si>
    <t>Burke, Montague &amp; Associates, LLC</t>
  </si>
  <si>
    <t>10-2560-300</t>
  </si>
  <si>
    <t>10-2540-300</t>
  </si>
  <si>
    <t>20-2540-300</t>
  </si>
  <si>
    <t>40-2550-300</t>
  </si>
  <si>
    <t>OBM - Operation &amp; Maint. Of Plant Services</t>
  </si>
  <si>
    <t>TRANS. - Pupil Transportation Services</t>
  </si>
  <si>
    <t>Blades of Glory</t>
  </si>
  <si>
    <t>KPI Electric</t>
  </si>
  <si>
    <t>Cloverleaf Farms</t>
  </si>
  <si>
    <t>Performance Foodservice-Chicago</t>
  </si>
  <si>
    <t>Friendly Signs</t>
  </si>
  <si>
    <t>Protection Associates</t>
  </si>
  <si>
    <t>Santander</t>
  </si>
  <si>
    <t>Pembroke CCSD 259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</si>
</sst>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142875</xdr:rowOff>
        </xdr:from>
        <xdr:to>
          <xdr:col>1</xdr:col>
          <xdr:colOff>962025</xdr:colOff>
          <xdr:row>5</xdr:row>
          <xdr:rowOff>19050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1</xdr:row>
          <xdr:rowOff>0</xdr:rowOff>
        </xdr:from>
        <xdr:to>
          <xdr:col>1</xdr:col>
          <xdr:colOff>2076450</xdr:colOff>
          <xdr:row>5</xdr:row>
          <xdr:rowOff>38100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1</xdr:row>
          <xdr:rowOff>19050</xdr:rowOff>
        </xdr:from>
        <xdr:to>
          <xdr:col>1</xdr:col>
          <xdr:colOff>3162300</xdr:colOff>
          <xdr:row>5</xdr:row>
          <xdr:rowOff>57150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topLeftCell="A6"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1" t="s">
        <v>405</v>
      </c>
      <c r="J1" s="1982"/>
      <c r="K1" s="1982"/>
      <c r="L1" s="1982"/>
      <c r="M1" s="1982"/>
      <c r="N1" s="1982"/>
      <c r="O1" s="1982"/>
      <c r="P1" s="1982"/>
      <c r="Q1" s="1982"/>
      <c r="R1" s="1982"/>
      <c r="S1" s="1982"/>
    </row>
    <row r="2" spans="1:28" ht="12" customHeight="1" x14ac:dyDescent="0.2">
      <c r="A2" s="47" t="s">
        <v>1991</v>
      </c>
      <c r="D2" s="48"/>
      <c r="I2" s="1983" t="s">
        <v>979</v>
      </c>
      <c r="J2" s="1982"/>
      <c r="K2" s="1982"/>
      <c r="L2" s="1982"/>
      <c r="M2" s="1982"/>
      <c r="N2" s="1982"/>
      <c r="O2" s="1982"/>
      <c r="P2" s="1982"/>
      <c r="Q2" s="1982"/>
      <c r="R2" s="1982"/>
      <c r="S2" s="1982"/>
    </row>
    <row r="3" spans="1:28" ht="12" customHeight="1" x14ac:dyDescent="0.2">
      <c r="A3" s="155" t="s">
        <v>1943</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0"/>
      <c r="V10" s="1990"/>
      <c r="W10" s="1990"/>
      <c r="X10" s="1990"/>
      <c r="Y10" s="1990"/>
      <c r="Z10" s="1990"/>
      <c r="AA10" s="1996"/>
    </row>
    <row r="11" spans="1:28" ht="14.25" customHeight="1" x14ac:dyDescent="0.2">
      <c r="A11" s="2014" t="s">
        <v>955</v>
      </c>
      <c r="B11" s="2015"/>
      <c r="C11" s="2015"/>
      <c r="D11" s="2015"/>
      <c r="E11" s="2015"/>
      <c r="F11" s="2015"/>
      <c r="G11" s="2015"/>
      <c r="H11" s="2016"/>
      <c r="I11" s="27"/>
      <c r="J11" s="74"/>
      <c r="K11" s="27"/>
      <c r="O11" s="148" t="s">
        <v>2066</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1">
        <v>32046259004</v>
      </c>
      <c r="B13" s="2002"/>
      <c r="C13" s="2002"/>
      <c r="D13" s="2002"/>
      <c r="E13" s="2002"/>
      <c r="F13" s="2002"/>
      <c r="G13" s="2002"/>
      <c r="H13" s="2003"/>
      <c r="I13" s="31"/>
      <c r="J13" s="30"/>
      <c r="K13" s="28"/>
      <c r="L13" s="30"/>
      <c r="M13" s="30"/>
      <c r="N13" s="30"/>
      <c r="O13" s="30"/>
      <c r="P13" s="30"/>
      <c r="Q13" s="30"/>
      <c r="R13" s="30"/>
      <c r="S13" s="30"/>
      <c r="T13" s="2020" t="s">
        <v>2074</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18"/>
      <c r="C15" s="2018"/>
      <c r="D15" s="2018"/>
      <c r="E15" s="2018"/>
      <c r="F15" s="2018"/>
      <c r="G15" s="2018"/>
      <c r="H15" s="2019"/>
      <c r="T15" s="2024" t="s">
        <v>2075</v>
      </c>
      <c r="U15" s="1969"/>
      <c r="V15" s="1969"/>
      <c r="W15" s="1969"/>
      <c r="X15" s="1969"/>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01" t="s">
        <v>2100</v>
      </c>
      <c r="B17" s="2002"/>
      <c r="C17" s="2002"/>
      <c r="D17" s="2002"/>
      <c r="E17" s="2002"/>
      <c r="F17" s="2002"/>
      <c r="G17" s="2002"/>
      <c r="H17" s="2003"/>
      <c r="T17" s="2031" t="s">
        <v>2076</v>
      </c>
      <c r="U17" s="2032"/>
      <c r="V17" s="2032"/>
      <c r="W17" s="2032"/>
      <c r="X17" s="2032"/>
      <c r="Y17" s="2032"/>
      <c r="Z17" s="2032"/>
      <c r="AA17" s="2033"/>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7" t="s">
        <v>2067</v>
      </c>
      <c r="B19" s="1961"/>
      <c r="C19" s="1961"/>
      <c r="D19" s="1961"/>
      <c r="E19" s="1961"/>
      <c r="F19" s="1961"/>
      <c r="G19" s="1961"/>
      <c r="H19" s="1941"/>
      <c r="I19" s="30"/>
      <c r="J19" s="99"/>
      <c r="K19" s="40"/>
      <c r="L19" s="38"/>
      <c r="M19" s="112" t="s">
        <v>315</v>
      </c>
      <c r="P19" s="27"/>
      <c r="Q19" s="27"/>
      <c r="R19" s="27"/>
      <c r="S19" s="31"/>
      <c r="T19" s="2017" t="s">
        <v>2077</v>
      </c>
      <c r="U19" s="1940"/>
      <c r="V19" s="1940"/>
      <c r="W19" s="1941"/>
      <c r="X19" s="2029" t="s">
        <v>2078</v>
      </c>
      <c r="Y19" s="2030"/>
      <c r="Z19" s="2027">
        <v>60950</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2068</v>
      </c>
      <c r="B21" s="1940"/>
      <c r="C21" s="1940"/>
      <c r="D21" s="1940"/>
      <c r="E21" s="1940"/>
      <c r="F21" s="1940"/>
      <c r="G21" s="1940"/>
      <c r="H21" s="1941"/>
      <c r="I21" s="1995" t="s">
        <v>678</v>
      </c>
      <c r="J21" s="1990"/>
      <c r="K21" s="1990"/>
      <c r="L21" s="1990"/>
      <c r="M21" s="1990"/>
      <c r="N21" s="1990"/>
      <c r="O21" s="1990"/>
      <c r="P21" s="1990"/>
      <c r="Q21" s="1990"/>
      <c r="R21" s="1990"/>
      <c r="S21" s="1996"/>
      <c r="T21" s="2038" t="s">
        <v>2079</v>
      </c>
      <c r="U21" s="2039"/>
      <c r="V21" s="2039"/>
      <c r="W21" s="2039"/>
      <c r="X21" s="2044" t="s">
        <v>2080</v>
      </c>
      <c r="Y21" s="2045"/>
      <c r="Z21" s="2045"/>
      <c r="AA21" s="2046"/>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2069</v>
      </c>
      <c r="B23" s="1993"/>
      <c r="C23" s="1993"/>
      <c r="D23" s="1993"/>
      <c r="E23" s="1993"/>
      <c r="F23" s="1993"/>
      <c r="G23" s="1993"/>
      <c r="H23" s="1994"/>
      <c r="T23" s="1975">
        <v>65.023278000000005</v>
      </c>
      <c r="U23" s="2037"/>
      <c r="V23" s="2037"/>
      <c r="W23" s="2037"/>
      <c r="X23" s="2041">
        <v>44469</v>
      </c>
      <c r="Y23" s="2042"/>
      <c r="Z23" s="2042"/>
      <c r="AA23" s="2043"/>
    </row>
    <row r="24" spans="1:27" ht="14.1" customHeight="1" x14ac:dyDescent="0.2">
      <c r="A24" s="88" t="s">
        <v>677</v>
      </c>
      <c r="B24" s="49"/>
      <c r="C24" s="49"/>
      <c r="D24" s="49"/>
      <c r="E24" s="49"/>
      <c r="F24" s="49"/>
      <c r="G24" s="49"/>
      <c r="H24" s="61"/>
      <c r="J24" s="1962" t="str">
        <f>IF(B5="x",IF(AUDITCHECK!D29="AFR form Incomplete.","",IF(AUDITCHECK!D29="Deficit reduction plan is required.","School District must complete a deficit reduction plan in the 2019-2020 Budget",)),"")</f>
        <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60964</v>
      </c>
      <c r="B25" s="1940"/>
      <c r="C25" s="1940"/>
      <c r="D25" s="1940"/>
      <c r="E25" s="1940"/>
      <c r="F25" s="1940"/>
      <c r="G25" s="1940"/>
      <c r="H25" s="1941"/>
      <c r="I25" s="113"/>
      <c r="J25" s="1964"/>
      <c r="K25" s="1964"/>
      <c r="L25" s="1964"/>
      <c r="M25" s="1964"/>
      <c r="N25" s="1964"/>
      <c r="O25" s="1964"/>
      <c r="P25" s="1964"/>
      <c r="Q25" s="1964"/>
      <c r="R25" s="1964"/>
      <c r="S25" s="1965"/>
      <c r="T25" s="2034" t="s">
        <v>2081</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2066</v>
      </c>
      <c r="F29" s="141" t="s">
        <v>1316</v>
      </c>
      <c r="G29" s="114"/>
      <c r="I29" s="54"/>
      <c r="J29" s="102"/>
      <c r="K29" s="28" t="s">
        <v>576</v>
      </c>
      <c r="L29" s="148" t="s">
        <v>2066</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2070</v>
      </c>
      <c r="B38" s="1976"/>
      <c r="C38" s="1976"/>
      <c r="D38" s="1976"/>
      <c r="E38" s="1976"/>
      <c r="F38" s="1940"/>
      <c r="G38" s="1940"/>
      <c r="H38" s="1941"/>
      <c r="I38" s="1968"/>
      <c r="J38" s="1969"/>
      <c r="K38" s="1969"/>
      <c r="L38" s="1969"/>
      <c r="M38" s="1969"/>
      <c r="N38" s="1969"/>
      <c r="O38" s="1969"/>
      <c r="P38" s="1970"/>
      <c r="Q38" s="1970"/>
      <c r="R38" s="1970"/>
      <c r="S38" s="1971"/>
      <c r="T38" s="2024"/>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2071</v>
      </c>
      <c r="B40" s="1954"/>
      <c r="C40" s="1955"/>
      <c r="D40" s="1955"/>
      <c r="E40" s="1955"/>
      <c r="F40" s="1956"/>
      <c r="G40" s="1956"/>
      <c r="H40" s="1957"/>
      <c r="I40" s="1978"/>
      <c r="J40" s="1979"/>
      <c r="K40" s="1979"/>
      <c r="L40" s="1979"/>
      <c r="M40" s="1979"/>
      <c r="N40" s="1979"/>
      <c r="O40" s="1979"/>
      <c r="P40" s="1979"/>
      <c r="Q40" s="1979"/>
      <c r="R40" s="1979"/>
      <c r="S40" s="1980"/>
      <c r="T40" s="1978"/>
      <c r="U40" s="2040"/>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2072</v>
      </c>
      <c r="B42" s="1959"/>
      <c r="C42" s="1960"/>
      <c r="D42" s="1958" t="s">
        <v>2073</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0" t="s">
        <v>1802</v>
      </c>
      <c r="B2" s="1528" t="s">
        <v>1949</v>
      </c>
      <c r="C2" s="714" t="s">
        <v>1950</v>
      </c>
      <c r="D2" s="714" t="s">
        <v>1951</v>
      </c>
      <c r="E2" s="714" t="s">
        <v>1952</v>
      </c>
      <c r="F2" s="714" t="s">
        <v>1953</v>
      </c>
    </row>
    <row r="3" spans="1:6" ht="12" customHeight="1" x14ac:dyDescent="0.2">
      <c r="A3" s="2181"/>
      <c r="B3" s="1525"/>
      <c r="C3" s="1526"/>
      <c r="D3" s="1527" t="s">
        <v>256</v>
      </c>
      <c r="E3" s="1526"/>
      <c r="F3" s="1527" t="s">
        <v>257</v>
      </c>
    </row>
    <row r="4" spans="1:6" ht="13.7" customHeight="1" x14ac:dyDescent="0.2">
      <c r="A4" s="715" t="s">
        <v>1155</v>
      </c>
      <c r="B4" s="1748">
        <f>'Revenues 9-14'!C5</f>
        <v>143981</v>
      </c>
      <c r="C4" s="1524"/>
      <c r="D4" s="1751">
        <f>B4-C4</f>
        <v>143981</v>
      </c>
      <c r="E4" s="1524">
        <v>161579</v>
      </c>
      <c r="F4" s="1751">
        <f>E4-C4</f>
        <v>161579</v>
      </c>
    </row>
    <row r="5" spans="1:6" ht="13.7" customHeight="1" x14ac:dyDescent="0.2">
      <c r="A5" s="715" t="s">
        <v>870</v>
      </c>
      <c r="B5" s="1749">
        <f>'Revenues 9-14'!D5</f>
        <v>32438</v>
      </c>
      <c r="C5" s="585"/>
      <c r="D5" s="1752">
        <f t="shared" ref="D5:D18" si="0">B5-C5</f>
        <v>32438</v>
      </c>
      <c r="E5" s="585">
        <v>36410</v>
      </c>
      <c r="F5" s="1752">
        <f>E5-C5</f>
        <v>36410</v>
      </c>
    </row>
    <row r="6" spans="1:6" ht="13.7" customHeight="1" x14ac:dyDescent="0.2">
      <c r="A6" s="715" t="s">
        <v>411</v>
      </c>
      <c r="B6" s="1749">
        <f>'Revenues 9-14'!E5</f>
        <v>0</v>
      </c>
      <c r="C6" s="585"/>
      <c r="D6" s="1752">
        <f t="shared" si="0"/>
        <v>0</v>
      </c>
      <c r="E6" s="585">
        <v>34384</v>
      </c>
      <c r="F6" s="1752">
        <f t="shared" ref="F6:F18" si="1">E6-C6</f>
        <v>34384</v>
      </c>
    </row>
    <row r="7" spans="1:6" ht="13.7" customHeight="1" x14ac:dyDescent="0.2">
      <c r="A7" s="715" t="s">
        <v>155</v>
      </c>
      <c r="B7" s="1749">
        <f>'Revenues 9-14'!F5</f>
        <v>15560</v>
      </c>
      <c r="C7" s="585"/>
      <c r="D7" s="1752">
        <f t="shared" si="0"/>
        <v>15560</v>
      </c>
      <c r="E7" s="585">
        <v>17469</v>
      </c>
      <c r="F7" s="1752">
        <f t="shared" si="1"/>
        <v>17469</v>
      </c>
    </row>
    <row r="8" spans="1:6" ht="13.7" customHeight="1" x14ac:dyDescent="0.2">
      <c r="A8" s="715" t="s">
        <v>1179</v>
      </c>
      <c r="B8" s="1749">
        <f>'Revenues 9-14'!G5</f>
        <v>47291</v>
      </c>
      <c r="C8" s="585"/>
      <c r="D8" s="1752">
        <f t="shared" si="0"/>
        <v>47291</v>
      </c>
      <c r="E8" s="585">
        <v>86280</v>
      </c>
      <c r="F8" s="1752">
        <f t="shared" si="1"/>
        <v>86280</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6487</v>
      </c>
      <c r="C10" s="585"/>
      <c r="D10" s="1752">
        <f t="shared" si="0"/>
        <v>6487</v>
      </c>
      <c r="E10" s="585">
        <v>7291</v>
      </c>
      <c r="F10" s="1752">
        <f t="shared" si="1"/>
        <v>7291</v>
      </c>
    </row>
    <row r="11" spans="1:6" x14ac:dyDescent="0.2">
      <c r="A11" s="715" t="s">
        <v>409</v>
      </c>
      <c r="B11" s="1749">
        <f>'Revenues 9-14'!J5</f>
        <v>43198</v>
      </c>
      <c r="C11" s="585"/>
      <c r="D11" s="1752">
        <f t="shared" si="0"/>
        <v>43198</v>
      </c>
      <c r="E11" s="585">
        <v>48484</v>
      </c>
      <c r="F11" s="1752">
        <f t="shared" si="1"/>
        <v>48484</v>
      </c>
    </row>
    <row r="12" spans="1:6" ht="13.7" customHeight="1" x14ac:dyDescent="0.2">
      <c r="A12" s="715" t="s">
        <v>157</v>
      </c>
      <c r="B12" s="1749">
        <f>'Revenues 9-14'!K5</f>
        <v>6487</v>
      </c>
      <c r="C12" s="585"/>
      <c r="D12" s="1752">
        <f t="shared" si="0"/>
        <v>6487</v>
      </c>
      <c r="E12" s="585">
        <v>7291</v>
      </c>
      <c r="F12" s="1752">
        <f t="shared" si="1"/>
        <v>7291</v>
      </c>
    </row>
    <row r="13" spans="1:6" ht="13.7" customHeight="1" x14ac:dyDescent="0.2">
      <c r="A13" s="715" t="s">
        <v>936</v>
      </c>
      <c r="B13" s="1749">
        <f>SUM('Revenues 9-14'!C6:D6)</f>
        <v>6487</v>
      </c>
      <c r="C13" s="585"/>
      <c r="D13" s="1752">
        <f t="shared" si="0"/>
        <v>6487</v>
      </c>
      <c r="E13" s="585">
        <v>7291</v>
      </c>
      <c r="F13" s="1752">
        <f t="shared" si="1"/>
        <v>7291</v>
      </c>
    </row>
    <row r="14" spans="1:6" ht="13.7" customHeight="1" x14ac:dyDescent="0.2">
      <c r="A14" s="715" t="s">
        <v>410</v>
      </c>
      <c r="B14" s="1749">
        <f>SUM('Revenues 9-14'!C7:D7,'Revenues 9-14'!F7:H7)</f>
        <v>2598</v>
      </c>
      <c r="C14" s="585"/>
      <c r="D14" s="1752">
        <f t="shared" si="0"/>
        <v>2598</v>
      </c>
      <c r="E14" s="585">
        <v>2916</v>
      </c>
      <c r="F14" s="1752">
        <f t="shared" si="1"/>
        <v>2916</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29585</v>
      </c>
      <c r="C16" s="585"/>
      <c r="D16" s="1752">
        <f t="shared" si="0"/>
        <v>29585</v>
      </c>
      <c r="E16" s="585"/>
      <c r="F16" s="1752">
        <f t="shared" si="1"/>
        <v>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v>1123</v>
      </c>
      <c r="F18" s="1752">
        <f t="shared" si="1"/>
        <v>1123</v>
      </c>
    </row>
    <row r="19" spans="1:6" ht="13.7" customHeight="1" thickBot="1" x14ac:dyDescent="0.25">
      <c r="A19" s="1753" t="s">
        <v>1161</v>
      </c>
      <c r="B19" s="1750">
        <f>SUM(B4:B18)</f>
        <v>334112</v>
      </c>
      <c r="C19" s="1750">
        <f>SUM(C4:C18)</f>
        <v>0</v>
      </c>
      <c r="D19" s="1750">
        <f>SUM(D4:D18)</f>
        <v>334112</v>
      </c>
      <c r="E19" s="1750">
        <f>SUM(E4:E18)</f>
        <v>410518</v>
      </c>
      <c r="F19" s="1750">
        <f>SUM(F4:F18)</f>
        <v>410518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A32" sqref="A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2" t="s">
        <v>1954</v>
      </c>
      <c r="D2" s="723" t="s">
        <v>1955</v>
      </c>
      <c r="E2" s="723" t="s">
        <v>1956</v>
      </c>
      <c r="F2" s="1882" t="s">
        <v>1957</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4">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3" t="s">
        <v>631</v>
      </c>
      <c r="B15" s="2194"/>
      <c r="C15" s="1754">
        <f>SUM(C6:C14)</f>
        <v>0</v>
      </c>
      <c r="D15" s="1754">
        <f>SUM(D6:D14)</f>
        <v>0</v>
      </c>
      <c r="E15" s="1754">
        <f>SUM(E6:E14)</f>
        <v>0</v>
      </c>
      <c r="F15" s="1754">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4">
        <f>SUM(C17+D17)-E17</f>
        <v>0</v>
      </c>
    </row>
    <row r="18" spans="1:11" ht="12.75" customHeight="1" thickTop="1" thickBot="1" x14ac:dyDescent="0.25">
      <c r="A18" s="2188" t="s">
        <v>6</v>
      </c>
      <c r="B18" s="2189"/>
      <c r="C18" s="726"/>
      <c r="D18" s="585"/>
      <c r="E18" s="726"/>
      <c r="F18" s="1754">
        <f>SUM(C18+D18)-E18</f>
        <v>0</v>
      </c>
    </row>
    <row r="19" spans="1:11" ht="12.75" customHeight="1" thickTop="1" thickBot="1" x14ac:dyDescent="0.25">
      <c r="A19" s="2188" t="s">
        <v>388</v>
      </c>
      <c r="B19" s="2189"/>
      <c r="C19" s="726"/>
      <c r="D19" s="585"/>
      <c r="E19" s="726"/>
      <c r="F19" s="1754">
        <f>SUM(C19+D19)-E19</f>
        <v>0</v>
      </c>
    </row>
    <row r="20" spans="1:11" ht="12.75" customHeight="1" thickTop="1" thickBot="1" x14ac:dyDescent="0.25">
      <c r="A20" s="2188" t="s">
        <v>448</v>
      </c>
      <c r="B20" s="2189"/>
      <c r="C20" s="726"/>
      <c r="D20" s="585"/>
      <c r="E20" s="726"/>
      <c r="F20" s="1754">
        <f>SUM(C20+D20)-E20</f>
        <v>0</v>
      </c>
    </row>
    <row r="21" spans="1:11" ht="14.25" thickTop="1" thickBot="1" x14ac:dyDescent="0.25">
      <c r="A21" s="2193" t="s">
        <v>632</v>
      </c>
      <c r="B21" s="2194"/>
      <c r="C21" s="1754">
        <f>SUM(C17:C20)</f>
        <v>0</v>
      </c>
      <c r="D21" s="1754">
        <f>SUM(D17:D20)</f>
        <v>0</v>
      </c>
      <c r="E21" s="1754">
        <f>SUM(E17:E20)</f>
        <v>0</v>
      </c>
      <c r="F21" s="1754">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4">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4">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4">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3" t="s">
        <v>583</v>
      </c>
      <c r="D30" s="1883" t="s">
        <v>1673</v>
      </c>
      <c r="E30" s="1883" t="s">
        <v>1958</v>
      </c>
      <c r="F30" s="1883" t="s">
        <v>1959</v>
      </c>
      <c r="G30" s="1883" t="s">
        <v>1910</v>
      </c>
      <c r="H30" s="1883" t="s">
        <v>1960</v>
      </c>
      <c r="I30" s="1883" t="s">
        <v>1961</v>
      </c>
      <c r="J30" s="1884" t="s">
        <v>2</v>
      </c>
      <c r="K30" s="731"/>
    </row>
    <row r="31" spans="1:11" ht="12" customHeight="1" x14ac:dyDescent="0.2">
      <c r="A31" s="732" t="s">
        <v>2083</v>
      </c>
      <c r="B31" s="733">
        <v>43515</v>
      </c>
      <c r="C31" s="734">
        <v>145100</v>
      </c>
      <c r="D31" s="735">
        <v>1</v>
      </c>
      <c r="E31" s="734"/>
      <c r="F31" s="734">
        <v>145100</v>
      </c>
      <c r="G31" s="734"/>
      <c r="H31" s="734"/>
      <c r="I31" s="1755">
        <f>((E31+F31)-H31)+G31</f>
        <v>145100</v>
      </c>
      <c r="J31" s="734">
        <v>145100</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145100</v>
      </c>
      <c r="D49" s="745"/>
      <c r="E49" s="1755">
        <f t="shared" ref="E49:J49" si="2">SUM(E31:E48)</f>
        <v>0</v>
      </c>
      <c r="F49" s="1755">
        <f t="shared" si="2"/>
        <v>145100</v>
      </c>
      <c r="G49" s="1755">
        <f t="shared" si="2"/>
        <v>0</v>
      </c>
      <c r="H49" s="1755">
        <f t="shared" si="2"/>
        <v>0</v>
      </c>
      <c r="I49" s="1755">
        <f t="shared" si="2"/>
        <v>145100</v>
      </c>
      <c r="J49" s="1755">
        <f t="shared" si="2"/>
        <v>145100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1962</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v>2598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6"/>
      <c r="G12" s="1757">
        <f>SUM(G5:G11)</f>
        <v>0</v>
      </c>
      <c r="H12" s="1757">
        <f>SUM(H5:H11)</f>
        <v>2598</v>
      </c>
      <c r="I12" s="1757">
        <f>SUM(I5:I11)</f>
        <v>0</v>
      </c>
      <c r="J12" s="1757">
        <f>SUM(J5:J11)</f>
        <v>0</v>
      </c>
      <c r="K12" s="1757">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8"/>
      <c r="G21" s="792"/>
      <c r="H21" s="796"/>
      <c r="I21" s="796"/>
      <c r="J21" s="1759">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0"/>
      <c r="G23" s="1757">
        <f>SUM(G14:G16,G21,G22)</f>
        <v>0</v>
      </c>
      <c r="H23" s="1757">
        <f>SUM(H14:H16,H21,H22)</f>
        <v>0</v>
      </c>
      <c r="I23" s="1757">
        <f>SUM(I14:I16,I21,I22)</f>
        <v>0</v>
      </c>
      <c r="J23" s="1757">
        <f>SUM(J14:J16,J21,J22)</f>
        <v>0</v>
      </c>
      <c r="K23" s="1757">
        <f>SUM(K14:K16,K21,K22)</f>
        <v>0</v>
      </c>
    </row>
    <row r="24" spans="1:11" ht="14.25" thickTop="1" thickBot="1" x14ac:dyDescent="0.25">
      <c r="A24" s="2245" t="s">
        <v>1963</v>
      </c>
      <c r="B24" s="2244"/>
      <c r="C24" s="2244"/>
      <c r="D24" s="2244"/>
      <c r="E24" s="2244"/>
      <c r="F24" s="1761"/>
      <c r="G24" s="1762">
        <f>SUM(G3,G12)-G23</f>
        <v>0</v>
      </c>
      <c r="H24" s="1762">
        <f>SUM(H3,H12)-H23</f>
        <v>2598</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2598</v>
      </c>
      <c r="I26" s="1757">
        <f>I24-I25</f>
        <v>0</v>
      </c>
      <c r="J26" s="1757">
        <f>J24-J25</f>
        <v>0</v>
      </c>
      <c r="K26" s="1757">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1908</v>
      </c>
      <c r="B1" s="2251"/>
      <c r="C1" s="2252"/>
      <c r="D1" s="826"/>
      <c r="E1" s="827"/>
      <c r="F1" s="827"/>
      <c r="G1" s="828"/>
      <c r="H1" s="829"/>
      <c r="I1" s="830"/>
      <c r="J1" s="2248"/>
      <c r="K1" s="2249"/>
      <c r="L1" s="2249"/>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v>0</v>
      </c>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19000</v>
      </c>
      <c r="D5" s="841"/>
      <c r="E5" s="841"/>
      <c r="F5" s="1759">
        <f>(C5+D5)-E5</f>
        <v>19000</v>
      </c>
      <c r="G5" s="837"/>
      <c r="H5" s="842"/>
      <c r="I5" s="842"/>
      <c r="J5" s="842"/>
      <c r="K5" s="793"/>
      <c r="L5" s="1768">
        <f>F5-K5</f>
        <v>19000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1918023</v>
      </c>
      <c r="D8" s="844"/>
      <c r="E8" s="844"/>
      <c r="F8" s="1759">
        <f>(C8+D8)-E8</f>
        <v>1918023</v>
      </c>
      <c r="G8" s="843">
        <v>50</v>
      </c>
      <c r="H8" s="765">
        <v>1451377</v>
      </c>
      <c r="I8" s="765">
        <v>38360</v>
      </c>
      <c r="J8" s="765"/>
      <c r="K8" s="1768">
        <f>(H8+I8)-J8</f>
        <v>1489737</v>
      </c>
      <c r="L8" s="1768">
        <f>F8-K8</f>
        <v>428286</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534996</v>
      </c>
      <c r="D10" s="846"/>
      <c r="E10" s="846"/>
      <c r="F10" s="1763">
        <f>(C10+D10)-E10</f>
        <v>534996</v>
      </c>
      <c r="G10" s="843">
        <v>20</v>
      </c>
      <c r="H10" s="847">
        <v>241578</v>
      </c>
      <c r="I10" s="847">
        <v>17487</v>
      </c>
      <c r="J10" s="847"/>
      <c r="K10" s="1768">
        <f>(H10+I10)-J10</f>
        <v>259065</v>
      </c>
      <c r="L10" s="1768">
        <f>F10-K10</f>
        <v>275931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1852373</v>
      </c>
      <c r="D12" s="844"/>
      <c r="E12" s="844"/>
      <c r="F12" s="1759">
        <f>(C12+D12)-E12</f>
        <v>1852373</v>
      </c>
      <c r="G12" s="843">
        <v>10</v>
      </c>
      <c r="H12" s="765">
        <v>1773123</v>
      </c>
      <c r="I12" s="765">
        <v>14422</v>
      </c>
      <c r="J12" s="765"/>
      <c r="K12" s="1768">
        <f>(H12+I12)-J12</f>
        <v>1787545</v>
      </c>
      <c r="L12" s="1768">
        <f>F12-K12</f>
        <v>64828</v>
      </c>
    </row>
    <row r="13" spans="1:14" ht="14.25" thickTop="1" thickBot="1" x14ac:dyDescent="0.25">
      <c r="A13" s="848" t="s">
        <v>1122</v>
      </c>
      <c r="B13" s="840">
        <v>252</v>
      </c>
      <c r="C13" s="844">
        <v>1117612</v>
      </c>
      <c r="D13" s="844"/>
      <c r="E13" s="844"/>
      <c r="F13" s="1759">
        <f>(C13+D13)-E13</f>
        <v>1117612</v>
      </c>
      <c r="G13" s="843">
        <v>5</v>
      </c>
      <c r="H13" s="765">
        <v>1079574</v>
      </c>
      <c r="I13" s="765">
        <v>17251</v>
      </c>
      <c r="J13" s="765"/>
      <c r="K13" s="1768">
        <f>(H13+I13)-J13</f>
        <v>1096825</v>
      </c>
      <c r="L13" s="1768">
        <f>F13-K13</f>
        <v>20787</v>
      </c>
    </row>
    <row r="14" spans="1:14" ht="14.25" thickTop="1" thickBot="1" x14ac:dyDescent="0.25">
      <c r="A14" s="848" t="s">
        <v>1123</v>
      </c>
      <c r="B14" s="840">
        <v>253</v>
      </c>
      <c r="C14" s="765">
        <v>0</v>
      </c>
      <c r="D14" s="765"/>
      <c r="E14" s="765"/>
      <c r="F14" s="1759">
        <f>(C14+D14)-E14</f>
        <v>0</v>
      </c>
      <c r="G14" s="843">
        <v>3</v>
      </c>
      <c r="H14" s="765">
        <v>0</v>
      </c>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5442004</v>
      </c>
      <c r="D16" s="1759">
        <f>SUM(D3,D5:D6,D8:D10,D12:D15)</f>
        <v>0</v>
      </c>
      <c r="E16" s="1759">
        <f>SUM(E3,E5:E6,E8:E10,E12:E15)</f>
        <v>0</v>
      </c>
      <c r="F16" s="1759">
        <f>SUM(F3,F5:F6,F8:F10,F12:F15)</f>
        <v>5442004</v>
      </c>
      <c r="G16" s="843"/>
      <c r="H16" s="1759">
        <f>SUM(H3,H6,H8:H10,H12:H14,)</f>
        <v>4545652</v>
      </c>
      <c r="I16" s="1759">
        <f>SUM(I3,I6,I8:I10,I12:I14,)</f>
        <v>87520</v>
      </c>
      <c r="J16" s="1759">
        <f>SUM(J3,J6,J8:J10,J12:J14,)</f>
        <v>0</v>
      </c>
      <c r="K16" s="1759">
        <f>(H16+I16)-J16</f>
        <v>4633172</v>
      </c>
      <c r="L16" s="1759">
        <f>F16-K16</f>
        <v>808832</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13348</v>
      </c>
      <c r="G17" s="837">
        <v>10</v>
      </c>
      <c r="H17" s="769"/>
      <c r="I17" s="1768">
        <f>F17/G17</f>
        <v>1334.8</v>
      </c>
      <c r="J17" s="769"/>
      <c r="K17" s="795"/>
      <c r="L17" s="795"/>
    </row>
    <row r="18" spans="1:12" ht="14.25" thickTop="1" thickBot="1" x14ac:dyDescent="0.25">
      <c r="A18" s="1766" t="s">
        <v>685</v>
      </c>
      <c r="B18" s="1767"/>
      <c r="C18" s="771"/>
      <c r="D18" s="771"/>
      <c r="E18" s="771"/>
      <c r="F18" s="850"/>
      <c r="G18" s="851"/>
      <c r="H18" s="773"/>
      <c r="I18" s="1759">
        <f>SUM(I16,I17)</f>
        <v>88854.8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A47" sqref="A47"/>
      <selection pane="bottomLeft" activeCell="F74" sqref="F7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1973</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3043674</v>
      </c>
      <c r="G8" s="865"/>
    </row>
    <row r="9" spans="1:7" x14ac:dyDescent="0.2">
      <c r="A9" s="869" t="s">
        <v>460</v>
      </c>
      <c r="B9" s="870" t="s">
        <v>1876</v>
      </c>
      <c r="C9" s="871"/>
      <c r="D9" s="869" t="s">
        <v>501</v>
      </c>
      <c r="E9" s="868"/>
      <c r="F9" s="1907">
        <f>'Expenditures 15-22'!K151</f>
        <v>429098</v>
      </c>
      <c r="G9" s="872"/>
    </row>
    <row r="10" spans="1:7" x14ac:dyDescent="0.2">
      <c r="A10" s="869" t="s">
        <v>499</v>
      </c>
      <c r="B10" s="870" t="s">
        <v>1877</v>
      </c>
      <c r="C10" s="871"/>
      <c r="D10" s="869" t="s">
        <v>501</v>
      </c>
      <c r="E10" s="868"/>
      <c r="F10" s="1907">
        <f>'Expenditures 15-22'!K174</f>
        <v>0</v>
      </c>
      <c r="G10" s="872"/>
    </row>
    <row r="11" spans="1:7" x14ac:dyDescent="0.2">
      <c r="A11" s="869" t="s">
        <v>461</v>
      </c>
      <c r="B11" s="870" t="s">
        <v>1878</v>
      </c>
      <c r="C11" s="871"/>
      <c r="D11" s="869" t="s">
        <v>501</v>
      </c>
      <c r="E11" s="868"/>
      <c r="F11" s="1907">
        <f>'Expenditures 15-22'!K210</f>
        <v>255774</v>
      </c>
      <c r="G11" s="872"/>
    </row>
    <row r="12" spans="1:7" x14ac:dyDescent="0.2">
      <c r="A12" s="869" t="s">
        <v>462</v>
      </c>
      <c r="B12" s="870" t="s">
        <v>1879</v>
      </c>
      <c r="C12" s="871"/>
      <c r="D12" s="869" t="s">
        <v>501</v>
      </c>
      <c r="E12" s="868"/>
      <c r="F12" s="1907">
        <f>'Expenditures 15-22'!K295</f>
        <v>80606</v>
      </c>
      <c r="G12" s="872"/>
    </row>
    <row r="13" spans="1:7" x14ac:dyDescent="0.2">
      <c r="A13" s="869" t="s">
        <v>106</v>
      </c>
      <c r="B13" s="870" t="s">
        <v>1880</v>
      </c>
      <c r="C13" s="871"/>
      <c r="D13" s="869" t="s">
        <v>501</v>
      </c>
      <c r="E13" s="868"/>
      <c r="F13" s="1907">
        <f>'Expenditures 15-22'!K342</f>
        <v>81949</v>
      </c>
      <c r="G13" s="873"/>
    </row>
    <row r="14" spans="1:7" ht="12" customHeight="1" thickBot="1" x14ac:dyDescent="0.25">
      <c r="A14" s="1769"/>
      <c r="B14" s="1770"/>
      <c r="C14" s="1771"/>
      <c r="D14" s="1772" t="s">
        <v>501</v>
      </c>
      <c r="E14" s="1773" t="s">
        <v>958</v>
      </c>
      <c r="F14" s="1774">
        <f>SUM(F8:F13)</f>
        <v>3891101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2">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2000</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46572</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3594</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206051</v>
      </c>
      <c r="G52" s="865"/>
    </row>
    <row r="53" spans="1:7" x14ac:dyDescent="0.2">
      <c r="A53" s="869" t="s">
        <v>459</v>
      </c>
      <c r="B53" s="869" t="s">
        <v>1475</v>
      </c>
      <c r="C53" s="889">
        <f>'Expenditures 15-22'!B102</f>
        <v>4000</v>
      </c>
      <c r="D53" s="888" t="str">
        <f>'Expenditures 15-22'!A102</f>
        <v>Total Payments to Other Govt Units</v>
      </c>
      <c r="E53" s="868"/>
      <c r="F53" s="1911">
        <f>'Expenditures 15-22'!K102</f>
        <v>71387</v>
      </c>
      <c r="G53" s="865"/>
    </row>
    <row r="54" spans="1:7" x14ac:dyDescent="0.2">
      <c r="A54" s="869" t="s">
        <v>459</v>
      </c>
      <c r="B54" s="869" t="s">
        <v>1476</v>
      </c>
      <c r="C54" s="889" t="s">
        <v>982</v>
      </c>
      <c r="D54" s="885" t="s">
        <v>1095</v>
      </c>
      <c r="E54" s="868"/>
      <c r="F54" s="1911">
        <f>'Expenditures 15-22'!G114</f>
        <v>21122</v>
      </c>
      <c r="G54" s="865"/>
    </row>
    <row r="55" spans="1:7" x14ac:dyDescent="0.2">
      <c r="A55" s="869" t="s">
        <v>459</v>
      </c>
      <c r="B55" s="869" t="s">
        <v>1477</v>
      </c>
      <c r="C55" s="889" t="s">
        <v>982</v>
      </c>
      <c r="D55" s="885" t="s">
        <v>291</v>
      </c>
      <c r="E55" s="868"/>
      <c r="F55" s="1911">
        <f>'Expenditures 15-22'!I114</f>
        <v>13348</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1">
        <f>'Expenditures 15-22'!K139</f>
        <v>0</v>
      </c>
      <c r="G57" s="865"/>
    </row>
    <row r="58" spans="1:7" x14ac:dyDescent="0.2">
      <c r="A58" s="869" t="s">
        <v>460</v>
      </c>
      <c r="B58" s="869" t="s">
        <v>1882</v>
      </c>
      <c r="C58" s="886" t="s">
        <v>982</v>
      </c>
      <c r="D58" s="885" t="s">
        <v>1095</v>
      </c>
      <c r="E58" s="868"/>
      <c r="F58" s="1913">
        <f>'Expenditures 15-22'!G151</f>
        <v>0</v>
      </c>
      <c r="G58" s="865"/>
    </row>
    <row r="59" spans="1:7" x14ac:dyDescent="0.2">
      <c r="A59" s="893" t="s">
        <v>460</v>
      </c>
      <c r="B59" s="856" t="s">
        <v>1883</v>
      </c>
      <c r="C59" s="894" t="s">
        <v>982</v>
      </c>
      <c r="D59" s="856" t="s">
        <v>291</v>
      </c>
      <c r="F59" s="1914">
        <f>'Expenditures 15-22'!I151</f>
        <v>0</v>
      </c>
      <c r="G59" s="865"/>
    </row>
    <row r="60" spans="1:7" x14ac:dyDescent="0.2">
      <c r="A60" s="893" t="s">
        <v>499</v>
      </c>
      <c r="B60" s="856" t="s">
        <v>1884</v>
      </c>
      <c r="C60" s="894">
        <v>4000</v>
      </c>
      <c r="D60" s="856" t="s">
        <v>312</v>
      </c>
      <c r="F60" s="1912">
        <f>'Expenditures 15-22'!K160</f>
        <v>0</v>
      </c>
      <c r="G60" s="865"/>
    </row>
    <row r="61" spans="1:7" x14ac:dyDescent="0.2">
      <c r="A61" s="895" t="s">
        <v>499</v>
      </c>
      <c r="B61" s="895" t="s">
        <v>1885</v>
      </c>
      <c r="C61" s="896" t="str">
        <f>'Expenditures 15-22'!B170</f>
        <v>5300</v>
      </c>
      <c r="D61" s="897" t="s">
        <v>311</v>
      </c>
      <c r="E61" s="879"/>
      <c r="F61" s="1911">
        <f>'Expenditures 15-22'!K170</f>
        <v>0</v>
      </c>
      <c r="G61" s="865"/>
    </row>
    <row r="62" spans="1:7" x14ac:dyDescent="0.2">
      <c r="A62" s="869" t="s">
        <v>461</v>
      </c>
      <c r="B62" s="869" t="s">
        <v>1886</v>
      </c>
      <c r="C62" s="886">
        <f>'Expenditures 15-22'!B185</f>
        <v>3000</v>
      </c>
      <c r="D62" s="876" t="s">
        <v>449</v>
      </c>
      <c r="E62" s="868"/>
      <c r="F62" s="191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1888</v>
      </c>
      <c r="C64" s="896" t="str">
        <f>'Expenditures 15-22'!B206</f>
        <v>5300</v>
      </c>
      <c r="D64" s="892" t="s">
        <v>311</v>
      </c>
      <c r="E64" s="868"/>
      <c r="F64" s="1911">
        <f>'Expenditures 15-22'!K206</f>
        <v>0</v>
      </c>
      <c r="G64" s="865"/>
    </row>
    <row r="65" spans="1:8" x14ac:dyDescent="0.2">
      <c r="A65" s="869" t="s">
        <v>461</v>
      </c>
      <c r="B65" s="869" t="s">
        <v>1889</v>
      </c>
      <c r="C65" s="886" t="s">
        <v>982</v>
      </c>
      <c r="D65" s="885" t="s">
        <v>1095</v>
      </c>
      <c r="E65" s="868"/>
      <c r="F65" s="1911">
        <f>'Expenditures 15-22'!G210</f>
        <v>0</v>
      </c>
      <c r="G65" s="865"/>
    </row>
    <row r="66" spans="1:8" x14ac:dyDescent="0.2">
      <c r="A66" s="869" t="s">
        <v>461</v>
      </c>
      <c r="B66" s="869" t="s">
        <v>1890</v>
      </c>
      <c r="C66" s="886" t="s">
        <v>982</v>
      </c>
      <c r="D66" s="885" t="s">
        <v>291</v>
      </c>
      <c r="E66" s="868"/>
      <c r="F66" s="1911">
        <f>'Expenditures 15-22'!I210</f>
        <v>0</v>
      </c>
      <c r="G66" s="865"/>
    </row>
    <row r="67" spans="1:8" x14ac:dyDescent="0.2">
      <c r="A67" s="869" t="s">
        <v>462</v>
      </c>
      <c r="B67" s="869" t="s">
        <v>1891</v>
      </c>
      <c r="C67" s="886" t="str">
        <f>'Expenditures 15-22'!B216</f>
        <v>1125</v>
      </c>
      <c r="D67" s="892" t="str">
        <f>'Expenditures 15-22'!A216</f>
        <v>Pre-K Programs</v>
      </c>
      <c r="E67" s="868"/>
      <c r="F67" s="1911">
        <f>'Expenditures 15-22'!K216</f>
        <v>3341</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1893</v>
      </c>
      <c r="C70" s="886">
        <f>'Expenditures 15-22'!B221</f>
        <v>1300</v>
      </c>
      <c r="D70" s="887" t="str">
        <f>'Expenditures 15-22'!A221</f>
        <v>Adult/Continuing Education Programs</v>
      </c>
      <c r="E70" s="868"/>
      <c r="F70" s="1911">
        <f>'Expenditures 15-22'!K221</f>
        <v>0</v>
      </c>
      <c r="G70" s="865"/>
    </row>
    <row r="71" spans="1:8" x14ac:dyDescent="0.2">
      <c r="A71" s="869" t="s">
        <v>462</v>
      </c>
      <c r="B71" s="869" t="s">
        <v>1894</v>
      </c>
      <c r="C71" s="886">
        <f>'Expenditures 15-22'!B224</f>
        <v>1600</v>
      </c>
      <c r="D71" s="887" t="str">
        <f>'Expenditures 15-22'!A224</f>
        <v>Summer School Programs</v>
      </c>
      <c r="E71" s="868"/>
      <c r="F71" s="1911">
        <f>'Expenditures 15-22'!K224</f>
        <v>0</v>
      </c>
      <c r="G71" s="865"/>
    </row>
    <row r="72" spans="1:8" x14ac:dyDescent="0.2">
      <c r="A72" s="869" t="s">
        <v>462</v>
      </c>
      <c r="B72" s="869" t="s">
        <v>1895</v>
      </c>
      <c r="C72" s="886">
        <f>'Expenditures 15-22'!B280</f>
        <v>3000</v>
      </c>
      <c r="D72" s="876" t="s">
        <v>449</v>
      </c>
      <c r="E72" s="868"/>
      <c r="F72" s="1911">
        <f>'Expenditures 15-22'!K280</f>
        <v>11451</v>
      </c>
      <c r="G72" s="865"/>
    </row>
    <row r="73" spans="1:8" x14ac:dyDescent="0.2">
      <c r="A73" s="869" t="s">
        <v>462</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376866</v>
      </c>
      <c r="G76" s="865"/>
    </row>
    <row r="77" spans="1:8" s="893" customFormat="1" ht="12" customHeight="1" thickTop="1" thickBot="1" x14ac:dyDescent="0.25">
      <c r="A77" s="1778"/>
      <c r="B77" s="1775"/>
      <c r="C77" s="1771"/>
      <c r="D77" s="1776" t="s">
        <v>1899</v>
      </c>
      <c r="E77" s="1773"/>
      <c r="F77" s="1779">
        <f>(F14-F76)</f>
        <v>3514235</v>
      </c>
      <c r="G77" s="869"/>
    </row>
    <row r="78" spans="1:8" s="893" customFormat="1" ht="12" customHeight="1" thickTop="1" x14ac:dyDescent="0.2">
      <c r="A78" s="1780"/>
      <c r="B78" s="1775"/>
      <c r="C78" s="1771"/>
      <c r="D78" s="1776" t="s">
        <v>2060</v>
      </c>
      <c r="E78" s="1773"/>
      <c r="F78" s="898">
        <v>152.16999999999999</v>
      </c>
      <c r="G78" s="899"/>
      <c r="H78" s="869"/>
    </row>
    <row r="79" spans="1:8" s="893" customFormat="1" ht="12" customHeight="1" thickBot="1" x14ac:dyDescent="0.25">
      <c r="A79" s="1781"/>
      <c r="B79" s="1775"/>
      <c r="C79" s="1771"/>
      <c r="D79" s="1776" t="s">
        <v>1900</v>
      </c>
      <c r="E79" s="1773" t="s">
        <v>958</v>
      </c>
      <c r="F79" s="1782">
        <f>IF(F78&gt;0,F77/F78," Complete Line 78")</f>
        <v>23094.138134980614</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724</v>
      </c>
      <c r="G94" s="912"/>
    </row>
    <row r="95" spans="1:7" x14ac:dyDescent="0.2">
      <c r="A95" s="908" t="s">
        <v>140</v>
      </c>
      <c r="B95" s="908" t="s">
        <v>175</v>
      </c>
      <c r="C95" s="910">
        <v>1700</v>
      </c>
      <c r="D95" s="918" t="str">
        <f>'Revenues 9-14'!A82</f>
        <v>Total District/School Activity Income</v>
      </c>
      <c r="E95" s="906"/>
      <c r="F95" s="1788">
        <f>SUM('Revenues 9-14'!C82,'Revenues 9-14'!D82)</f>
        <v>3074</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60000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2001</v>
      </c>
      <c r="C105" s="913">
        <v>3100</v>
      </c>
      <c r="D105" s="919" t="str">
        <f>'Revenues 9-14'!A132</f>
        <v>Total Special Education</v>
      </c>
      <c r="E105" s="906"/>
      <c r="F105" s="1788">
        <f>SUM('Revenues 9-14'!C132:D132,'Revenues 9-14'!F132)</f>
        <v>17004</v>
      </c>
      <c r="G105" s="912"/>
    </row>
    <row r="106" spans="1:7" x14ac:dyDescent="0.2">
      <c r="A106" s="908" t="s">
        <v>673</v>
      </c>
      <c r="B106" s="908" t="s">
        <v>2002</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2003</v>
      </c>
      <c r="C107" s="920">
        <v>3300</v>
      </c>
      <c r="D107" s="911" t="str">
        <f>'Revenues 9-14'!A145</f>
        <v>Total Bilingual Ed</v>
      </c>
      <c r="E107" s="906"/>
      <c r="F107" s="1788">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8">
        <f>'Revenues 9-14'!C146</f>
        <v>3675</v>
      </c>
      <c r="G108" s="912"/>
    </row>
    <row r="109" spans="1:7" x14ac:dyDescent="0.2">
      <c r="A109" s="908" t="s">
        <v>673</v>
      </c>
      <c r="B109" s="908" t="s">
        <v>2005</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8">
        <f>SUM('Revenues 9-14'!C148,'Revenues 9-14'!D148)</f>
        <v>0</v>
      </c>
      <c r="G110" s="912"/>
    </row>
    <row r="111" spans="1:7" x14ac:dyDescent="0.2">
      <c r="A111" s="908" t="s">
        <v>668</v>
      </c>
      <c r="B111" s="908" t="s">
        <v>2007</v>
      </c>
      <c r="C111" s="922">
        <v>3500</v>
      </c>
      <c r="D111" s="911" t="str">
        <f>'Revenues 9-14'!A155</f>
        <v>Total Transportation</v>
      </c>
      <c r="E111" s="906"/>
      <c r="F111" s="1788">
        <f>SUM('Revenues 9-14'!C155,'Revenues 9-14'!D155,'Revenues 9-14'!F155,'Revenues 9-14'!G155)</f>
        <v>111510</v>
      </c>
      <c r="G111" s="912"/>
    </row>
    <row r="112" spans="1:7" x14ac:dyDescent="0.2">
      <c r="A112" s="908" t="s">
        <v>459</v>
      </c>
      <c r="B112" s="908" t="s">
        <v>2008</v>
      </c>
      <c r="C112" s="920">
        <f>'Revenues 9-14'!B156</f>
        <v>3610</v>
      </c>
      <c r="D112" s="911" t="str">
        <f>'Revenues 9-14'!A156</f>
        <v>Learning Improvement - Change Grants</v>
      </c>
      <c r="E112" s="906"/>
      <c r="F112" s="1788">
        <f>'Revenues 9-14'!C156</f>
        <v>0</v>
      </c>
      <c r="G112" s="912"/>
    </row>
    <row r="113" spans="1:7" x14ac:dyDescent="0.2">
      <c r="A113" s="908" t="s">
        <v>668</v>
      </c>
      <c r="B113" s="908" t="s">
        <v>2009</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5">
        <f>SUM('Revenues 9-14'!C163:G163)</f>
        <v>0</v>
      </c>
      <c r="G118" s="912"/>
    </row>
    <row r="119" spans="1:7" x14ac:dyDescent="0.2">
      <c r="A119" s="923" t="s">
        <v>504</v>
      </c>
      <c r="B119" s="923" t="s">
        <v>2015</v>
      </c>
      <c r="C119" s="924">
        <f>'Revenues 9-14'!B164</f>
        <v>3815</v>
      </c>
      <c r="D119" s="925" t="str">
        <f>'Revenues 9-14'!A164</f>
        <v>State Charter Schools</v>
      </c>
      <c r="E119" s="906"/>
      <c r="F119" s="1905">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8">
        <f>'Revenues 9-14'!D167</f>
        <v>0</v>
      </c>
      <c r="G120" s="930"/>
    </row>
    <row r="121" spans="1:7" x14ac:dyDescent="0.2">
      <c r="A121" s="927" t="s">
        <v>500</v>
      </c>
      <c r="B121" s="927" t="s">
        <v>2017</v>
      </c>
      <c r="C121" s="928">
        <f>'Revenues 9-14'!B168</f>
        <v>3999</v>
      </c>
      <c r="D121" s="929" t="s">
        <v>543</v>
      </c>
      <c r="E121" s="931"/>
      <c r="F121" s="1788">
        <f>SUM('Revenues 9-14'!C168:G168,'Revenues 9-14'!J168)</f>
        <v>51628</v>
      </c>
      <c r="G121" s="930"/>
    </row>
    <row r="122" spans="1:7" x14ac:dyDescent="0.2">
      <c r="A122" s="927" t="s">
        <v>459</v>
      </c>
      <c r="B122" s="927" t="s">
        <v>2018</v>
      </c>
      <c r="C122" s="932">
        <f>'Revenues 9-14'!B177</f>
        <v>4045</v>
      </c>
      <c r="D122" s="929" t="str">
        <f>'Revenues 9-14'!A177 &amp; " (Subtract)"</f>
        <v>Head Start (Subtract)</v>
      </c>
      <c r="E122" s="906"/>
      <c r="F122" s="1788">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2020</v>
      </c>
      <c r="C124" s="932">
        <v>4100</v>
      </c>
      <c r="D124" s="933" t="str">
        <f>'Revenues 9-14'!A188</f>
        <v>Total Title V</v>
      </c>
      <c r="E124" s="906"/>
      <c r="F124" s="1788">
        <f>SUM('Revenues 9-14'!C188,'Revenues 9-14'!D188,'Revenues 9-14'!F188,'Revenues 9-14'!G188)</f>
        <v>2881</v>
      </c>
      <c r="G124" s="930"/>
    </row>
    <row r="125" spans="1:7" x14ac:dyDescent="0.2">
      <c r="A125" s="927" t="s">
        <v>664</v>
      </c>
      <c r="B125" s="927" t="s">
        <v>2021</v>
      </c>
      <c r="C125" s="932">
        <v>4200</v>
      </c>
      <c r="D125" s="929" t="str">
        <f>'Revenues 9-14'!A198</f>
        <v>Total Food Service</v>
      </c>
      <c r="E125" s="906"/>
      <c r="F125" s="1788">
        <f>SUM('Revenues 9-14'!C198,'Revenues 9-14'!G198)</f>
        <v>177536</v>
      </c>
      <c r="G125" s="930"/>
    </row>
    <row r="126" spans="1:7" x14ac:dyDescent="0.2">
      <c r="A126" s="927" t="s">
        <v>668</v>
      </c>
      <c r="B126" s="927" t="s">
        <v>2022</v>
      </c>
      <c r="C126" s="932">
        <v>4300</v>
      </c>
      <c r="D126" s="933" t="str">
        <f>'Revenues 9-14'!A204</f>
        <v>Total Title I</v>
      </c>
      <c r="E126" s="906"/>
      <c r="F126" s="1788">
        <f>SUM('Revenues 9-14'!C204,'Revenues 9-14'!D204,'Revenues 9-14'!F204,'Revenues 9-14'!G204)</f>
        <v>285096</v>
      </c>
      <c r="G126" s="930"/>
    </row>
    <row r="127" spans="1:7" x14ac:dyDescent="0.2">
      <c r="A127" s="927" t="s">
        <v>668</v>
      </c>
      <c r="B127" s="927" t="s">
        <v>2023</v>
      </c>
      <c r="C127" s="932">
        <v>4400</v>
      </c>
      <c r="D127" s="933" t="str">
        <f>'Revenues 9-14'!A209</f>
        <v>Total Title IV</v>
      </c>
      <c r="E127" s="906"/>
      <c r="F127" s="1788">
        <f>SUM('Revenues 9-14'!C209,'Revenues 9-14'!D209,'Revenues 9-14'!F209,'Revenues 9-14'!G209)</f>
        <v>17430</v>
      </c>
      <c r="G127" s="930"/>
    </row>
    <row r="128" spans="1:7" x14ac:dyDescent="0.2">
      <c r="A128" s="927" t="s">
        <v>668</v>
      </c>
      <c r="B128" s="927" t="s">
        <v>2024</v>
      </c>
      <c r="C128" s="932">
        <f>'Revenues 9-14'!B213</f>
        <v>4620</v>
      </c>
      <c r="D128" s="933" t="str">
        <f>'Revenues 9-14'!A213</f>
        <v>Fed - Spec Education - IDEA - Flow Through</v>
      </c>
      <c r="E128" s="906"/>
      <c r="F128" s="1788">
        <f>SUM('Revenues 9-14'!C213:D213,'Revenues 9-14'!F213:G213)</f>
        <v>76432</v>
      </c>
      <c r="G128" s="930"/>
    </row>
    <row r="129" spans="1:7" x14ac:dyDescent="0.2">
      <c r="A129" s="927" t="s">
        <v>668</v>
      </c>
      <c r="B129" s="927" t="s">
        <v>2025</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2027</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8">
        <v>0</v>
      </c>
      <c r="G138" s="905"/>
    </row>
    <row r="139" spans="1:7" s="867" customFormat="1" hidden="1" x14ac:dyDescent="0.2">
      <c r="A139" s="934" t="s">
        <v>206</v>
      </c>
      <c r="B139" s="934" t="s">
        <v>2034</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2042</v>
      </c>
      <c r="C157" s="940" t="s">
        <v>841</v>
      </c>
      <c r="D157" s="941" t="s">
        <v>777</v>
      </c>
      <c r="E157" s="942"/>
      <c r="F157" s="1788">
        <f>SUM(F133:F156)</f>
        <v>0</v>
      </c>
      <c r="G157" s="905"/>
    </row>
    <row r="158" spans="1:7" s="867" customFormat="1" x14ac:dyDescent="0.2">
      <c r="A158" s="938" t="s">
        <v>459</v>
      </c>
      <c r="B158" s="939" t="s">
        <v>2043</v>
      </c>
      <c r="C158" s="940" t="s">
        <v>1427</v>
      </c>
      <c r="D158" s="941" t="s">
        <v>1428</v>
      </c>
      <c r="E158" s="942"/>
      <c r="F158" s="1788">
        <f>SUM('Revenues 9-14'!C253)</f>
        <v>0</v>
      </c>
      <c r="G158" s="905"/>
    </row>
    <row r="159" spans="1:7" s="867" customFormat="1" x14ac:dyDescent="0.2">
      <c r="A159" s="938" t="s">
        <v>500</v>
      </c>
      <c r="B159" s="939" t="s">
        <v>2044</v>
      </c>
      <c r="C159" s="940" t="s">
        <v>1466</v>
      </c>
      <c r="D159" s="941" t="s">
        <v>1467</v>
      </c>
      <c r="E159" s="942"/>
      <c r="F159" s="1788">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5">
        <f>SUM('Revenues 9-14'!C259,'Revenues 9-14'!D259,'Revenues 9-14'!F259,'Revenues 9-14'!G259)</f>
        <v>9220</v>
      </c>
      <c r="G164" s="930"/>
    </row>
    <row r="165" spans="1:7" x14ac:dyDescent="0.2">
      <c r="A165" s="927" t="s">
        <v>668</v>
      </c>
      <c r="B165" s="927" t="s">
        <v>2050</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8">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8">
        <f>SUM('Revenues 9-14'!C264:D264,'Revenues 9-14'!F264:G264)</f>
        <v>2261</v>
      </c>
      <c r="G169" s="947"/>
    </row>
    <row r="170" spans="1:7" x14ac:dyDescent="0.2">
      <c r="A170" s="948" t="s">
        <v>668</v>
      </c>
      <c r="B170" s="944" t="s">
        <v>2053</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1919</v>
      </c>
      <c r="C171" s="1918">
        <v>3100</v>
      </c>
      <c r="D171" s="1919" t="s">
        <v>1921</v>
      </c>
      <c r="E171" s="906"/>
      <c r="F171" s="1904"/>
      <c r="G171" s="927"/>
    </row>
    <row r="172" spans="1:7" x14ac:dyDescent="0.2">
      <c r="A172" s="1916" t="s">
        <v>664</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9"/>
      <c r="B174" s="1783"/>
      <c r="C174" s="1784"/>
      <c r="D174" s="1785" t="s">
        <v>2054</v>
      </c>
      <c r="E174" s="1786" t="s">
        <v>958</v>
      </c>
      <c r="F174" s="1787">
        <f>SUM(F84:F132,F157:F172)</f>
        <v>818471</v>
      </c>
    </row>
    <row r="175" spans="1:7" ht="12" customHeight="1" x14ac:dyDescent="0.2">
      <c r="A175" s="1769"/>
      <c r="B175" s="1783"/>
      <c r="C175" s="1784"/>
      <c r="D175" s="1785" t="s">
        <v>2055</v>
      </c>
      <c r="E175" s="1786"/>
      <c r="F175" s="1788">
        <f>'PCTC-OEPP 27-28'!F77-F174</f>
        <v>2695764</v>
      </c>
    </row>
    <row r="176" spans="1:7" ht="12" customHeight="1" x14ac:dyDescent="0.2">
      <c r="A176" s="1769"/>
      <c r="B176" s="1783"/>
      <c r="C176" s="1784"/>
      <c r="D176" s="1785" t="s">
        <v>1817</v>
      </c>
      <c r="E176" s="1786"/>
      <c r="F176" s="1788">
        <f>'Cap Outlay Deprec 26'!I18</f>
        <v>88854.8</v>
      </c>
    </row>
    <row r="177" spans="1:7" ht="12" customHeight="1" x14ac:dyDescent="0.2">
      <c r="A177" s="1769"/>
      <c r="B177" s="1783"/>
      <c r="C177" s="1784"/>
      <c r="D177" s="1785" t="s">
        <v>2056</v>
      </c>
      <c r="E177" s="1786"/>
      <c r="F177" s="1788">
        <f>F175+F176</f>
        <v>2784618.8</v>
      </c>
    </row>
    <row r="178" spans="1:7" ht="12" customHeight="1" x14ac:dyDescent="0.2">
      <c r="A178" s="1769"/>
      <c r="B178" s="1789"/>
      <c r="C178" s="1784"/>
      <c r="D178" s="1785" t="str">
        <f>D78</f>
        <v>9 Month ADA from District Average Daily Attendance/Prior General State Aid Inquiry 2018-2019</v>
      </c>
      <c r="E178" s="1786"/>
      <c r="F178" s="1790">
        <f>'PCTC-OEPP 27-28'!F78</f>
        <v>152.16999999999999</v>
      </c>
      <c r="G178" s="930"/>
    </row>
    <row r="179" spans="1:7" ht="12" customHeight="1" thickBot="1" x14ac:dyDescent="0.25">
      <c r="A179" s="1769"/>
      <c r="B179" s="1789"/>
      <c r="C179" s="1784"/>
      <c r="D179" s="1785" t="s">
        <v>2057</v>
      </c>
      <c r="E179" s="1786" t="s">
        <v>1545</v>
      </c>
      <c r="F179" s="1791">
        <f>F177/F178</f>
        <v>18299.394098705394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2"/>
  <sheetViews>
    <sheetView showGridLines="0" topLeftCell="A14" zoomScaleNormal="100" workbookViewId="0">
      <selection activeCell="D29" sqref="D2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933" t="s">
        <v>2064</v>
      </c>
      <c r="B6" s="1934"/>
      <c r="C6" s="1934"/>
      <c r="D6" s="1934"/>
      <c r="E6" s="1934"/>
      <c r="F6" s="1934"/>
      <c r="G6" s="1935"/>
    </row>
    <row r="7" spans="1:7" ht="18.75" x14ac:dyDescent="0.25">
      <c r="A7" s="1534" t="s">
        <v>1819</v>
      </c>
      <c r="B7" s="1535"/>
      <c r="C7" s="1535"/>
      <c r="D7" s="1535"/>
      <c r="E7" s="1535"/>
      <c r="F7" s="1535"/>
      <c r="G7" s="1536"/>
    </row>
    <row r="8" spans="1:7" ht="30.75" customHeight="1" x14ac:dyDescent="0.25">
      <c r="A8" s="2273" t="s">
        <v>1931</v>
      </c>
      <c r="B8" s="2274"/>
      <c r="C8" s="2274"/>
      <c r="D8" s="2274"/>
      <c r="E8" s="2274"/>
      <c r="F8" s="2274"/>
      <c r="G8" s="2275"/>
    </row>
    <row r="9" spans="1:7" ht="15.75" customHeight="1" x14ac:dyDescent="0.25">
      <c r="A9" s="2276" t="s">
        <v>1906</v>
      </c>
      <c r="B9" s="2277"/>
      <c r="C9" s="2277"/>
      <c r="D9" s="2277"/>
      <c r="E9" s="2277"/>
      <c r="F9" s="2277"/>
      <c r="G9" s="2278"/>
    </row>
    <row r="10" spans="1:7" ht="35.25" customHeight="1" x14ac:dyDescent="0.25">
      <c r="A10" s="2273" t="s">
        <v>2063</v>
      </c>
      <c r="B10" s="2274"/>
      <c r="C10" s="2274"/>
      <c r="D10" s="2274"/>
      <c r="E10" s="2274"/>
      <c r="F10" s="2274"/>
      <c r="G10" s="2275"/>
    </row>
    <row r="11" spans="1:7" ht="15" customHeight="1" x14ac:dyDescent="0.25">
      <c r="A11" s="1537" t="s">
        <v>1820</v>
      </c>
      <c r="B11" s="1538"/>
      <c r="C11" s="1538"/>
      <c r="D11" s="1538"/>
      <c r="E11" s="1538"/>
      <c r="F11" s="1538"/>
      <c r="G11" s="1539"/>
    </row>
    <row r="12" spans="1:7" ht="17.25" customHeight="1" x14ac:dyDescent="0.25">
      <c r="A12" s="2273" t="s">
        <v>1933</v>
      </c>
      <c r="B12" s="2274"/>
      <c r="C12" s="2274"/>
      <c r="D12" s="2274"/>
      <c r="E12" s="2274"/>
      <c r="F12" s="2274"/>
      <c r="G12" s="2275"/>
    </row>
    <row r="13" spans="1:7" ht="15" customHeight="1" x14ac:dyDescent="0.25">
      <c r="A13" s="1537" t="s">
        <v>1825</v>
      </c>
      <c r="B13" s="1538"/>
      <c r="C13" s="1538"/>
      <c r="D13" s="1538"/>
      <c r="E13" s="1538"/>
      <c r="F13" s="1538"/>
      <c r="G13" s="1539"/>
    </row>
    <row r="14" spans="1:7" ht="32.25" customHeight="1" x14ac:dyDescent="0.25">
      <c r="A14" s="2264" t="s">
        <v>1974</v>
      </c>
      <c r="B14" s="2265"/>
      <c r="C14" s="2265"/>
      <c r="D14" s="2265"/>
      <c r="E14" s="2265"/>
      <c r="F14" s="2265"/>
      <c r="G14" s="2266"/>
    </row>
    <row r="15" spans="1:7" x14ac:dyDescent="0.25">
      <c r="A15" s="1660" t="s">
        <v>1833</v>
      </c>
      <c r="B15" s="1661"/>
      <c r="C15" s="1661"/>
      <c r="D15" s="1661"/>
      <c r="E15" s="1661"/>
      <c r="F15" s="1661"/>
      <c r="G15" s="1662"/>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2084</v>
      </c>
      <c r="B18" s="1937" t="s">
        <v>2085</v>
      </c>
      <c r="C18" s="1938" t="s">
        <v>2086</v>
      </c>
      <c r="D18" s="1842">
        <v>30198</v>
      </c>
      <c r="E18" s="1540">
        <f t="shared" ref="E18:E32" si="0">IF(D18&lt;=25000,D18,IF(D18&gt;25000,25000,0))</f>
        <v>25000</v>
      </c>
      <c r="F18" s="1932">
        <f t="shared" ref="F18:F2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5198</v>
      </c>
      <c r="H18" s="1647"/>
    </row>
    <row r="19" spans="1:8" x14ac:dyDescent="0.25">
      <c r="A19" s="1936" t="s">
        <v>2084</v>
      </c>
      <c r="B19" s="1937" t="s">
        <v>2085</v>
      </c>
      <c r="C19" s="1938" t="s">
        <v>2074</v>
      </c>
      <c r="D19" s="1842">
        <v>9500</v>
      </c>
      <c r="E19" s="1540">
        <f t="shared" ref="E19:E31" si="2">IF(D19&lt;=25000,D19,IF(D19&gt;25000,25000,0))</f>
        <v>9500</v>
      </c>
      <c r="F19" s="1932">
        <f t="shared" si="1"/>
        <v>9500</v>
      </c>
      <c r="G19" s="1792">
        <f t="shared" ref="G19:G31" si="3">IF(F19=0,0,D19-F19)</f>
        <v>0</v>
      </c>
    </row>
    <row r="20" spans="1:8" x14ac:dyDescent="0.25">
      <c r="A20" s="1936" t="s">
        <v>2084</v>
      </c>
      <c r="B20" s="1937" t="s">
        <v>2087</v>
      </c>
      <c r="C20" s="1938" t="s">
        <v>2095</v>
      </c>
      <c r="D20" s="1842">
        <v>15174.09</v>
      </c>
      <c r="E20" s="1540">
        <f t="shared" si="2"/>
        <v>15174.09</v>
      </c>
      <c r="F20" s="1932">
        <f t="shared" si="1"/>
        <v>15174.09</v>
      </c>
      <c r="G20" s="1792">
        <f t="shared" si="3"/>
        <v>0</v>
      </c>
    </row>
    <row r="21" spans="1:8" x14ac:dyDescent="0.25">
      <c r="A21" s="1936" t="s">
        <v>2084</v>
      </c>
      <c r="B21" s="1937" t="s">
        <v>2087</v>
      </c>
      <c r="C21" s="1938" t="s">
        <v>2096</v>
      </c>
      <c r="D21" s="1842">
        <v>4170.9399999999996</v>
      </c>
      <c r="E21" s="1540">
        <f t="shared" si="2"/>
        <v>4170.9399999999996</v>
      </c>
      <c r="F21" s="1932">
        <f t="shared" si="1"/>
        <v>4170.9399999999996</v>
      </c>
      <c r="G21" s="1792">
        <f t="shared" si="3"/>
        <v>0</v>
      </c>
    </row>
    <row r="22" spans="1:8" x14ac:dyDescent="0.25">
      <c r="A22" s="1936" t="s">
        <v>2091</v>
      </c>
      <c r="B22" s="1937" t="s">
        <v>2088</v>
      </c>
      <c r="C22" s="1938" t="s">
        <v>2097</v>
      </c>
      <c r="D22" s="1842">
        <v>3328.21</v>
      </c>
      <c r="E22" s="1540">
        <f t="shared" si="2"/>
        <v>3328.21</v>
      </c>
      <c r="F22" s="1932">
        <f t="shared" si="1"/>
        <v>3328.21</v>
      </c>
      <c r="G22" s="1792">
        <f t="shared" si="3"/>
        <v>0</v>
      </c>
    </row>
    <row r="23" spans="1:8" x14ac:dyDescent="0.25">
      <c r="A23" s="1936" t="s">
        <v>2091</v>
      </c>
      <c r="B23" s="1937" t="s">
        <v>2089</v>
      </c>
      <c r="C23" s="1938" t="s">
        <v>2098</v>
      </c>
      <c r="D23" s="1842">
        <v>8756</v>
      </c>
      <c r="E23" s="1540">
        <f t="shared" si="2"/>
        <v>8756</v>
      </c>
      <c r="F23" s="1932">
        <f t="shared" si="1"/>
        <v>8756</v>
      </c>
      <c r="G23" s="1792">
        <f t="shared" si="3"/>
        <v>0</v>
      </c>
    </row>
    <row r="24" spans="1:8" x14ac:dyDescent="0.25">
      <c r="A24" s="1936" t="s">
        <v>2091</v>
      </c>
      <c r="B24" s="1937" t="s">
        <v>2089</v>
      </c>
      <c r="C24" s="1938" t="s">
        <v>2093</v>
      </c>
      <c r="D24" s="1842">
        <v>2500</v>
      </c>
      <c r="E24" s="1540">
        <f t="shared" si="2"/>
        <v>2500</v>
      </c>
      <c r="F24" s="1932">
        <f t="shared" si="1"/>
        <v>2500</v>
      </c>
      <c r="G24" s="1792">
        <f t="shared" si="3"/>
        <v>0</v>
      </c>
    </row>
    <row r="25" spans="1:8" x14ac:dyDescent="0.25">
      <c r="A25" s="1936" t="s">
        <v>2091</v>
      </c>
      <c r="B25" s="1937" t="s">
        <v>2089</v>
      </c>
      <c r="C25" s="1938" t="s">
        <v>2094</v>
      </c>
      <c r="D25" s="1842">
        <v>23885</v>
      </c>
      <c r="E25" s="1540">
        <f t="shared" si="2"/>
        <v>23885</v>
      </c>
      <c r="F25" s="1932">
        <f t="shared" si="1"/>
        <v>23885</v>
      </c>
      <c r="G25" s="1792">
        <f t="shared" si="3"/>
        <v>0</v>
      </c>
    </row>
    <row r="26" spans="1:8" x14ac:dyDescent="0.25">
      <c r="A26" s="1936" t="s">
        <v>2092</v>
      </c>
      <c r="B26" s="1937" t="s">
        <v>2090</v>
      </c>
      <c r="C26" s="1938" t="s">
        <v>2099</v>
      </c>
      <c r="D26" s="1842">
        <v>54774</v>
      </c>
      <c r="E26" s="1540">
        <f t="shared" si="2"/>
        <v>25000</v>
      </c>
      <c r="F26" s="1932">
        <f t="shared" si="1"/>
        <v>25000</v>
      </c>
      <c r="G26" s="1792">
        <f t="shared" si="3"/>
        <v>29774</v>
      </c>
    </row>
    <row r="27" spans="1:8" x14ac:dyDescent="0.25">
      <c r="A27" s="1653"/>
      <c r="B27" s="1937"/>
      <c r="C27" s="1655"/>
      <c r="D27" s="1842"/>
      <c r="E27" s="1540">
        <f t="shared" si="2"/>
        <v>0</v>
      </c>
      <c r="F27" s="1932">
        <f t="shared" si="1"/>
        <v>0</v>
      </c>
      <c r="G27" s="1792">
        <f t="shared" si="3"/>
        <v>0</v>
      </c>
    </row>
    <row r="28" spans="1:8" x14ac:dyDescent="0.25">
      <c r="A28" s="1653"/>
      <c r="B28" s="1937"/>
      <c r="C28" s="1655"/>
      <c r="D28" s="1842"/>
      <c r="E28" s="1540">
        <f t="shared" si="2"/>
        <v>0</v>
      </c>
      <c r="F28" s="1932">
        <f t="shared" si="1"/>
        <v>0</v>
      </c>
      <c r="G28" s="1792">
        <f t="shared" si="3"/>
        <v>0</v>
      </c>
    </row>
    <row r="29" spans="1:8" x14ac:dyDescent="0.25">
      <c r="A29" s="1653"/>
      <c r="B29" s="1666"/>
      <c r="C29" s="1654"/>
      <c r="D29" s="1842"/>
      <c r="E29" s="1540">
        <f t="shared" ref="E29:E30" si="4">IF(D29&lt;=25000,D29,IF(D29&gt;25000,25000,0))</f>
        <v>0</v>
      </c>
      <c r="F29" s="1932">
        <f t="shared" ref="F29:F31" si="5">(IF(D29="",0,(IF(OR(B29="10-1000-100",B29="10-1000-200",B29="10-1000-300",B29="10-1000-400",B29="10-1000-600",B29="10-1000-800",B29="50-1000-200",B29="10-2100-100",B29="10-2100-200",B29="10-2100-300",B29="10-2100-400",B29="10-2100-600",B29="10-2100-800",B29="20-2100-100",B29="20-2100-200",B29="20-2100-300",B29="20-2100-400",B29="20-2100-600",B29="20-2100-800",B29="40-2100-100",B29="40-2100-200",B29="40-2100-300",B29="40-2100-400",B29="40-2100-600",B29="40-2100-800",B29="50-2100-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10-2540-800",B29="20-2540-100",B29="20-2540-200",B29="20-2540-300",B29="20-2540-400",B29="20-2540-600",B29="20-2540-800",B29="50-2540-200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10-3000-100",B29="10-3000-200",B29="10-3000-300",B29="10-3000-400",B29="10-3000-600",B29="10-3000-800",B29="20-3000-100",B29="20-3000-200",B29="20-3000-300",B29="20-3000-400",B29="20-3000-600",B29="20-3000-800",B29="40-3000-100",B29="40-3000-200",B29="40-3000-300",B29="40-3000-400",B29="40-3000-600",B29="40-3000-800",B29="50-3000-200"),E29,"Check func/obj # in Colm B"))))</f>
        <v>0</v>
      </c>
      <c r="G29" s="1792">
        <f t="shared" ref="G29:G30" si="6">IF(F29=0,0,D29-F29)</f>
        <v>0</v>
      </c>
    </row>
    <row r="30" spans="1:8" x14ac:dyDescent="0.25">
      <c r="A30" s="1653"/>
      <c r="B30" s="1666"/>
      <c r="C30" s="1654"/>
      <c r="D30" s="1842"/>
      <c r="E30" s="1540">
        <f t="shared" si="4"/>
        <v>0</v>
      </c>
      <c r="F30" s="1932">
        <f t="shared" si="5"/>
        <v>0</v>
      </c>
      <c r="G30" s="1792">
        <f t="shared" si="6"/>
        <v>0</v>
      </c>
    </row>
    <row r="31" spans="1:8" x14ac:dyDescent="0.25">
      <c r="A31" s="1653"/>
      <c r="B31" s="1665"/>
      <c r="C31" s="1654"/>
      <c r="D31" s="1842"/>
      <c r="E31" s="1540">
        <f t="shared" si="2"/>
        <v>0</v>
      </c>
      <c r="F31" s="1932">
        <f t="shared" si="5"/>
        <v>0</v>
      </c>
      <c r="G31" s="1792">
        <f t="shared" si="3"/>
        <v>0</v>
      </c>
    </row>
    <row r="32" spans="1:8" x14ac:dyDescent="0.25">
      <c r="A32" s="1795" t="s">
        <v>156</v>
      </c>
      <c r="B32" s="1796"/>
      <c r="C32" s="1797"/>
      <c r="D32" s="1793">
        <f>SUM(D18:D31)</f>
        <v>152286.24</v>
      </c>
      <c r="E32" s="1541">
        <f t="shared" si="0"/>
        <v>25000</v>
      </c>
      <c r="F32" s="1930">
        <f>SUM(F18:F31)</f>
        <v>117314.23999999999</v>
      </c>
      <c r="G32" s="1794">
        <f>SUM(G18:G31)</f>
        <v>34972</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4" t="s">
        <v>1975</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1652172</v>
      </c>
      <c r="F19" s="1798"/>
      <c r="G19" s="1800">
        <f>'Expenditures 15-22'!K33-SUM('Expenditures 15-22'!G33,'Expenditures 15-22'!I33)+'Expenditures 15-22'!D229</f>
        <v>1652172</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62836</v>
      </c>
      <c r="F21" s="1801"/>
      <c r="G21" s="1804">
        <f>'Expenditures 15-22'!K42-SUM('Expenditures 15-22'!G42,'Expenditures 15-22'!I42)+'Expenditures 15-22'!K120-SUM('Expenditures 15-22'!G120,'Expenditures 15-22'!I120)+'Expenditures 15-22'!K180-SUM('Expenditures 15-22'!G180,'Expenditures 15-22'!I180)+'Expenditures 15-22'!D238</f>
        <v>62836</v>
      </c>
      <c r="H21" s="987"/>
      <c r="I21" s="162"/>
    </row>
    <row r="22" spans="1:9" s="668" customFormat="1" ht="12" customHeight="1" x14ac:dyDescent="0.2">
      <c r="A22" s="994" t="s">
        <v>564</v>
      </c>
      <c r="B22" s="995"/>
      <c r="C22" s="993">
        <v>2200</v>
      </c>
      <c r="D22" s="1801"/>
      <c r="E22" s="1803">
        <f>'Expenditures 15-22'!K47-SUM('Expenditures 15-22'!G47,'Expenditures 15-22'!I47)+'Expenditures 15-22'!D243</f>
        <v>112124</v>
      </c>
      <c r="F22" s="1801"/>
      <c r="G22" s="1804">
        <f>'Expenditures 15-22'!K47-SUM('Expenditures 15-22'!G47,'Expenditures 15-22'!I47)+'Expenditures 15-22'!D243</f>
        <v>112124</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554187</v>
      </c>
      <c r="F23" s="1801"/>
      <c r="G23" s="1803">
        <f>'Expenditures 15-22'!K53-SUM('Expenditures 15-22'!G53,'Expenditures 15-22'!I53)+'Expenditures 15-22'!D257+'Expenditures 15-22'!K330-SUM('Expenditures 15-22'!G330,'Expenditures 15-22'!I330)</f>
        <v>554187</v>
      </c>
      <c r="H23" s="987"/>
      <c r="I23" s="162"/>
    </row>
    <row r="24" spans="1:9" s="668" customFormat="1" ht="12" customHeight="1" x14ac:dyDescent="0.2">
      <c r="A24" s="994" t="s">
        <v>566</v>
      </c>
      <c r="B24" s="995"/>
      <c r="C24" s="993">
        <v>2400</v>
      </c>
      <c r="D24" s="1801"/>
      <c r="E24" s="1803">
        <f>'Expenditures 15-22'!K57-SUM('Expenditures 15-22'!G57,'Expenditures 15-22'!I57)+'Expenditures 15-22'!D261</f>
        <v>160022</v>
      </c>
      <c r="F24" s="1801"/>
      <c r="G24" s="1804">
        <f>'Expenditures 15-22'!K57-SUM('Expenditures 15-22'!G57,'Expenditures 15-22'!I57)+'Expenditures 15-22'!D261</f>
        <v>160022</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73094</v>
      </c>
      <c r="E27" s="1803">
        <f>E8</f>
        <v>0</v>
      </c>
      <c r="F27" s="1803">
        <f>'Expenditures 15-22'!K60-SUM('Expenditures 15-22'!G60,'Expenditures 15-22'!I60)+'Expenditures 15-22'!D264-E8</f>
        <v>73094</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472431</v>
      </c>
      <c r="F28" s="1805">
        <f>'Expenditures 15-22'!K61-SUM('Expenditures 15-22'!G61,'Expenditures 15-22'!I61)+'Expenditures 15-22'!K124-SUM('Expenditures 15-22'!G124,'Expenditures 15-22'!I124)+'Expenditures 15-22'!D266-E9</f>
        <v>472431</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268316</v>
      </c>
      <c r="F29" s="1801"/>
      <c r="G29" s="1804">
        <f>'Expenditures 15-22'!K62-SUM('Expenditures 15-22'!G62,'Expenditures 15-22'!I62)+'Expenditures 15-22'!K125-SUM('Expenditures 15-22'!G125,'Expenditures 15-22'!I125)+'Expenditures 15-22'!K182-SUM('Expenditures 15-22'!G182,'Expenditures 15-22'!I182)+'Expenditures 15-22'!D267</f>
        <v>268316</v>
      </c>
      <c r="H29" s="985"/>
    </row>
    <row r="30" spans="1:9" ht="12" customHeight="1" x14ac:dyDescent="0.2">
      <c r="A30" s="994" t="s">
        <v>100</v>
      </c>
      <c r="B30" s="997"/>
      <c r="C30" s="993">
        <v>2560</v>
      </c>
      <c r="D30" s="1801"/>
      <c r="E30" s="1803">
        <f>'Expenditures 15-22'!K63-SUM('Expenditures 15-22'!G63,'Expenditures 15-22'!I63)+'Expenditures 15-22'!D268-E10</f>
        <v>199877</v>
      </c>
      <c r="F30" s="1801"/>
      <c r="G30" s="1803">
        <f>'Expenditures 15-22'!K63-SUM('Expenditures 15-22'!G63,'Expenditures 15-22'!I63)+'Expenditures 15-22'!D268-E10</f>
        <v>199877</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6054</v>
      </c>
      <c r="E36" s="1803">
        <f>E13</f>
        <v>0</v>
      </c>
      <c r="F36" s="1803">
        <f>'Expenditures 15-22'!K70-SUM('Expenditures 15-22'!G70,'Expenditures 15-22'!I70)+'Expenditures 15-22'!D275-E13</f>
        <v>6054</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6629</v>
      </c>
      <c r="F38" s="1801"/>
      <c r="G38" s="1803">
        <f>'Expenditures 15-22'!K73-SUM('Expenditures 15-22'!G73,'Expenditures 15-22'!I73)+'Expenditures 15-22'!K128-SUM('Expenditures 15-22'!G128,'Expenditures 15-22'!I128)+'Expenditures 15-22'!K183-SUM('Expenditures 15-22'!G183,'Expenditures 15-22'!I183)+'Expenditures 15-22'!D278</f>
        <v>6629</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217502</v>
      </c>
      <c r="F39" s="1801"/>
      <c r="G39" s="1803">
        <f>'Expenditures 15-22'!K75-SUM('Expenditures 15-22'!G75,'Expenditures 15-22'!I75)+'Expenditures 15-22'!K130-SUM('Expenditures 15-22'!G130,'Expenditures 15-22'!I130)+'Expenditures 15-22'!K185-SUM('Expenditures 15-22'!G185,'Expenditures 15-22'!I185)+'Expenditures 15-22'!D280</f>
        <v>217502</v>
      </c>
    </row>
    <row r="40" spans="1:7" ht="12" customHeight="1" x14ac:dyDescent="0.2">
      <c r="A40" s="990" t="s">
        <v>1823</v>
      </c>
      <c r="B40" s="991"/>
      <c r="C40" s="993"/>
      <c r="D40" s="1801"/>
      <c r="E40" s="1805">
        <f>-'Contracts Paid in CY 29'!G32</f>
        <v>-34972</v>
      </c>
      <c r="F40" s="1801"/>
      <c r="G40" s="1805">
        <f>-'Contracts Paid in CY 29'!G32</f>
        <v>-34972</v>
      </c>
    </row>
    <row r="41" spans="1:7" ht="12" customHeight="1" x14ac:dyDescent="0.2">
      <c r="A41" s="998" t="s">
        <v>156</v>
      </c>
      <c r="B41" s="999"/>
      <c r="C41" s="1000"/>
      <c r="D41" s="1805">
        <f>SUM(D19:D39)</f>
        <v>79148</v>
      </c>
      <c r="E41" s="1805">
        <f>SUM(E19:E40)</f>
        <v>3671124</v>
      </c>
      <c r="F41" s="1805">
        <f>SUM(F19:F39)</f>
        <v>551579</v>
      </c>
      <c r="G41" s="1805">
        <f>SUM(G19:G40)</f>
        <v>3198693</v>
      </c>
    </row>
    <row r="42" spans="1:7" x14ac:dyDescent="0.2">
      <c r="A42" s="987"/>
      <c r="B42" s="162"/>
      <c r="C42" s="1001"/>
      <c r="D42" s="2282" t="s">
        <v>522</v>
      </c>
      <c r="E42" s="2283"/>
      <c r="F42" s="1002" t="s">
        <v>523</v>
      </c>
      <c r="G42" s="1003"/>
    </row>
    <row r="43" spans="1:7" ht="12" customHeight="1" x14ac:dyDescent="0.2">
      <c r="A43" s="987"/>
      <c r="B43" s="162"/>
      <c r="C43" s="1001"/>
      <c r="D43" s="1806" t="s">
        <v>473</v>
      </c>
      <c r="E43" s="1807">
        <f>D41</f>
        <v>79148</v>
      </c>
      <c r="F43" s="1806" t="s">
        <v>473</v>
      </c>
      <c r="G43" s="1807">
        <f>F41</f>
        <v>551579</v>
      </c>
    </row>
    <row r="44" spans="1:7" ht="12" customHeight="1" x14ac:dyDescent="0.2">
      <c r="A44" s="987"/>
      <c r="B44" s="162"/>
      <c r="C44" s="1001"/>
      <c r="D44" s="1806" t="s">
        <v>474</v>
      </c>
      <c r="E44" s="1807">
        <f>E41</f>
        <v>3671124</v>
      </c>
      <c r="F44" s="1806" t="s">
        <v>474</v>
      </c>
      <c r="G44" s="1807">
        <f>G41</f>
        <v>3198693</v>
      </c>
    </row>
    <row r="45" spans="1:7" ht="12" customHeight="1" x14ac:dyDescent="0.2">
      <c r="A45" s="987"/>
      <c r="B45" s="162"/>
      <c r="C45" s="162"/>
      <c r="D45" s="1808" t="s">
        <v>1006</v>
      </c>
      <c r="E45" s="1809">
        <f>(E43/E44)</f>
        <v>2.1559609536479837E-2</v>
      </c>
      <c r="F45" s="1808" t="s">
        <v>1006</v>
      </c>
      <c r="G45" s="1809">
        <f>(G43/G44)</f>
        <v>0.17243886800014882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B9" sqref="B9"/>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1" t="s">
        <v>1379</v>
      </c>
      <c r="B1" s="2301"/>
      <c r="C1" s="2301"/>
      <c r="D1" s="2301"/>
      <c r="E1" s="2301"/>
      <c r="F1" s="2301"/>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302" t="s">
        <v>1546</v>
      </c>
      <c r="B5" s="2303"/>
      <c r="C5" s="2304"/>
      <c r="D5" s="2304"/>
      <c r="E5" s="2304"/>
      <c r="F5" s="2304"/>
    </row>
    <row r="6" spans="1:10" ht="12" customHeight="1" x14ac:dyDescent="0.25">
      <c r="A6" s="1848"/>
      <c r="B6" s="1849"/>
      <c r="C6" s="2305" t="str">
        <f>COVER!A17</f>
        <v>Pembroke CCSD 259</v>
      </c>
      <c r="D6" s="2305"/>
      <c r="E6" s="2305"/>
      <c r="F6" s="1850"/>
    </row>
    <row r="7" spans="1:10" ht="11.25" customHeight="1" thickBot="1" x14ac:dyDescent="0.3">
      <c r="A7" s="1848"/>
      <c r="B7" s="1849"/>
      <c r="C7" s="2306">
        <f>COVER!A13</f>
        <v>32046259004</v>
      </c>
      <c r="D7" s="2306"/>
      <c r="E7" s="2306"/>
      <c r="F7" s="1850"/>
    </row>
    <row r="8" spans="1:10" ht="25.5" customHeight="1" thickBot="1" x14ac:dyDescent="0.25">
      <c r="A8" s="1891" t="s">
        <v>1907</v>
      </c>
      <c r="B8" s="1851" t="s">
        <v>2066</v>
      </c>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c r="D26" s="1863"/>
      <c r="E26" s="1866"/>
      <c r="F26" s="1865"/>
      <c r="H26" s="1876">
        <f t="shared" si="0"/>
        <v>0</v>
      </c>
      <c r="I26" s="1876">
        <f t="shared" si="1"/>
        <v>0</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0</v>
      </c>
      <c r="I34" s="1876">
        <f>SUM(I11:I32)</f>
        <v>0</v>
      </c>
      <c r="J34" s="1876">
        <f>SUM(J11:J32)</f>
        <v>0</v>
      </c>
      <c r="K34" s="1876">
        <f>SUM(H34:J34)</f>
        <v>0</v>
      </c>
    </row>
    <row r="35" spans="1:11" ht="12" customHeight="1" x14ac:dyDescent="0.2">
      <c r="A35" s="1869" t="s">
        <v>1392</v>
      </c>
      <c r="B35" s="1870"/>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1"/>
      <c r="B39" s="1871"/>
      <c r="C39" s="1871"/>
      <c r="D39" s="1871"/>
      <c r="E39" s="1871"/>
      <c r="F39" s="1871"/>
    </row>
    <row r="40" spans="1:11" s="1868" customFormat="1" ht="12" customHeight="1" x14ac:dyDescent="0.25">
      <c r="A40" s="1872" t="s">
        <v>1391</v>
      </c>
      <c r="B40" s="1873"/>
      <c r="C40" s="2296"/>
      <c r="D40" s="2296"/>
      <c r="E40" s="2296"/>
      <c r="F40" s="2297"/>
      <c r="H40" s="1877"/>
      <c r="I40" s="1877"/>
      <c r="J40" s="1877"/>
      <c r="K40" s="1877"/>
    </row>
    <row r="41" spans="1:11" s="1868" customFormat="1" ht="12" customHeight="1" x14ac:dyDescent="0.25">
      <c r="A41" s="2298"/>
      <c r="B41" s="2299"/>
      <c r="C41" s="2299"/>
      <c r="D41" s="2299"/>
      <c r="E41" s="2299"/>
      <c r="F41" s="2300"/>
      <c r="H41" s="1877"/>
      <c r="I41" s="1877"/>
      <c r="J41" s="1877"/>
      <c r="K41" s="1877"/>
    </row>
    <row r="42" spans="1:11" s="1868" customFormat="1" ht="12" customHeight="1" x14ac:dyDescent="0.25">
      <c r="A42" s="2298"/>
      <c r="B42" s="2299"/>
      <c r="C42" s="2299"/>
      <c r="D42" s="2299"/>
      <c r="E42" s="2299"/>
      <c r="F42" s="2300"/>
      <c r="H42" s="1877"/>
      <c r="I42" s="1877"/>
      <c r="J42" s="1877"/>
      <c r="K42" s="1877"/>
    </row>
    <row r="43" spans="1:11" s="1868" customFormat="1" ht="15" x14ac:dyDescent="0.25">
      <c r="A43" s="2287"/>
      <c r="B43" s="2288"/>
      <c r="C43" s="2288"/>
      <c r="D43" s="2288"/>
      <c r="E43" s="2288"/>
      <c r="F43" s="2289"/>
      <c r="H43" s="1877"/>
      <c r="I43" s="1877"/>
      <c r="J43" s="1877"/>
      <c r="K43" s="1877"/>
    </row>
    <row r="44" spans="1:11" s="1868" customFormat="1" ht="12" hidden="1" customHeight="1" x14ac:dyDescent="0.25">
      <c r="A44" s="2287"/>
      <c r="B44" s="2288"/>
      <c r="C44" s="2288"/>
      <c r="D44" s="2288"/>
      <c r="E44" s="2288"/>
      <c r="F44" s="2289"/>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14" t="str">
        <f>COVER!A17</f>
        <v>Pembroke CCSD 259</v>
      </c>
      <c r="J6" s="2315"/>
      <c r="Q6" s="1663"/>
    </row>
    <row r="7" spans="1:17" x14ac:dyDescent="0.2">
      <c r="A7" s="2316" t="s">
        <v>869</v>
      </c>
      <c r="B7" s="2317"/>
      <c r="C7" s="2317"/>
      <c r="D7" s="2317"/>
      <c r="E7" s="2318"/>
      <c r="F7" s="1017"/>
      <c r="G7" s="1009"/>
      <c r="H7" s="1016" t="s">
        <v>372</v>
      </c>
      <c r="I7" s="2319">
        <f>COVER!A13</f>
        <v>32046259004</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1977</v>
      </c>
      <c r="F9" s="1023"/>
      <c r="G9" s="1023"/>
      <c r="H9" s="1894"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258354</v>
      </c>
      <c r="F12" s="1039"/>
      <c r="G12" s="1810">
        <f t="shared" ref="G12:G18" si="0">SUM(E12:F12)</f>
        <v>258354</v>
      </c>
      <c r="H12" s="1040">
        <v>260000</v>
      </c>
      <c r="I12" s="1039"/>
      <c r="J12" s="1810">
        <f t="shared" ref="J12:J18" si="1">SUM(H12:I12)</f>
        <v>260000</v>
      </c>
    </row>
    <row r="13" spans="1:17" ht="15" customHeight="1" x14ac:dyDescent="0.2">
      <c r="A13" s="1035">
        <v>2</v>
      </c>
      <c r="B13" s="1036" t="s">
        <v>42</v>
      </c>
      <c r="C13" s="1037"/>
      <c r="D13" s="1038">
        <v>2330</v>
      </c>
      <c r="E13" s="1810">
        <f>'Expenditures 15-22'!K51</f>
        <v>99428</v>
      </c>
      <c r="F13" s="1039"/>
      <c r="G13" s="1810">
        <f t="shared" si="0"/>
        <v>99428</v>
      </c>
      <c r="H13" s="1040">
        <v>100000</v>
      </c>
      <c r="I13" s="1039"/>
      <c r="J13" s="1810">
        <f t="shared" si="1"/>
        <v>100000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3" t="s">
        <v>7</v>
      </c>
      <c r="C18" s="2324"/>
      <c r="D18" s="2325"/>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357782</v>
      </c>
      <c r="F19" s="1812">
        <f t="shared" si="2"/>
        <v>0</v>
      </c>
      <c r="G19" s="1812">
        <f t="shared" si="2"/>
        <v>357782</v>
      </c>
      <c r="H19" s="1812">
        <f t="shared" si="2"/>
        <v>360000</v>
      </c>
      <c r="I19" s="1812">
        <f t="shared" si="2"/>
        <v>0</v>
      </c>
      <c r="J19" s="1812">
        <f t="shared" si="2"/>
        <v>360000</v>
      </c>
    </row>
    <row r="20" spans="1:10" ht="13.5" thickTop="1" x14ac:dyDescent="0.2">
      <c r="A20" s="1035">
        <v>9</v>
      </c>
      <c r="B20" s="2326" t="s">
        <v>1979</v>
      </c>
      <c r="C20" s="2326"/>
      <c r="D20" s="2327"/>
      <c r="E20" s="1046"/>
      <c r="F20" s="1046"/>
      <c r="G20" s="1046"/>
      <c r="H20" s="1046"/>
      <c r="I20" s="1046"/>
      <c r="J20" s="1813">
        <f>IF(AND(G19&gt;0,J19&gt;0),(((J19-G19)/G19)),"Enter Budget Data")</f>
        <v>6.1993057224790519E-3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1981</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Pembroke CCSD 259</v>
      </c>
    </row>
    <row r="65" spans="2:2" x14ac:dyDescent="0.2">
      <c r="B65" s="1070">
        <f>COVER!A13</f>
        <v>32046259004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3"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9" sqref="E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47625</xdr:colOff>
                <xdr:row>0</xdr:row>
                <xdr:rowOff>142875</xdr:rowOff>
              </from>
              <to>
                <xdr:col>1</xdr:col>
                <xdr:colOff>962025</xdr:colOff>
                <xdr:row>5</xdr:row>
                <xdr:rowOff>19050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1162050</xdr:colOff>
                <xdr:row>1</xdr:row>
                <xdr:rowOff>0</xdr:rowOff>
              </from>
              <to>
                <xdr:col>1</xdr:col>
                <xdr:colOff>2076450</xdr:colOff>
                <xdr:row>5</xdr:row>
                <xdr:rowOff>38100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2247900</xdr:colOff>
                <xdr:row>1</xdr:row>
                <xdr:rowOff>19050</xdr:rowOff>
              </from>
              <to>
                <xdr:col>1</xdr:col>
                <xdr:colOff>3162300</xdr:colOff>
                <xdr:row>5</xdr:row>
                <xdr:rowOff>57150</xdr:rowOff>
              </to>
            </anchor>
          </objectPr>
        </oleObject>
      </mc:Choice>
      <mc:Fallback>
        <oleObject progId="Acrobat Document" dvAspect="DVASPECT_ICON" shapeId="5120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1985</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1986</v>
      </c>
      <c r="B4" s="2354"/>
      <c r="C4" s="2354"/>
      <c r="D4" s="2354"/>
      <c r="E4" s="2354"/>
      <c r="F4" s="2355"/>
      <c r="G4" s="1074"/>
      <c r="H4" s="1074"/>
    </row>
    <row r="5" spans="1:8" ht="14.25" customHeight="1" x14ac:dyDescent="0.2">
      <c r="A5" s="2356" t="s">
        <v>1982</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3137846</v>
      </c>
      <c r="C8" s="1814">
        <f>'Acct Summary 7-8'!D8</f>
        <v>450591</v>
      </c>
      <c r="D8" s="1814">
        <f>'Acct Summary 7-8'!F8</f>
        <v>135422</v>
      </c>
      <c r="E8" s="1814">
        <f>'Acct Summary 7-8'!I8</f>
        <v>6487</v>
      </c>
      <c r="F8" s="1814">
        <f>SUM(B8:E8)</f>
        <v>3730346</v>
      </c>
    </row>
    <row r="9" spans="1:8" s="1079" customFormat="1" ht="14.25" customHeight="1" thickBot="1" x14ac:dyDescent="0.25">
      <c r="A9" s="1078" t="s">
        <v>1369</v>
      </c>
      <c r="B9" s="1815">
        <f>'Acct Summary 7-8'!C17</f>
        <v>3043674</v>
      </c>
      <c r="C9" s="1815">
        <f>'Acct Summary 7-8'!D17</f>
        <v>429098</v>
      </c>
      <c r="D9" s="1815">
        <f>'Acct Summary 7-8'!F17</f>
        <v>255774</v>
      </c>
      <c r="E9" s="1814"/>
      <c r="F9" s="1814">
        <f>SUM(B9:E9)</f>
        <v>3728546</v>
      </c>
    </row>
    <row r="10" spans="1:8" s="1079" customFormat="1" ht="14.25" thickTop="1" thickBot="1" x14ac:dyDescent="0.25">
      <c r="A10" s="1080" t="s">
        <v>1370</v>
      </c>
      <c r="B10" s="1816">
        <f>(B8-B9)</f>
        <v>94172</v>
      </c>
      <c r="C10" s="1816">
        <f>(C8-C9)</f>
        <v>21493</v>
      </c>
      <c r="D10" s="1816">
        <f>(D8-D9)</f>
        <v>-120352</v>
      </c>
      <c r="E10" s="1815">
        <f>(E8-E9)</f>
        <v>6487</v>
      </c>
      <c r="F10" s="1817">
        <f>SUM(F8-F9)</f>
        <v>1800</v>
      </c>
    </row>
    <row r="11" spans="1:8" s="1079" customFormat="1" ht="14.25" thickTop="1" thickBot="1" x14ac:dyDescent="0.25">
      <c r="A11" s="1081" t="s">
        <v>1983</v>
      </c>
      <c r="B11" s="1818">
        <f>'Acct Summary 7-8'!C81</f>
        <v>439596</v>
      </c>
      <c r="C11" s="1818">
        <f>'Acct Summary 7-8'!D81</f>
        <v>26106</v>
      </c>
      <c r="D11" s="1818">
        <f>'Acct Summary 7-8'!F81</f>
        <v>125847</v>
      </c>
      <c r="E11" s="1818">
        <f>'Acct Summary 7-8'!I81</f>
        <v>0</v>
      </c>
      <c r="F11" s="1819">
        <f>SUM(B11:E11)</f>
        <v>591549</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6" colorId="8" zoomScale="110" zoomScaleNormal="110" workbookViewId="0">
      <selection activeCell="C51" sqref="C5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32046259004</v>
      </c>
    </row>
    <row r="3" spans="1:2" x14ac:dyDescent="0.2">
      <c r="A3" t="s">
        <v>956</v>
      </c>
      <c r="B3" s="138" t="str">
        <f>COVER!A15</f>
        <v>Kankakee</v>
      </c>
    </row>
    <row r="4" spans="1:2" x14ac:dyDescent="0.2">
      <c r="A4" t="s">
        <v>1007</v>
      </c>
      <c r="B4" s="138" t="str">
        <f>COVER!A17</f>
        <v>Pembroke CCSD 259</v>
      </c>
    </row>
    <row r="5" spans="1:2" x14ac:dyDescent="0.2">
      <c r="A5" t="s">
        <v>704</v>
      </c>
      <c r="B5" s="138" t="str">
        <f>COVER!A38</f>
        <v>Dr. Marcus Alexander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65.023278000000005</v>
      </c>
    </row>
    <row r="16" spans="1:2" x14ac:dyDescent="0.2">
      <c r="A16" t="s">
        <v>422</v>
      </c>
      <c r="B16" s="138" t="str">
        <f>COVER!T13</f>
        <v>Jodi K. Gill, CPA</v>
      </c>
    </row>
    <row r="17" spans="1:2" x14ac:dyDescent="0.2">
      <c r="A17" t="s">
        <v>884</v>
      </c>
      <c r="B17" s="138" t="str">
        <f>COVER!T15</f>
        <v>Jodi Gill</v>
      </c>
    </row>
    <row r="18" spans="1:2" x14ac:dyDescent="0.2">
      <c r="A18" t="s">
        <v>1150</v>
      </c>
      <c r="B18" s="138" t="str">
        <f>COVER!T17</f>
        <v>33 N. Main St. Ste. #1</v>
      </c>
    </row>
    <row r="19" spans="1:2" x14ac:dyDescent="0.2">
      <c r="A19" t="s">
        <v>886</v>
      </c>
      <c r="B19" s="138" t="str">
        <f>COVER!T25</f>
        <v>jodi@jodigillcpa.com</v>
      </c>
    </row>
    <row r="20" spans="1:2" x14ac:dyDescent="0.2">
      <c r="A20" t="s">
        <v>887</v>
      </c>
      <c r="B20" s="138" t="str">
        <f>COVER!T19</f>
        <v>Manteno</v>
      </c>
    </row>
    <row r="21" spans="1:2" x14ac:dyDescent="0.2">
      <c r="A21" t="s">
        <v>479</v>
      </c>
      <c r="B21" s="138" t="str">
        <f>COVER!X19</f>
        <v>Il</v>
      </c>
    </row>
    <row r="22" spans="1:2" x14ac:dyDescent="0.2">
      <c r="A22" t="s">
        <v>888</v>
      </c>
      <c r="B22" s="138">
        <f>COVER!Z19</f>
        <v>60950</v>
      </c>
    </row>
    <row r="23" spans="1:2" x14ac:dyDescent="0.2">
      <c r="A23" t="s">
        <v>1152</v>
      </c>
      <c r="B23" s="138" t="str">
        <f>COVER!T21</f>
        <v>815-468-8802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439596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439596</v>
      </c>
      <c r="D92" s="2" t="str">
        <f t="shared" si="0"/>
        <v>Error?</v>
      </c>
    </row>
    <row r="93" spans="1:4" x14ac:dyDescent="0.2">
      <c r="A93" s="5">
        <v>32</v>
      </c>
      <c r="B93" s="138">
        <f>'Assets-Liab 5-6'!C41</f>
        <v>439596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26106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26106</v>
      </c>
      <c r="D123" s="2" t="str">
        <f t="shared" si="0"/>
        <v>Error?</v>
      </c>
    </row>
    <row r="124" spans="1:4" x14ac:dyDescent="0.2">
      <c r="A124" s="5">
        <v>63</v>
      </c>
      <c r="B124" s="138">
        <f>'Assets-Liab 5-6'!D41</f>
        <v>26106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170124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44277</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170124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1686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5922</v>
      </c>
      <c r="C188" s="2" t="s">
        <v>573</v>
      </c>
      <c r="D188" s="2" t="str">
        <f t="shared" si="1"/>
        <v>Error?</v>
      </c>
    </row>
    <row r="189" spans="1:4" x14ac:dyDescent="0.2">
      <c r="A189" s="5">
        <v>128</v>
      </c>
      <c r="B189" s="138">
        <f>'Assets-Liab 5-6'!G39</f>
        <v>-4236</v>
      </c>
      <c r="D189" s="2" t="str">
        <f t="shared" si="1"/>
        <v>Error?</v>
      </c>
    </row>
    <row r="190" spans="1:4" x14ac:dyDescent="0.2">
      <c r="A190" s="5">
        <v>129</v>
      </c>
      <c r="B190" s="138">
        <f>'Assets-Liab 5-6'!G41</f>
        <v>1686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145100</v>
      </c>
      <c r="D283" s="2" t="str">
        <f t="shared" si="3"/>
        <v>Error?</v>
      </c>
    </row>
    <row r="284" spans="1:4" x14ac:dyDescent="0.2">
      <c r="A284" s="5">
        <v>223</v>
      </c>
      <c r="B284" s="138">
        <f>'Assets-Liab 5-6'!N23</f>
        <v>145100</v>
      </c>
      <c r="C284" s="2" t="s">
        <v>573</v>
      </c>
      <c r="D284" s="2" t="str">
        <f t="shared" si="3"/>
        <v>Error?</v>
      </c>
    </row>
    <row r="285" spans="1:4" x14ac:dyDescent="0.2">
      <c r="A285" s="5">
        <v>224</v>
      </c>
      <c r="B285" s="138">
        <f>'Assets-Liab 5-6'!N36</f>
        <v>145100</v>
      </c>
      <c r="D285" s="2" t="str">
        <f t="shared" si="3"/>
        <v>Error?</v>
      </c>
    </row>
    <row r="286" spans="1:4" x14ac:dyDescent="0.2">
      <c r="A286" s="10">
        <v>225</v>
      </c>
      <c r="D286" s="2" t="str">
        <f t="shared" si="3"/>
        <v>OK</v>
      </c>
    </row>
    <row r="287" spans="1:4" x14ac:dyDescent="0.2">
      <c r="A287" s="5">
        <v>226</v>
      </c>
      <c r="B287" s="138">
        <f>'Assets-Liab 5-6'!N37</f>
        <v>145100</v>
      </c>
      <c r="C287" s="2" t="s">
        <v>573</v>
      </c>
      <c r="D287" s="2" t="str">
        <f t="shared" si="3"/>
        <v>Error?</v>
      </c>
    </row>
    <row r="288" spans="1:4" x14ac:dyDescent="0.2">
      <c r="A288" s="5">
        <v>227</v>
      </c>
      <c r="B288" s="138">
        <f>'Assets-Liab 5-6'!N41</f>
        <v>145100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186521</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145100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888541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17411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1044636</v>
      </c>
      <c r="C720" s="2" t="s">
        <v>573</v>
      </c>
      <c r="D720" s="2" t="str">
        <f t="shared" si="10"/>
        <v>Error?</v>
      </c>
    </row>
    <row r="721" spans="1:4" x14ac:dyDescent="0.2">
      <c r="A721" s="5">
        <v>660</v>
      </c>
      <c r="B721" s="138">
        <f>'Expenditures 15-22'!C36</f>
        <v>14309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23290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37599</v>
      </c>
      <c r="C727" s="2" t="s">
        <v>573</v>
      </c>
      <c r="D727" s="2" t="str">
        <f t="shared" si="10"/>
        <v>Error?</v>
      </c>
    </row>
    <row r="728" spans="1:4" x14ac:dyDescent="0.2">
      <c r="A728" s="5">
        <v>667</v>
      </c>
      <c r="B728" s="138">
        <f>'Expenditures 15-22'!C44</f>
        <v>2861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2861</v>
      </c>
      <c r="C731" s="2" t="s">
        <v>573</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198043</v>
      </c>
      <c r="D733" s="2" t="str">
        <f t="shared" si="10"/>
        <v>Error?</v>
      </c>
    </row>
    <row r="734" spans="1:4" x14ac:dyDescent="0.2">
      <c r="A734" s="5">
        <v>673</v>
      </c>
      <c r="B734" s="138">
        <f>'Expenditures 15-22'!C53</f>
        <v>278728</v>
      </c>
      <c r="C734" s="2" t="s">
        <v>573</v>
      </c>
      <c r="D734" s="2" t="str">
        <f t="shared" si="10"/>
        <v>Error?</v>
      </c>
    </row>
    <row r="735" spans="1:4" x14ac:dyDescent="0.2">
      <c r="A735" s="5">
        <v>674</v>
      </c>
      <c r="B735" s="138">
        <f>'Expenditures 15-22'!C55</f>
        <v>124482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124482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16900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67448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84348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5038</v>
      </c>
      <c r="D754" s="2" t="str">
        <f t="shared" si="10"/>
        <v>Error?</v>
      </c>
    </row>
    <row r="755" spans="1:4" x14ac:dyDescent="0.2">
      <c r="A755" s="5">
        <v>694</v>
      </c>
      <c r="B755" s="138">
        <f>'Expenditures 15-22'!C74</f>
        <v>533056</v>
      </c>
      <c r="C755" s="2" t="s">
        <v>573</v>
      </c>
      <c r="D755" s="2" t="str">
        <f t="shared" si="10"/>
        <v>Error?</v>
      </c>
    </row>
    <row r="756" spans="1:4" x14ac:dyDescent="0.2">
      <c r="A756" s="5">
        <v>695</v>
      </c>
      <c r="B756" s="138">
        <f>'Expenditures 15-22'!C75</f>
        <v>151145</v>
      </c>
      <c r="D756" s="2" t="str">
        <f t="shared" si="10"/>
        <v>Error?</v>
      </c>
    </row>
    <row r="757" spans="1:4" x14ac:dyDescent="0.2">
      <c r="A757" s="5">
        <v>696</v>
      </c>
      <c r="B757" s="138">
        <f>'Expenditures 15-22'!C114</f>
        <v>1728837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146931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201278</v>
      </c>
      <c r="C778" s="2" t="s">
        <v>573</v>
      </c>
      <c r="D778" s="2" t="str">
        <f t="shared" si="11"/>
        <v>Error?</v>
      </c>
    </row>
    <row r="779" spans="1:4" x14ac:dyDescent="0.2">
      <c r="A779" s="5">
        <v>718</v>
      </c>
      <c r="B779" s="138">
        <f>'Expenditures 15-22'!D36</f>
        <v>281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267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548</v>
      </c>
      <c r="C785" s="2" t="s">
        <v>573</v>
      </c>
      <c r="D785" s="2" t="str">
        <f t="shared" si="11"/>
        <v>Error?</v>
      </c>
    </row>
    <row r="786" spans="1:4" x14ac:dyDescent="0.2">
      <c r="A786" s="5">
        <v>725</v>
      </c>
      <c r="B786" s="138">
        <f>'Expenditures 15-22'!D44</f>
        <v>221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29079</v>
      </c>
      <c r="D791" s="2" t="str">
        <f t="shared" si="11"/>
        <v>Error?</v>
      </c>
    </row>
    <row r="792" spans="1:4" x14ac:dyDescent="0.2">
      <c r="A792" s="5">
        <v>731</v>
      </c>
      <c r="B792" s="138">
        <f>'Expenditures 15-22'!D53</f>
        <v>49822</v>
      </c>
      <c r="C792" s="2" t="s">
        <v>573</v>
      </c>
      <c r="D792" s="2" t="str">
        <f t="shared" si="11"/>
        <v>Error?</v>
      </c>
    </row>
    <row r="793" spans="1:4" x14ac:dyDescent="0.2">
      <c r="A793" s="5">
        <v>732</v>
      </c>
      <c r="B793" s="138">
        <f>'Expenditures 15-22'!D55</f>
        <v>32020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32020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2290</v>
      </c>
      <c r="D797" s="2" t="str">
        <f t="shared" si="11"/>
        <v>Error?</v>
      </c>
    </row>
    <row r="798" spans="1:4" x14ac:dyDescent="0.2">
      <c r="A798" s="5">
        <v>737</v>
      </c>
      <c r="B798" s="138">
        <f>'Expenditures 15-22'!D61</f>
        <v>239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4690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43</v>
      </c>
      <c r="D812" s="2" t="str">
        <f t="shared" si="11"/>
        <v>Error?</v>
      </c>
    </row>
    <row r="813" spans="1:4" x14ac:dyDescent="0.2">
      <c r="A813" s="5">
        <v>752</v>
      </c>
      <c r="B813" s="138">
        <f>'Expenditures 15-22'!D74</f>
        <v>87344</v>
      </c>
      <c r="C813" s="2" t="s">
        <v>573</v>
      </c>
      <c r="D813" s="2" t="str">
        <f t="shared" si="11"/>
        <v>Error?</v>
      </c>
    </row>
    <row r="814" spans="1:4" x14ac:dyDescent="0.2">
      <c r="A814" s="5">
        <v>753</v>
      </c>
      <c r="B814" s="138">
        <f>'Expenditures 15-22'!D75</f>
        <v>22042</v>
      </c>
      <c r="D814" s="2" t="str">
        <f t="shared" si="11"/>
        <v>Error?</v>
      </c>
    </row>
    <row r="815" spans="1:4" x14ac:dyDescent="0.2">
      <c r="A815" s="5">
        <v>754</v>
      </c>
      <c r="B815" s="138">
        <f>'Expenditures 15-22'!D114</f>
        <v>310664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128731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3594</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198646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4625</v>
      </c>
      <c r="D840" s="2" t="str">
        <f t="shared" si="12"/>
        <v>Error?</v>
      </c>
    </row>
    <row r="841" spans="1:4" x14ac:dyDescent="0.2">
      <c r="A841" s="5">
        <v>780</v>
      </c>
      <c r="B841" s="138">
        <f>'Expenditures 15-22'!E40</f>
        <v>16940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21565</v>
      </c>
      <c r="C843" s="2" t="s">
        <v>573</v>
      </c>
      <c r="D843" s="2" t="str">
        <f t="shared" si="12"/>
        <v>Error?</v>
      </c>
    </row>
    <row r="844" spans="1:4" x14ac:dyDescent="0.2">
      <c r="A844" s="5">
        <v>783</v>
      </c>
      <c r="B844" s="138">
        <f>'Expenditures 15-22'!E44</f>
        <v>70046</v>
      </c>
      <c r="D844" s="2" t="str">
        <f t="shared" si="12"/>
        <v>Error?</v>
      </c>
    </row>
    <row r="845" spans="1:4" x14ac:dyDescent="0.2">
      <c r="A845" s="5">
        <v>784</v>
      </c>
      <c r="B845" s="138">
        <f>'Expenditures 15-22'!E45</f>
        <v>38907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108953</v>
      </c>
      <c r="C847" s="2" t="s">
        <v>573</v>
      </c>
      <c r="D847" s="2" t="str">
        <f t="shared" si="12"/>
        <v>Error?</v>
      </c>
    </row>
    <row r="848" spans="1:4" x14ac:dyDescent="0.2">
      <c r="A848" s="5">
        <v>787</v>
      </c>
      <c r="B848" s="138">
        <f>'Expenditures 15-22'!E49</f>
        <v>51600</v>
      </c>
      <c r="D848" s="2" t="str">
        <f t="shared" si="12"/>
        <v>Error?</v>
      </c>
    </row>
    <row r="849" spans="1:4" x14ac:dyDescent="0.2">
      <c r="A849" s="5">
        <v>788</v>
      </c>
      <c r="B849" s="138">
        <f>'Expenditures 15-22'!E50</f>
        <v>18747</v>
      </c>
      <c r="D849" s="2" t="str">
        <f t="shared" si="12"/>
        <v>Error?</v>
      </c>
    </row>
    <row r="850" spans="1:4" x14ac:dyDescent="0.2">
      <c r="A850" s="5">
        <v>789</v>
      </c>
      <c r="B850" s="138">
        <f>'Expenditures 15-22'!E53</f>
        <v>117739</v>
      </c>
      <c r="C850" s="2" t="s">
        <v>573</v>
      </c>
      <c r="D850" s="2" t="str">
        <f t="shared" si="12"/>
        <v>Error?</v>
      </c>
    </row>
    <row r="851" spans="1:4" x14ac:dyDescent="0.2">
      <c r="A851" s="5">
        <v>790</v>
      </c>
      <c r="B851" s="138">
        <f>'Expenditures 15-22'!E55</f>
        <v>1231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1231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69015</v>
      </c>
      <c r="D855" s="2" t="str">
        <f t="shared" si="12"/>
        <v>Error?</v>
      </c>
    </row>
    <row r="856" spans="1:4" x14ac:dyDescent="0.2">
      <c r="A856" s="5">
        <v>795</v>
      </c>
      <c r="B856" s="138">
        <f>'Expenditures 15-22'!E61</f>
        <v>13127</v>
      </c>
      <c r="D856" s="2" t="str">
        <f t="shared" si="12"/>
        <v>Error?</v>
      </c>
    </row>
    <row r="857" spans="1:4" x14ac:dyDescent="0.2">
      <c r="A857" s="5">
        <v>796</v>
      </c>
      <c r="B857" s="138">
        <f>'Expenditures 15-22'!E62</f>
        <v>2445</v>
      </c>
      <c r="D857" s="2" t="str">
        <f t="shared" si="12"/>
        <v>Error?</v>
      </c>
    </row>
    <row r="858" spans="1:4" x14ac:dyDescent="0.2">
      <c r="A858" s="5">
        <v>797</v>
      </c>
      <c r="B858" s="138">
        <f>'Expenditures 15-22'!E63</f>
        <v>3299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87886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5150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5150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342524</v>
      </c>
      <c r="C871" s="2" t="s">
        <v>573</v>
      </c>
      <c r="D871" s="2" t="str">
        <f t="shared" si="12"/>
        <v>Error?</v>
      </c>
    </row>
    <row r="872" spans="1:4" x14ac:dyDescent="0.2">
      <c r="A872" s="5">
        <v>811</v>
      </c>
      <c r="B872" s="138">
        <f>'Expenditures 15-22'!E75</f>
        <v>9243</v>
      </c>
      <c r="D872" s="2" t="str">
        <f t="shared" si="12"/>
        <v>Error?</v>
      </c>
    </row>
    <row r="873" spans="1:4" x14ac:dyDescent="0.2">
      <c r="A873" s="5">
        <v>812</v>
      </c>
      <c r="B873" s="138">
        <f>'Expenditures 15-22'!E114</f>
        <v>621800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174128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1507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177861</v>
      </c>
      <c r="C894" s="2" t="s">
        <v>573</v>
      </c>
      <c r="D894" s="2" t="str">
        <f t="shared" si="12"/>
        <v>Error?</v>
      </c>
    </row>
    <row r="895" spans="1:4" x14ac:dyDescent="0.2">
      <c r="A895" s="5">
        <v>834</v>
      </c>
      <c r="B895" s="138">
        <f>'Expenditures 15-22'!F36</f>
        <v>407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407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1785</v>
      </c>
      <c r="D906" s="2" t="str">
        <f t="shared" si="13"/>
        <v>Error?</v>
      </c>
    </row>
    <row r="907" spans="1:4" x14ac:dyDescent="0.2">
      <c r="A907" s="5">
        <v>846</v>
      </c>
      <c r="B907" s="138">
        <f>'Expenditures 15-22'!F50</f>
        <v>3378</v>
      </c>
      <c r="D907" s="2" t="str">
        <f t="shared" si="13"/>
        <v>Error?</v>
      </c>
    </row>
    <row r="908" spans="1:4" x14ac:dyDescent="0.2">
      <c r="A908" s="5">
        <v>847</v>
      </c>
      <c r="B908" s="138">
        <f>'Expenditures 15-22'!F53</f>
        <v>5163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479</v>
      </c>
      <c r="D913" s="2" t="str">
        <f t="shared" si="13"/>
        <v>Error?</v>
      </c>
    </row>
    <row r="914" spans="1:4" x14ac:dyDescent="0.2">
      <c r="A914" s="5">
        <v>853</v>
      </c>
      <c r="B914" s="138">
        <f>'Expenditures 15-22'!F61</f>
        <v>860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121545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122884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904</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904</v>
      </c>
      <c r="C927" s="2" t="s">
        <v>573</v>
      </c>
      <c r="D927" s="2" t="str">
        <f t="shared" si="13"/>
        <v>Error?</v>
      </c>
    </row>
    <row r="928" spans="1:4" x14ac:dyDescent="0.2">
      <c r="A928" s="5">
        <v>867</v>
      </c>
      <c r="B928" s="138">
        <f>'Expenditures 15-22'!F73</f>
        <v>1431</v>
      </c>
      <c r="D928" s="2" t="str">
        <f t="shared" si="13"/>
        <v>Error?</v>
      </c>
    </row>
    <row r="929" spans="1:4" x14ac:dyDescent="0.2">
      <c r="A929" s="5">
        <v>868</v>
      </c>
      <c r="B929" s="138">
        <f>'Expenditures 15-22'!F74</f>
        <v>130789</v>
      </c>
      <c r="C929" s="2" t="s">
        <v>573</v>
      </c>
      <c r="D929" s="2" t="str">
        <f t="shared" si="13"/>
        <v>Error?</v>
      </c>
    </row>
    <row r="930" spans="1:4" x14ac:dyDescent="0.2">
      <c r="A930" s="5">
        <v>869</v>
      </c>
      <c r="B930" s="138">
        <f>'Expenditures 15-22'!F75</f>
        <v>23621</v>
      </c>
      <c r="D930" s="2" t="str">
        <f t="shared" si="13"/>
        <v>Error?</v>
      </c>
    </row>
    <row r="931" spans="1:4" x14ac:dyDescent="0.2">
      <c r="A931" s="5">
        <v>870</v>
      </c>
      <c r="B931" s="138">
        <f>'Expenditures 15-22'!F114</f>
        <v>332271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13240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13240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13240</v>
      </c>
      <c r="C987" s="2" t="s">
        <v>573</v>
      </c>
      <c r="D987" s="2" t="str">
        <f t="shared" si="14"/>
        <v>Error?</v>
      </c>
    </row>
    <row r="988" spans="1:4" x14ac:dyDescent="0.2">
      <c r="A988" s="5">
        <v>927</v>
      </c>
      <c r="B988" s="138">
        <f>'Expenditures 15-22'!G75</f>
        <v>7882</v>
      </c>
      <c r="D988" s="2" t="str">
        <f t="shared" si="14"/>
        <v>Error?</v>
      </c>
    </row>
    <row r="989" spans="1:4" x14ac:dyDescent="0.2">
      <c r="A989" s="5">
        <v>928</v>
      </c>
      <c r="B989" s="138">
        <f>'Expenditures 15-22'!G114</f>
        <v>21122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1614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1614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4728</v>
      </c>
      <c r="D1022" s="2" t="str">
        <f t="shared" si="14"/>
        <v>Error?</v>
      </c>
    </row>
    <row r="1023" spans="1:4" x14ac:dyDescent="0.2">
      <c r="A1023" s="5">
        <v>962</v>
      </c>
      <c r="B1023" s="138">
        <f>'Expenditures 15-22'!H50</f>
        <v>9107</v>
      </c>
      <c r="D1023" s="2" t="str">
        <f t="shared" ref="D1023:D1086" si="15">IF(ISBLANK(B1023),"OK",IF(A1023-B1023=0,"OK","Error?"))</f>
        <v>Error?</v>
      </c>
    </row>
    <row r="1024" spans="1:4" x14ac:dyDescent="0.2">
      <c r="A1024" s="5">
        <v>963</v>
      </c>
      <c r="B1024" s="138">
        <f>'Expenditures 15-22'!H53</f>
        <v>13835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183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14018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15632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1353293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3594</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21852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1637383</v>
      </c>
      <c r="C1108" s="2" t="s">
        <v>573</v>
      </c>
      <c r="D1108" s="2" t="str">
        <f t="shared" si="16"/>
        <v>Error?</v>
      </c>
    </row>
    <row r="1109" spans="1:4" x14ac:dyDescent="0.2">
      <c r="A1109" s="5">
        <v>1048</v>
      </c>
      <c r="B1109" s="138">
        <f>'Expenditures 15-22'!K36</f>
        <v>14997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23557</v>
      </c>
      <c r="C1111" s="2" t="s">
        <v>573</v>
      </c>
      <c r="D1111" s="2" t="str">
        <f t="shared" si="16"/>
        <v>Error?</v>
      </c>
    </row>
    <row r="1112" spans="1:4" x14ac:dyDescent="0.2">
      <c r="A1112" s="5">
        <v>1051</v>
      </c>
      <c r="B1112" s="138">
        <f>'Expenditures 15-22'!K39</f>
        <v>4625</v>
      </c>
      <c r="C1112" s="2" t="s">
        <v>573</v>
      </c>
      <c r="D1112" s="2" t="str">
        <f t="shared" si="16"/>
        <v>Error?</v>
      </c>
    </row>
    <row r="1113" spans="1:4" x14ac:dyDescent="0.2">
      <c r="A1113" s="5">
        <v>1052</v>
      </c>
      <c r="B1113" s="138">
        <f>'Expenditures 15-22'!K40</f>
        <v>16940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60119</v>
      </c>
      <c r="C1115" s="2" t="s">
        <v>573</v>
      </c>
      <c r="D1115" s="2" t="str">
        <f t="shared" si="16"/>
        <v>Error?</v>
      </c>
    </row>
    <row r="1116" spans="1:4" x14ac:dyDescent="0.2">
      <c r="A1116" s="5">
        <v>1055</v>
      </c>
      <c r="B1116" s="138">
        <f>'Expenditures 15-22'!K44</f>
        <v>73128</v>
      </c>
      <c r="C1116" s="2" t="s">
        <v>573</v>
      </c>
      <c r="D1116" s="2" t="str">
        <f t="shared" si="16"/>
        <v>Error?</v>
      </c>
    </row>
    <row r="1117" spans="1:4" x14ac:dyDescent="0.2">
      <c r="A1117" s="5">
        <v>1056</v>
      </c>
      <c r="B1117" s="138">
        <f>'Expenditures 15-22'!K45</f>
        <v>38907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112035</v>
      </c>
      <c r="C1119" s="2" t="s">
        <v>573</v>
      </c>
      <c r="D1119" s="2" t="str">
        <f t="shared" si="16"/>
        <v>Error?</v>
      </c>
    </row>
    <row r="1120" spans="1:4" x14ac:dyDescent="0.2">
      <c r="A1120" s="5">
        <v>1059</v>
      </c>
      <c r="B1120" s="138">
        <f>'Expenditures 15-22'!K49</f>
        <v>60113</v>
      </c>
      <c r="C1120" s="2" t="s">
        <v>573</v>
      </c>
      <c r="D1120" s="2" t="str">
        <f t="shared" si="16"/>
        <v>Error?</v>
      </c>
    </row>
    <row r="1121" spans="1:4" x14ac:dyDescent="0.2">
      <c r="A1121" s="5">
        <v>1060</v>
      </c>
      <c r="B1121" s="138">
        <f>'Expenditures 15-22'!K50</f>
        <v>258354</v>
      </c>
      <c r="C1121" s="2" t="s">
        <v>573</v>
      </c>
      <c r="D1121" s="2" t="str">
        <f t="shared" si="16"/>
        <v>Error?</v>
      </c>
    </row>
    <row r="1122" spans="1:4" x14ac:dyDescent="0.2">
      <c r="A1122" s="5">
        <v>1061</v>
      </c>
      <c r="B1122" s="138">
        <f>'Expenditures 15-22'!K53</f>
        <v>465287</v>
      </c>
      <c r="C1122" s="2" t="s">
        <v>573</v>
      </c>
      <c r="D1122" s="2" t="str">
        <f t="shared" si="16"/>
        <v>Error?</v>
      </c>
    </row>
    <row r="1123" spans="1:4" x14ac:dyDescent="0.2">
      <c r="A1123" s="5">
        <v>1062</v>
      </c>
      <c r="B1123" s="138">
        <f>'Expenditures 15-22'!K55</f>
        <v>157733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157733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71967</v>
      </c>
      <c r="C1127" s="2" t="s">
        <v>573</v>
      </c>
      <c r="D1127" s="2" t="str">
        <f t="shared" si="16"/>
        <v>Error?</v>
      </c>
    </row>
    <row r="1128" spans="1:4" x14ac:dyDescent="0.2">
      <c r="A1128" s="5">
        <v>1067</v>
      </c>
      <c r="B1128" s="138">
        <f>'Expenditures 15-22'!K61</f>
        <v>44366</v>
      </c>
      <c r="C1128" s="2" t="s">
        <v>573</v>
      </c>
      <c r="D1128" s="2" t="str">
        <f t="shared" si="16"/>
        <v>Error?</v>
      </c>
    </row>
    <row r="1129" spans="1:4" x14ac:dyDescent="0.2">
      <c r="A1129" s="5">
        <v>1068</v>
      </c>
      <c r="B1129" s="138">
        <f>'Expenditures 15-22'!K62</f>
        <v>2445</v>
      </c>
      <c r="C1129" s="2" t="s">
        <v>573</v>
      </c>
      <c r="D1129" s="2" t="str">
        <f t="shared" si="16"/>
        <v>Error?</v>
      </c>
    </row>
    <row r="1130" spans="1:4" x14ac:dyDescent="0.2">
      <c r="A1130" s="5">
        <v>1069</v>
      </c>
      <c r="B1130" s="138">
        <f>'Expenditures 15-22'!K63</f>
        <v>194453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313231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6054</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6054</v>
      </c>
      <c r="C1141" s="2" t="s">
        <v>573</v>
      </c>
      <c r="D1141" s="2" t="str">
        <f t="shared" si="16"/>
        <v>Error?</v>
      </c>
    </row>
    <row r="1142" spans="1:4" x14ac:dyDescent="0.2">
      <c r="A1142" s="5">
        <v>1081</v>
      </c>
      <c r="B1142" s="138">
        <f>'Expenditures 15-22'!K73</f>
        <v>6512</v>
      </c>
      <c r="C1142" s="2" t="s">
        <v>573</v>
      </c>
      <c r="D1142" s="2" t="str">
        <f t="shared" si="16"/>
        <v>Error?</v>
      </c>
    </row>
    <row r="1143" spans="1:4" x14ac:dyDescent="0.2">
      <c r="A1143" s="5">
        <v>1082</v>
      </c>
      <c r="B1143" s="138">
        <f>'Expenditures 15-22'!K74</f>
        <v>1120971</v>
      </c>
      <c r="C1143" s="2" t="s">
        <v>573</v>
      </c>
      <c r="D1143" s="2" t="str">
        <f t="shared" si="16"/>
        <v>Error?</v>
      </c>
    </row>
    <row r="1144" spans="1:4" x14ac:dyDescent="0.2">
      <c r="A1144" s="5">
        <v>1083</v>
      </c>
      <c r="B1144" s="138">
        <f>'Expenditures 15-22'!K75</f>
        <v>213933</v>
      </c>
      <c r="C1144" s="2" t="s">
        <v>573</v>
      </c>
      <c r="D1144" s="2" t="str">
        <f t="shared" si="16"/>
        <v>Error?</v>
      </c>
    </row>
    <row r="1145" spans="1:4" x14ac:dyDescent="0.2">
      <c r="A1145" s="5">
        <v>1084</v>
      </c>
      <c r="B1145" s="138">
        <f>'Expenditures 15-22'!K102</f>
        <v>71387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3043674</v>
      </c>
      <c r="C1152" s="2" t="s">
        <v>573</v>
      </c>
      <c r="D1152" s="2" t="str">
        <f t="shared" si="17"/>
        <v>Error?</v>
      </c>
    </row>
    <row r="1153" spans="1:4" x14ac:dyDescent="0.2">
      <c r="A1153" s="5">
        <v>1092</v>
      </c>
      <c r="B1153" s="138">
        <f>'Expenditures 15-22'!K115</f>
        <v>94172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130992</v>
      </c>
      <c r="D1221" s="2" t="str">
        <f t="shared" si="18"/>
        <v>Error?</v>
      </c>
    </row>
    <row r="1222" spans="1:4" x14ac:dyDescent="0.2">
      <c r="A1222" s="10">
        <v>1161</v>
      </c>
      <c r="D1222" s="2" t="str">
        <f t="shared" si="18"/>
        <v>OK</v>
      </c>
    </row>
    <row r="1223" spans="1:4" x14ac:dyDescent="0.2">
      <c r="A1223" s="5">
        <v>1162</v>
      </c>
      <c r="B1223" s="138">
        <f>'Expenditures 15-22'!C127</f>
        <v>130992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130992</v>
      </c>
      <c r="C1225" s="2" t="s">
        <v>573</v>
      </c>
      <c r="D1225" s="2" t="str">
        <f t="shared" si="18"/>
        <v>Error?</v>
      </c>
    </row>
    <row r="1226" spans="1:4" x14ac:dyDescent="0.2">
      <c r="A1226" s="5">
        <v>1165</v>
      </c>
      <c r="B1226" s="138">
        <f>'Expenditures 15-22'!C151</f>
        <v>130992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19423</v>
      </c>
      <c r="D1229" s="2" t="str">
        <f t="shared" si="18"/>
        <v>Error?</v>
      </c>
    </row>
    <row r="1230" spans="1:4" x14ac:dyDescent="0.2">
      <c r="A1230" s="10">
        <v>1169</v>
      </c>
      <c r="D1230" s="2" t="str">
        <f t="shared" si="18"/>
        <v>OK</v>
      </c>
    </row>
    <row r="1231" spans="1:4" x14ac:dyDescent="0.2">
      <c r="A1231" s="5">
        <v>1170</v>
      </c>
      <c r="B1231" s="138">
        <f>'Expenditures 15-22'!D127</f>
        <v>19423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19423</v>
      </c>
      <c r="C1233" s="2" t="s">
        <v>573</v>
      </c>
      <c r="D1233" s="2" t="str">
        <f t="shared" si="18"/>
        <v>Error?</v>
      </c>
    </row>
    <row r="1234" spans="1:4" x14ac:dyDescent="0.2">
      <c r="A1234" s="5">
        <v>1173</v>
      </c>
      <c r="B1234" s="138">
        <f>'Expenditures 15-22'!D151</f>
        <v>19423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134742</v>
      </c>
      <c r="D1237" s="2" t="str">
        <f t="shared" si="18"/>
        <v>Error?</v>
      </c>
    </row>
    <row r="1238" spans="1:4" x14ac:dyDescent="0.2">
      <c r="A1238" s="10">
        <v>1177</v>
      </c>
      <c r="D1238" s="2" t="str">
        <f t="shared" si="18"/>
        <v>OK</v>
      </c>
    </row>
    <row r="1239" spans="1:4" x14ac:dyDescent="0.2">
      <c r="A1239" s="5">
        <v>1178</v>
      </c>
      <c r="B1239" s="138">
        <f>'Expenditures 15-22'!E127</f>
        <v>134742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134742</v>
      </c>
      <c r="C1241" s="2" t="s">
        <v>573</v>
      </c>
      <c r="D1241" s="2" t="str">
        <f t="shared" si="18"/>
        <v>Error?</v>
      </c>
    </row>
    <row r="1242" spans="1:4" x14ac:dyDescent="0.2">
      <c r="A1242" s="5">
        <v>1181</v>
      </c>
      <c r="B1242" s="138">
        <f>'Expenditures 15-22'!E151</f>
        <v>134742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143941</v>
      </c>
      <c r="D1245" s="2" t="str">
        <f t="shared" si="18"/>
        <v>Error?</v>
      </c>
    </row>
    <row r="1246" spans="1:4" x14ac:dyDescent="0.2">
      <c r="A1246" s="10">
        <v>1185</v>
      </c>
      <c r="D1246" s="2" t="str">
        <f t="shared" si="18"/>
        <v>OK</v>
      </c>
    </row>
    <row r="1247" spans="1:4" x14ac:dyDescent="0.2">
      <c r="A1247" s="5">
        <v>1186</v>
      </c>
      <c r="B1247" s="138">
        <f>'Expenditures 15-22'!F127</f>
        <v>143941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143941</v>
      </c>
      <c r="C1249" s="2" t="s">
        <v>573</v>
      </c>
      <c r="D1249" s="2" t="str">
        <f t="shared" si="18"/>
        <v>Error?</v>
      </c>
    </row>
    <row r="1250" spans="1:4" x14ac:dyDescent="0.2">
      <c r="A1250" s="5">
        <v>1189</v>
      </c>
      <c r="B1250" s="138">
        <f>'Expenditures 15-22'!F151</f>
        <v>143941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429098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429098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429098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429098</v>
      </c>
      <c r="C1288" s="2" t="s">
        <v>573</v>
      </c>
      <c r="D1288" s="2" t="str">
        <f t="shared" si="19"/>
        <v>Error?</v>
      </c>
    </row>
    <row r="1289" spans="1:4" x14ac:dyDescent="0.2">
      <c r="A1289" s="5">
        <v>1228</v>
      </c>
      <c r="B1289" s="138">
        <f>'Expenditures 15-22'!K152</f>
        <v>21493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141091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141091</v>
      </c>
      <c r="C1339" s="2" t="s">
        <v>573</v>
      </c>
      <c r="D1339" s="2" t="str">
        <f t="shared" si="19"/>
        <v>Error?</v>
      </c>
    </row>
    <row r="1340" spans="1:4" x14ac:dyDescent="0.2">
      <c r="A1340" s="5">
        <v>1279</v>
      </c>
      <c r="B1340" s="138">
        <f>'Expenditures 15-22'!C210</f>
        <v>141091</v>
      </c>
      <c r="C1340" s="2" t="s">
        <v>573</v>
      </c>
      <c r="D1340" s="2" t="str">
        <f t="shared" si="19"/>
        <v>Error?</v>
      </c>
    </row>
    <row r="1341" spans="1:4" x14ac:dyDescent="0.2">
      <c r="A1341" s="5">
        <v>1280</v>
      </c>
      <c r="B1341" s="138">
        <f>'Expenditures 15-22'!D182</f>
        <v>8159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8159</v>
      </c>
      <c r="C1345" s="2" t="s">
        <v>573</v>
      </c>
      <c r="D1345" s="2" t="str">
        <f t="shared" si="20"/>
        <v>Error?</v>
      </c>
    </row>
    <row r="1346" spans="1:4" x14ac:dyDescent="0.2">
      <c r="A1346" s="5">
        <v>1285</v>
      </c>
      <c r="B1346" s="138">
        <f>'Expenditures 15-22'!D210</f>
        <v>8159</v>
      </c>
      <c r="C1346" s="2" t="s">
        <v>573</v>
      </c>
      <c r="D1346" s="2" t="str">
        <f t="shared" si="20"/>
        <v>Error?</v>
      </c>
    </row>
    <row r="1347" spans="1:4" x14ac:dyDescent="0.2">
      <c r="A1347" s="5">
        <v>1286</v>
      </c>
      <c r="B1347" s="138">
        <f>'Expenditures 15-22'!E182</f>
        <v>68998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68998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68998</v>
      </c>
      <c r="C1353" s="2" t="s">
        <v>573</v>
      </c>
      <c r="D1353" s="2" t="str">
        <f t="shared" si="20"/>
        <v>Error?</v>
      </c>
    </row>
    <row r="1354" spans="1:4" x14ac:dyDescent="0.2">
      <c r="A1354" s="5">
        <v>1293</v>
      </c>
      <c r="B1354" s="138">
        <f>'Expenditures 15-22'!F182</f>
        <v>37526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37526</v>
      </c>
      <c r="C1358" s="2" t="s">
        <v>573</v>
      </c>
      <c r="D1358" s="2" t="str">
        <f t="shared" si="20"/>
        <v>Error?</v>
      </c>
    </row>
    <row r="1359" spans="1:4" x14ac:dyDescent="0.2">
      <c r="A1359" s="5">
        <v>1298</v>
      </c>
      <c r="B1359" s="138">
        <f>'Expenditures 15-22'!F210</f>
        <v>37526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255774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255774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255774</v>
      </c>
      <c r="C1388" s="2" t="s">
        <v>573</v>
      </c>
      <c r="D1388" s="2" t="str">
        <f t="shared" si="20"/>
        <v>Error?</v>
      </c>
    </row>
    <row r="1389" spans="1:4" x14ac:dyDescent="0.2">
      <c r="A1389" s="5">
        <v>1328</v>
      </c>
      <c r="B1389" s="138">
        <f>'Expenditures 15-22'!K211</f>
        <v>-120352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803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28137</v>
      </c>
      <c r="C1410" s="2" t="s">
        <v>573</v>
      </c>
      <c r="D1410" s="2" t="str">
        <f t="shared" si="21"/>
        <v>Error?</v>
      </c>
    </row>
    <row r="1411" spans="1:4" x14ac:dyDescent="0.2">
      <c r="A1411" s="5">
        <v>1350</v>
      </c>
      <c r="B1411" s="138">
        <f>'Expenditures 15-22'!D232</f>
        <v>885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1832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2717</v>
      </c>
      <c r="C1417" s="2" t="s">
        <v>573</v>
      </c>
      <c r="D1417" s="2" t="str">
        <f t="shared" si="21"/>
        <v>Error?</v>
      </c>
    </row>
    <row r="1418" spans="1:4" x14ac:dyDescent="0.2">
      <c r="A1418" s="5">
        <v>1357</v>
      </c>
      <c r="B1418" s="138">
        <f>'Expenditures 15-22'!D240</f>
        <v>89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89</v>
      </c>
      <c r="C1421" s="2" t="s">
        <v>573</v>
      </c>
      <c r="D1421" s="2" t="str">
        <f t="shared" si="21"/>
        <v>Error?</v>
      </c>
    </row>
    <row r="1422" spans="1:4" x14ac:dyDescent="0.2">
      <c r="A1422" s="5">
        <v>1361</v>
      </c>
      <c r="B1422" s="138">
        <f>'Expenditures 15-22'!D245</f>
        <v>170</v>
      </c>
      <c r="D1422" s="2" t="str">
        <f t="shared" si="21"/>
        <v>Error?</v>
      </c>
    </row>
    <row r="1423" spans="1:4" x14ac:dyDescent="0.2">
      <c r="A1423" s="5">
        <v>1362</v>
      </c>
      <c r="B1423" s="138">
        <f>'Expenditures 15-22'!D246</f>
        <v>5640</v>
      </c>
      <c r="D1423" s="2" t="str">
        <f t="shared" si="21"/>
        <v>Error?</v>
      </c>
    </row>
    <row r="1424" spans="1:4" x14ac:dyDescent="0.2">
      <c r="A1424" s="5">
        <v>1363</v>
      </c>
      <c r="B1424" s="138">
        <f>'Expenditures 15-22'!D257</f>
        <v>6951</v>
      </c>
      <c r="C1424" s="2" t="s">
        <v>573</v>
      </c>
      <c r="D1424" s="2" t="str">
        <f t="shared" si="21"/>
        <v>Error?</v>
      </c>
    </row>
    <row r="1425" spans="1:4" x14ac:dyDescent="0.2">
      <c r="A1425" s="5">
        <v>1364</v>
      </c>
      <c r="B1425" s="138">
        <f>'Expenditures 15-22'!D259</f>
        <v>2289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2289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12207</v>
      </c>
      <c r="D1431" s="2" t="str">
        <f t="shared" si="21"/>
        <v>Error?</v>
      </c>
    </row>
    <row r="1432" spans="1:4" x14ac:dyDescent="0.2">
      <c r="A1432" s="5">
        <v>1371</v>
      </c>
      <c r="B1432" s="138">
        <f>'Expenditures 15-22'!D267</f>
        <v>10097</v>
      </c>
      <c r="D1432" s="2" t="str">
        <f t="shared" si="21"/>
        <v>Error?</v>
      </c>
    </row>
    <row r="1433" spans="1:4" x14ac:dyDescent="0.2">
      <c r="A1433" s="5">
        <v>1372</v>
      </c>
      <c r="B1433" s="138">
        <f>'Expenditures 15-22'!D268</f>
        <v>5424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28855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117</v>
      </c>
      <c r="D1445" s="2" t="str">
        <f t="shared" si="21"/>
        <v>Error?</v>
      </c>
    </row>
    <row r="1446" spans="1:4" x14ac:dyDescent="0.2">
      <c r="A1446" s="5">
        <v>1385</v>
      </c>
      <c r="B1446" s="138">
        <f>'Expenditures 15-22'!D279</f>
        <v>41018</v>
      </c>
      <c r="C1446" s="2" t="s">
        <v>573</v>
      </c>
      <c r="D1446" s="2" t="str">
        <f t="shared" si="21"/>
        <v>Error?</v>
      </c>
    </row>
    <row r="1447" spans="1:4" x14ac:dyDescent="0.2">
      <c r="A1447" s="5">
        <v>1386</v>
      </c>
      <c r="B1447" s="138">
        <f>'Expenditures 15-22'!D280</f>
        <v>11451</v>
      </c>
      <c r="D1447" s="2" t="str">
        <f t="shared" si="21"/>
        <v>Error?</v>
      </c>
    </row>
    <row r="1448" spans="1:4" x14ac:dyDescent="0.2">
      <c r="A1448" s="5">
        <v>1387</v>
      </c>
      <c r="B1448" s="138">
        <f>'Expenditures 15-22'!D295</f>
        <v>80606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803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28137</v>
      </c>
      <c r="C1474" s="2" t="s">
        <v>573</v>
      </c>
      <c r="D1474" s="2" t="str">
        <f t="shared" si="22"/>
        <v>Error?</v>
      </c>
    </row>
    <row r="1475" spans="1:4" x14ac:dyDescent="0.2">
      <c r="A1475" s="5">
        <v>1414</v>
      </c>
      <c r="B1475" s="138">
        <f>'Expenditures 15-22'!K232</f>
        <v>885</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1832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2717</v>
      </c>
      <c r="C1481" s="2" t="s">
        <v>573</v>
      </c>
      <c r="D1481" s="2" t="str">
        <f t="shared" si="22"/>
        <v>Error?</v>
      </c>
    </row>
    <row r="1482" spans="1:4" x14ac:dyDescent="0.2">
      <c r="A1482" s="5">
        <v>1421</v>
      </c>
      <c r="B1482" s="138">
        <f>'Expenditures 15-22'!K240</f>
        <v>89</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89</v>
      </c>
      <c r="C1485" s="2" t="s">
        <v>573</v>
      </c>
      <c r="D1485" s="2" t="str">
        <f t="shared" si="22"/>
        <v>Error?</v>
      </c>
    </row>
    <row r="1486" spans="1:4" x14ac:dyDescent="0.2">
      <c r="A1486" s="5">
        <v>1425</v>
      </c>
      <c r="B1486" s="138">
        <f>'Expenditures 15-22'!K245</f>
        <v>170</v>
      </c>
      <c r="C1486" s="2" t="s">
        <v>573</v>
      </c>
      <c r="D1486" s="2" t="str">
        <f t="shared" si="22"/>
        <v>Error?</v>
      </c>
    </row>
    <row r="1487" spans="1:4" x14ac:dyDescent="0.2">
      <c r="A1487" s="5">
        <v>1426</v>
      </c>
      <c r="B1487" s="138">
        <f>'Expenditures 15-22'!K246</f>
        <v>5640</v>
      </c>
      <c r="C1487" s="2" t="s">
        <v>573</v>
      </c>
      <c r="D1487" s="2" t="str">
        <f t="shared" si="22"/>
        <v>Error?</v>
      </c>
    </row>
    <row r="1488" spans="1:4" x14ac:dyDescent="0.2">
      <c r="A1488" s="5">
        <v>1427</v>
      </c>
      <c r="B1488" s="138">
        <f>'Expenditures 15-22'!K257</f>
        <v>6951</v>
      </c>
      <c r="C1488" s="2" t="s">
        <v>573</v>
      </c>
      <c r="D1488" s="2" t="str">
        <f t="shared" si="22"/>
        <v>Error?</v>
      </c>
    </row>
    <row r="1489" spans="1:4" x14ac:dyDescent="0.2">
      <c r="A1489" s="5">
        <v>1428</v>
      </c>
      <c r="B1489" s="138">
        <f>'Expenditures 15-22'!K259</f>
        <v>2289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2289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12207</v>
      </c>
      <c r="C1495" s="2" t="s">
        <v>573</v>
      </c>
      <c r="D1495" s="2" t="str">
        <f t="shared" si="22"/>
        <v>Error?</v>
      </c>
    </row>
    <row r="1496" spans="1:4" x14ac:dyDescent="0.2">
      <c r="A1496" s="5">
        <v>1435</v>
      </c>
      <c r="B1496" s="138">
        <f>'Expenditures 15-22'!K267</f>
        <v>10097</v>
      </c>
      <c r="C1496" s="2" t="s">
        <v>573</v>
      </c>
      <c r="D1496" s="2" t="str">
        <f t="shared" si="22"/>
        <v>Error?</v>
      </c>
    </row>
    <row r="1497" spans="1:4" x14ac:dyDescent="0.2">
      <c r="A1497" s="5">
        <v>1436</v>
      </c>
      <c r="B1497" s="138">
        <f>'Expenditures 15-22'!K268</f>
        <v>5424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28855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117</v>
      </c>
      <c r="C1509" s="2" t="s">
        <v>573</v>
      </c>
      <c r="D1509" s="2" t="str">
        <f t="shared" si="22"/>
        <v>Error?</v>
      </c>
    </row>
    <row r="1510" spans="1:4" x14ac:dyDescent="0.2">
      <c r="A1510" s="5">
        <v>1449</v>
      </c>
      <c r="B1510" s="138">
        <f>'Expenditures 15-22'!K279</f>
        <v>41018</v>
      </c>
      <c r="C1510" s="2" t="s">
        <v>573</v>
      </c>
      <c r="D1510" s="2" t="str">
        <f t="shared" si="22"/>
        <v>Error?</v>
      </c>
    </row>
    <row r="1511" spans="1:4" x14ac:dyDescent="0.2">
      <c r="A1511" s="5">
        <v>1450</v>
      </c>
      <c r="B1511" s="138">
        <f>'Expenditures 15-22'!K280</f>
        <v>11451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80606</v>
      </c>
      <c r="C1517" s="2" t="s">
        <v>573</v>
      </c>
      <c r="D1517" s="2" t="str">
        <f t="shared" si="22"/>
        <v>Error?</v>
      </c>
    </row>
    <row r="1518" spans="1:4" x14ac:dyDescent="0.2">
      <c r="A1518" s="5">
        <v>1457</v>
      </c>
      <c r="B1518" s="138">
        <f>'Expenditures 15-22'!K296</f>
        <v>-3730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158903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439596</v>
      </c>
      <c r="C1630" s="2" t="s">
        <v>573</v>
      </c>
      <c r="D1630" s="2" t="str">
        <f t="shared" si="24"/>
        <v>Error?</v>
      </c>
    </row>
    <row r="1631" spans="1:4" x14ac:dyDescent="0.2">
      <c r="A1631" s="5">
        <v>1570</v>
      </c>
      <c r="B1631" s="138">
        <f>'Acct Summary 7-8'!D79</f>
        <v>4613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26106</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246199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125847</v>
      </c>
      <c r="C1672" s="2" t="s">
        <v>573</v>
      </c>
      <c r="D1672" s="2" t="str">
        <f t="shared" si="25"/>
        <v>Error?</v>
      </c>
    </row>
    <row r="1673" spans="1:4" x14ac:dyDescent="0.2">
      <c r="A1673" s="5">
        <v>1612</v>
      </c>
      <c r="B1673" s="138">
        <f>'Acct Summary 7-8'!G79</f>
        <v>-506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-4236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143981</v>
      </c>
      <c r="C1744" s="2" t="s">
        <v>573</v>
      </c>
      <c r="D1744" s="2" t="str">
        <f t="shared" si="26"/>
        <v>Error?</v>
      </c>
    </row>
    <row r="1745" spans="1:5" x14ac:dyDescent="0.2">
      <c r="A1745" s="5">
        <v>1684</v>
      </c>
      <c r="B1745" s="138">
        <f>'Tax Sched 23'!B5</f>
        <v>32438</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15560</v>
      </c>
      <c r="C1747" s="2" t="s">
        <v>573</v>
      </c>
      <c r="D1747" s="2" t="str">
        <f t="shared" si="26"/>
        <v>Error?</v>
      </c>
    </row>
    <row r="1748" spans="1:5" x14ac:dyDescent="0.2">
      <c r="A1748" s="5">
        <v>1687</v>
      </c>
      <c r="B1748" s="138">
        <f>'Tax Sched 23'!B8</f>
        <v>47291</v>
      </c>
      <c r="C1748" s="2" t="s">
        <v>573</v>
      </c>
      <c r="D1748" s="2" t="str">
        <f t="shared" si="26"/>
        <v>Error?</v>
      </c>
    </row>
    <row r="1749" spans="1:5" x14ac:dyDescent="0.2">
      <c r="A1749" s="5">
        <v>1688</v>
      </c>
      <c r="B1749" s="138">
        <f>'Tax Sched 23'!B10</f>
        <v>6487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43198</v>
      </c>
      <c r="C1752" s="2" t="s">
        <v>573</v>
      </c>
      <c r="D1752" s="2" t="str">
        <f t="shared" si="26"/>
        <v>Error?</v>
      </c>
    </row>
    <row r="1753" spans="1:5" x14ac:dyDescent="0.2">
      <c r="A1753" s="5">
        <v>1692</v>
      </c>
      <c r="B1753" s="138">
        <f>'Tax Sched 23'!B12</f>
        <v>6487</v>
      </c>
      <c r="C1753" s="2" t="s">
        <v>573</v>
      </c>
      <c r="D1753" s="2" t="str">
        <f t="shared" si="26"/>
        <v>Error?</v>
      </c>
    </row>
    <row r="1754" spans="1:5" x14ac:dyDescent="0.2">
      <c r="A1754" s="5">
        <v>1693</v>
      </c>
      <c r="B1754" s="138">
        <f>'Tax Sched 23'!B14</f>
        <v>2598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334112</v>
      </c>
      <c r="C1759" s="2" t="s">
        <v>573</v>
      </c>
      <c r="D1759" s="2" t="str">
        <f t="shared" si="26"/>
        <v>Error?</v>
      </c>
    </row>
    <row r="1760" spans="1:5" x14ac:dyDescent="0.2">
      <c r="A1760" s="5">
        <v>1699</v>
      </c>
      <c r="B1760" s="138">
        <f>'Tax Sched 23'!D4</f>
        <v>143981</v>
      </c>
      <c r="C1760" s="2" t="s">
        <v>573</v>
      </c>
      <c r="D1760" s="2" t="str">
        <f t="shared" si="26"/>
        <v>Error?</v>
      </c>
    </row>
    <row r="1761" spans="1:5" x14ac:dyDescent="0.2">
      <c r="A1761" s="5">
        <v>1700</v>
      </c>
      <c r="B1761" s="138">
        <f>'Tax Sched 23'!D5</f>
        <v>32438</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15560</v>
      </c>
      <c r="C1763" s="2" t="s">
        <v>573</v>
      </c>
      <c r="D1763" s="2" t="str">
        <f t="shared" si="26"/>
        <v>Error?</v>
      </c>
    </row>
    <row r="1764" spans="1:5" x14ac:dyDescent="0.2">
      <c r="A1764" s="5">
        <v>1703</v>
      </c>
      <c r="B1764" s="138">
        <f>'Tax Sched 23'!D8</f>
        <v>47291</v>
      </c>
      <c r="C1764" s="2" t="s">
        <v>573</v>
      </c>
      <c r="D1764" s="2" t="str">
        <f t="shared" si="26"/>
        <v>Error?</v>
      </c>
    </row>
    <row r="1765" spans="1:5" x14ac:dyDescent="0.2">
      <c r="A1765" s="5">
        <v>1704</v>
      </c>
      <c r="B1765" s="138">
        <f>'Tax Sched 23'!D10</f>
        <v>6487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43198</v>
      </c>
      <c r="C1768" s="2" t="s">
        <v>573</v>
      </c>
      <c r="D1768" s="2" t="str">
        <f t="shared" si="26"/>
        <v>Error?</v>
      </c>
    </row>
    <row r="1769" spans="1:5" x14ac:dyDescent="0.2">
      <c r="A1769" s="5">
        <v>1708</v>
      </c>
      <c r="B1769" s="138">
        <f>'Tax Sched 23'!D12</f>
        <v>6487</v>
      </c>
      <c r="C1769" s="2" t="s">
        <v>573</v>
      </c>
      <c r="D1769" s="2" t="str">
        <f t="shared" si="26"/>
        <v>Error?</v>
      </c>
    </row>
    <row r="1770" spans="1:5" x14ac:dyDescent="0.2">
      <c r="A1770" s="5">
        <v>1709</v>
      </c>
      <c r="B1770" s="138">
        <f>'Tax Sched 23'!D14</f>
        <v>2598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334112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161579</v>
      </c>
      <c r="C1792" s="2" t="s">
        <v>573</v>
      </c>
      <c r="D1792" s="2" t="str">
        <f t="shared" si="27"/>
        <v>Error?</v>
      </c>
    </row>
    <row r="1793" spans="1:4" x14ac:dyDescent="0.2">
      <c r="A1793" s="5">
        <v>1732</v>
      </c>
      <c r="B1793" s="138">
        <f>'Tax Sched 23'!F5</f>
        <v>36410</v>
      </c>
      <c r="C1793" s="2" t="s">
        <v>573</v>
      </c>
      <c r="D1793" s="2" t="str">
        <f t="shared" si="27"/>
        <v>Error?</v>
      </c>
    </row>
    <row r="1794" spans="1:4" x14ac:dyDescent="0.2">
      <c r="A1794" s="5">
        <v>1733</v>
      </c>
      <c r="B1794" s="138">
        <f>'Tax Sched 23'!F6</f>
        <v>34384</v>
      </c>
      <c r="C1794" s="2" t="s">
        <v>573</v>
      </c>
      <c r="D1794" s="2" t="str">
        <f t="shared" si="27"/>
        <v>Error?</v>
      </c>
    </row>
    <row r="1795" spans="1:4" x14ac:dyDescent="0.2">
      <c r="A1795" s="5">
        <v>1734</v>
      </c>
      <c r="B1795" s="138">
        <f>'Tax Sched 23'!F7</f>
        <v>17469</v>
      </c>
      <c r="C1795" s="2" t="s">
        <v>573</v>
      </c>
      <c r="D1795" s="2" t="str">
        <f t="shared" si="27"/>
        <v>Error?</v>
      </c>
    </row>
    <row r="1796" spans="1:4" x14ac:dyDescent="0.2">
      <c r="A1796" s="5">
        <v>1735</v>
      </c>
      <c r="B1796" s="138">
        <f>'Tax Sched 23'!F8</f>
        <v>86280</v>
      </c>
      <c r="C1796" s="2" t="s">
        <v>573</v>
      </c>
      <c r="D1796" s="2" t="str">
        <f t="shared" si="27"/>
        <v>Error?</v>
      </c>
    </row>
    <row r="1797" spans="1:4" x14ac:dyDescent="0.2">
      <c r="A1797" s="5">
        <v>1736</v>
      </c>
      <c r="B1797" s="138">
        <f>'Tax Sched 23'!F10</f>
        <v>7291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48484</v>
      </c>
      <c r="C1800" s="2" t="s">
        <v>573</v>
      </c>
      <c r="D1800" s="2" t="str">
        <f t="shared" si="27"/>
        <v>Error?</v>
      </c>
    </row>
    <row r="1801" spans="1:4" x14ac:dyDescent="0.2">
      <c r="A1801" s="5">
        <v>1740</v>
      </c>
      <c r="B1801" s="138">
        <f>'Tax Sched 23'!F12</f>
        <v>7291</v>
      </c>
      <c r="C1801" s="2" t="s">
        <v>573</v>
      </c>
      <c r="D1801" s="2" t="str">
        <f t="shared" si="27"/>
        <v>Error?</v>
      </c>
    </row>
    <row r="1802" spans="1:4" x14ac:dyDescent="0.2">
      <c r="A1802" s="5">
        <v>1741</v>
      </c>
      <c r="B1802" s="138">
        <f>'Tax Sched 23'!F14</f>
        <v>2916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410518</v>
      </c>
      <c r="C1807" s="2" t="s">
        <v>573</v>
      </c>
      <c r="D1807" s="2" t="str">
        <f t="shared" si="27"/>
        <v>Error?</v>
      </c>
    </row>
    <row r="1808" spans="1:4" x14ac:dyDescent="0.2">
      <c r="A1808" s="5">
        <v>1747</v>
      </c>
      <c r="B1808" s="138">
        <f>'Tax Sched 23'!E4</f>
        <v>161579</v>
      </c>
      <c r="D1808" s="2" t="str">
        <f t="shared" si="27"/>
        <v>Error?</v>
      </c>
    </row>
    <row r="1809" spans="1:4" x14ac:dyDescent="0.2">
      <c r="A1809" s="5">
        <v>1748</v>
      </c>
      <c r="B1809" s="138">
        <f>'Tax Sched 23'!E5</f>
        <v>36410</v>
      </c>
      <c r="D1809" s="2" t="str">
        <f t="shared" si="27"/>
        <v>Error?</v>
      </c>
    </row>
    <row r="1810" spans="1:4" x14ac:dyDescent="0.2">
      <c r="A1810" s="5">
        <v>1749</v>
      </c>
      <c r="B1810" s="138">
        <f>'Tax Sched 23'!E6</f>
        <v>34384</v>
      </c>
      <c r="D1810" s="2" t="str">
        <f t="shared" si="27"/>
        <v>Error?</v>
      </c>
    </row>
    <row r="1811" spans="1:4" x14ac:dyDescent="0.2">
      <c r="A1811" s="5">
        <v>1750</v>
      </c>
      <c r="B1811" s="138">
        <f>'Tax Sched 23'!E7</f>
        <v>17469</v>
      </c>
      <c r="D1811" s="2" t="str">
        <f t="shared" si="27"/>
        <v>Error?</v>
      </c>
    </row>
    <row r="1812" spans="1:4" x14ac:dyDescent="0.2">
      <c r="A1812" s="5">
        <v>1751</v>
      </c>
      <c r="B1812" s="138">
        <f>'Tax Sched 23'!E8</f>
        <v>86280</v>
      </c>
      <c r="D1812" s="2" t="str">
        <f t="shared" si="27"/>
        <v>Error?</v>
      </c>
    </row>
    <row r="1813" spans="1:4" x14ac:dyDescent="0.2">
      <c r="A1813" s="5">
        <v>1752</v>
      </c>
      <c r="B1813" s="138">
        <f>'Tax Sched 23'!E10</f>
        <v>7291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48484</v>
      </c>
      <c r="D1816" s="2" t="str">
        <f t="shared" si="27"/>
        <v>Error?</v>
      </c>
    </row>
    <row r="1817" spans="1:4" x14ac:dyDescent="0.2">
      <c r="A1817" s="5">
        <v>1756</v>
      </c>
      <c r="B1817" s="138">
        <f>'Tax Sched 23'!E12</f>
        <v>7291</v>
      </c>
      <c r="D1817" s="2" t="str">
        <f t="shared" si="27"/>
        <v>Error?</v>
      </c>
    </row>
    <row r="1818" spans="1:4" x14ac:dyDescent="0.2">
      <c r="A1818" s="5">
        <v>1757</v>
      </c>
      <c r="B1818" s="138">
        <f>'Tax Sched 23'!E14</f>
        <v>2916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410518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145100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2598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2598</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19000</v>
      </c>
      <c r="D2008" s="2" t="str">
        <f t="shared" si="30"/>
        <v>Error?</v>
      </c>
    </row>
    <row r="2009" spans="1:4" x14ac:dyDescent="0.2">
      <c r="A2009" s="5">
        <v>1948</v>
      </c>
      <c r="B2009" s="138">
        <f>'Cap Outlay Deprec 26'!C8</f>
        <v>1918023</v>
      </c>
      <c r="D2009" s="2" t="str">
        <f t="shared" si="30"/>
        <v>Error?</v>
      </c>
    </row>
    <row r="2010" spans="1:4" x14ac:dyDescent="0.2">
      <c r="A2010" s="5">
        <v>1949</v>
      </c>
      <c r="B2010" s="138">
        <f>'Cap Outlay Deprec 26'!C10</f>
        <v>534996</v>
      </c>
      <c r="D2010" s="2" t="str">
        <f t="shared" si="30"/>
        <v>Error?</v>
      </c>
    </row>
    <row r="2011" spans="1:4" x14ac:dyDescent="0.2">
      <c r="A2011" s="5">
        <v>1950</v>
      </c>
      <c r="B2011" s="138">
        <f>'Cap Outlay Deprec 26'!C12</f>
        <v>1852373</v>
      </c>
      <c r="D2011" s="2" t="str">
        <f t="shared" si="30"/>
        <v>Error?</v>
      </c>
    </row>
    <row r="2012" spans="1:4" x14ac:dyDescent="0.2">
      <c r="A2012" s="5">
        <v>1951</v>
      </c>
      <c r="B2012" s="138">
        <f>'Cap Outlay Deprec 26'!C13</f>
        <v>1117612</v>
      </c>
      <c r="D2012" s="2" t="str">
        <f t="shared" si="30"/>
        <v>Error?</v>
      </c>
    </row>
    <row r="2013" spans="1:4" x14ac:dyDescent="0.2">
      <c r="A2013" s="5">
        <v>1952</v>
      </c>
      <c r="B2013" s="138">
        <f>'Cap Outlay Deprec 26'!C16</f>
        <v>5442004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19000</v>
      </c>
      <c r="C2026" s="2" t="s">
        <v>573</v>
      </c>
      <c r="D2026" s="2" t="str">
        <f t="shared" si="30"/>
        <v>Error?</v>
      </c>
    </row>
    <row r="2027" spans="1:4" x14ac:dyDescent="0.2">
      <c r="A2027" s="5">
        <v>1966</v>
      </c>
      <c r="B2027" s="138">
        <f>'Cap Outlay Deprec 26'!F8</f>
        <v>1918023</v>
      </c>
      <c r="C2027" s="2" t="s">
        <v>573</v>
      </c>
      <c r="D2027" s="2" t="str">
        <f t="shared" si="30"/>
        <v>Error?</v>
      </c>
    </row>
    <row r="2028" spans="1:4" x14ac:dyDescent="0.2">
      <c r="A2028" s="5">
        <v>1967</v>
      </c>
      <c r="B2028" s="138">
        <f>'Cap Outlay Deprec 26'!F10</f>
        <v>534996</v>
      </c>
      <c r="C2028" s="2" t="s">
        <v>573</v>
      </c>
      <c r="D2028" s="2" t="str">
        <f t="shared" si="30"/>
        <v>Error?</v>
      </c>
    </row>
    <row r="2029" spans="1:4" x14ac:dyDescent="0.2">
      <c r="A2029" s="5">
        <v>1968</v>
      </c>
      <c r="B2029" s="138">
        <f>'Cap Outlay Deprec 26'!F12</f>
        <v>1852373</v>
      </c>
      <c r="C2029" s="2" t="s">
        <v>573</v>
      </c>
      <c r="D2029" s="2" t="str">
        <f t="shared" si="30"/>
        <v>Error?</v>
      </c>
    </row>
    <row r="2030" spans="1:4" x14ac:dyDescent="0.2">
      <c r="A2030" s="5">
        <v>1969</v>
      </c>
      <c r="B2030" s="138">
        <f>'Cap Outlay Deprec 26'!F13</f>
        <v>1117612</v>
      </c>
      <c r="C2030" s="2" t="s">
        <v>573</v>
      </c>
      <c r="D2030" s="2" t="str">
        <f t="shared" si="30"/>
        <v>Error?</v>
      </c>
    </row>
    <row r="2031" spans="1:4" x14ac:dyDescent="0.2">
      <c r="A2031" s="5">
        <v>1970</v>
      </c>
      <c r="B2031" s="138">
        <f>'Cap Outlay Deprec 26'!F16</f>
        <v>5442004</v>
      </c>
      <c r="C2031" s="2" t="s">
        <v>573</v>
      </c>
      <c r="D2031" s="2" t="str">
        <f t="shared" si="30"/>
        <v>Error?</v>
      </c>
    </row>
    <row r="2032" spans="1:4" x14ac:dyDescent="0.2">
      <c r="A2032" s="10">
        <v>1971</v>
      </c>
      <c r="D2032" s="2" t="str">
        <f t="shared" si="30"/>
        <v>OK</v>
      </c>
    </row>
    <row r="2033" spans="1:4" x14ac:dyDescent="0.2">
      <c r="A2033" s="5">
        <v>1972</v>
      </c>
      <c r="B2033" s="138">
        <f>'Cap Outlay Deprec 26'!H8</f>
        <v>1451377</v>
      </c>
      <c r="D2033" s="2" t="str">
        <f t="shared" si="30"/>
        <v>Error?</v>
      </c>
    </row>
    <row r="2034" spans="1:4" x14ac:dyDescent="0.2">
      <c r="A2034" s="5">
        <v>1973</v>
      </c>
      <c r="B2034" s="138">
        <f>'Cap Outlay Deprec 26'!H10</f>
        <v>241578</v>
      </c>
      <c r="D2034" s="2" t="str">
        <f t="shared" si="30"/>
        <v>Error?</v>
      </c>
    </row>
    <row r="2035" spans="1:4" x14ac:dyDescent="0.2">
      <c r="A2035" s="5">
        <v>1974</v>
      </c>
      <c r="B2035" s="138">
        <f>'Cap Outlay Deprec 26'!H12</f>
        <v>1773123</v>
      </c>
      <c r="D2035" s="2" t="str">
        <f t="shared" si="30"/>
        <v>Error?</v>
      </c>
    </row>
    <row r="2036" spans="1:4" x14ac:dyDescent="0.2">
      <c r="A2036" s="5">
        <v>1975</v>
      </c>
      <c r="B2036" s="138">
        <f>'Cap Outlay Deprec 26'!H13</f>
        <v>1079574</v>
      </c>
      <c r="D2036" s="2" t="str">
        <f t="shared" si="30"/>
        <v>Error?</v>
      </c>
    </row>
    <row r="2037" spans="1:4" x14ac:dyDescent="0.2">
      <c r="A2037" s="5">
        <v>1976</v>
      </c>
      <c r="B2037" s="138">
        <f>'Cap Outlay Deprec 26'!H16</f>
        <v>4545652</v>
      </c>
      <c r="C2037" s="2" t="s">
        <v>573</v>
      </c>
      <c r="D2037" s="2" t="str">
        <f t="shared" si="30"/>
        <v>Error?</v>
      </c>
    </row>
    <row r="2038" spans="1:4" x14ac:dyDescent="0.2">
      <c r="A2038" s="10">
        <v>1977</v>
      </c>
      <c r="D2038" s="2" t="str">
        <f t="shared" si="30"/>
        <v>OK</v>
      </c>
    </row>
    <row r="2039" spans="1:4" x14ac:dyDescent="0.2">
      <c r="A2039" s="5">
        <v>1978</v>
      </c>
      <c r="B2039" s="138">
        <f>'Cap Outlay Deprec 26'!I8</f>
        <v>38360</v>
      </c>
      <c r="D2039" s="2" t="str">
        <f t="shared" si="30"/>
        <v>Error?</v>
      </c>
    </row>
    <row r="2040" spans="1:4" x14ac:dyDescent="0.2">
      <c r="A2040" s="5">
        <v>1979</v>
      </c>
      <c r="B2040" s="138">
        <f>'Cap Outlay Deprec 26'!I10</f>
        <v>17487</v>
      </c>
      <c r="D2040" s="2" t="str">
        <f t="shared" si="30"/>
        <v>Error?</v>
      </c>
    </row>
    <row r="2041" spans="1:4" x14ac:dyDescent="0.2">
      <c r="A2041" s="5">
        <v>1980</v>
      </c>
      <c r="B2041" s="138">
        <f>'Cap Outlay Deprec 26'!I12</f>
        <v>14422</v>
      </c>
      <c r="D2041" s="2" t="str">
        <f t="shared" si="30"/>
        <v>Error?</v>
      </c>
    </row>
    <row r="2042" spans="1:4" x14ac:dyDescent="0.2">
      <c r="A2042" s="5">
        <v>1981</v>
      </c>
      <c r="B2042" s="138">
        <f>'Cap Outlay Deprec 26'!I13</f>
        <v>17251</v>
      </c>
      <c r="D2042" s="2" t="str">
        <f t="shared" si="30"/>
        <v>Error?</v>
      </c>
    </row>
    <row r="2043" spans="1:4" x14ac:dyDescent="0.2">
      <c r="A2043" s="5">
        <v>1982</v>
      </c>
      <c r="B2043" s="138">
        <f>'Cap Outlay Deprec 26'!I16</f>
        <v>87520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1489737</v>
      </c>
      <c r="C2051" s="2" t="s">
        <v>573</v>
      </c>
      <c r="D2051" s="2" t="str">
        <f t="shared" si="31"/>
        <v>Error?</v>
      </c>
    </row>
    <row r="2052" spans="1:4" x14ac:dyDescent="0.2">
      <c r="A2052" s="5">
        <v>1991</v>
      </c>
      <c r="B2052" s="138">
        <f>'Cap Outlay Deprec 26'!K10</f>
        <v>259065</v>
      </c>
      <c r="C2052" s="2" t="s">
        <v>573</v>
      </c>
      <c r="D2052" s="2" t="str">
        <f t="shared" si="31"/>
        <v>Error?</v>
      </c>
    </row>
    <row r="2053" spans="1:4" x14ac:dyDescent="0.2">
      <c r="A2053" s="5">
        <v>1992</v>
      </c>
      <c r="B2053" s="138">
        <f>'Cap Outlay Deprec 26'!K12</f>
        <v>1787545</v>
      </c>
      <c r="C2053" s="2" t="s">
        <v>573</v>
      </c>
      <c r="D2053" s="2" t="str">
        <f t="shared" si="31"/>
        <v>Error?</v>
      </c>
    </row>
    <row r="2054" spans="1:4" x14ac:dyDescent="0.2">
      <c r="A2054" s="5">
        <v>1993</v>
      </c>
      <c r="B2054" s="138">
        <f>'Cap Outlay Deprec 26'!K13</f>
        <v>1096825</v>
      </c>
      <c r="C2054" s="2" t="s">
        <v>573</v>
      </c>
      <c r="D2054" s="2" t="str">
        <f t="shared" si="31"/>
        <v>Error?</v>
      </c>
    </row>
    <row r="2055" spans="1:4" x14ac:dyDescent="0.2">
      <c r="A2055" s="5">
        <v>1994</v>
      </c>
      <c r="B2055" s="138">
        <f>'Cap Outlay Deprec 26'!K16</f>
        <v>4633172</v>
      </c>
      <c r="C2055" s="2" t="s">
        <v>573</v>
      </c>
      <c r="D2055" s="2" t="str">
        <f t="shared" si="31"/>
        <v>Error?</v>
      </c>
    </row>
    <row r="2056" spans="1:4" x14ac:dyDescent="0.2">
      <c r="A2056" s="5">
        <v>1995</v>
      </c>
      <c r="B2056" s="138">
        <f>'Cap Outlay Deprec 26'!L5</f>
        <v>19000</v>
      </c>
      <c r="C2056" s="2" t="s">
        <v>573</v>
      </c>
      <c r="D2056" s="2" t="str">
        <f t="shared" si="31"/>
        <v>Error?</v>
      </c>
    </row>
    <row r="2057" spans="1:4" x14ac:dyDescent="0.2">
      <c r="A2057" s="5">
        <v>1996</v>
      </c>
      <c r="B2057" s="138">
        <f>'Cap Outlay Deprec 26'!L8</f>
        <v>428286</v>
      </c>
      <c r="C2057" s="2" t="s">
        <v>573</v>
      </c>
      <c r="D2057" s="2" t="str">
        <f t="shared" si="31"/>
        <v>Error?</v>
      </c>
    </row>
    <row r="2058" spans="1:4" x14ac:dyDescent="0.2">
      <c r="A2058" s="5">
        <v>1997</v>
      </c>
      <c r="B2058" s="138">
        <f>'Cap Outlay Deprec 26'!L10</f>
        <v>275931</v>
      </c>
      <c r="C2058" s="2" t="s">
        <v>573</v>
      </c>
      <c r="D2058" s="2" t="str">
        <f t="shared" si="31"/>
        <v>Error?</v>
      </c>
    </row>
    <row r="2059" spans="1:4" x14ac:dyDescent="0.2">
      <c r="A2059" s="5">
        <v>1998</v>
      </c>
      <c r="B2059" s="138">
        <f>'Cap Outlay Deprec 26'!L12</f>
        <v>64828</v>
      </c>
      <c r="C2059" s="2" t="s">
        <v>573</v>
      </c>
      <c r="D2059" s="2" t="str">
        <f t="shared" si="31"/>
        <v>Error?</v>
      </c>
    </row>
    <row r="2060" spans="1:4" x14ac:dyDescent="0.2">
      <c r="A2060" s="5">
        <v>1999</v>
      </c>
      <c r="B2060" s="138">
        <f>'Cap Outlay Deprec 26'!L13</f>
        <v>20787</v>
      </c>
      <c r="C2060" s="2" t="s">
        <v>573</v>
      </c>
      <c r="D2060" s="2" t="str">
        <f t="shared" si="31"/>
        <v>Error?</v>
      </c>
    </row>
    <row r="2061" spans="1:4" x14ac:dyDescent="0.2">
      <c r="A2061" s="5">
        <v>2000</v>
      </c>
      <c r="B2061" s="138">
        <f>'Cap Outlay Deprec 26'!L16</f>
        <v>808832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71387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186521</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125847</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251727</v>
      </c>
      <c r="C2551" s="2" t="s">
        <v>573</v>
      </c>
      <c r="D2551" s="2" t="str">
        <f t="shared" si="38"/>
        <v>Error?</v>
      </c>
    </row>
    <row r="2552" spans="1:4" x14ac:dyDescent="0.2">
      <c r="A2552" s="10">
        <v>2491</v>
      </c>
      <c r="D2552" s="2" t="str">
        <f t="shared" si="38"/>
        <v>OK</v>
      </c>
    </row>
    <row r="2553" spans="1:4" x14ac:dyDescent="0.2">
      <c r="A2553" s="5">
        <v>2492</v>
      </c>
      <c r="B2553" s="138">
        <f>'Acct Summary 7-8'!C6</f>
        <v>2292937</v>
      </c>
      <c r="C2553" s="2" t="s">
        <v>573</v>
      </c>
      <c r="D2553" s="2" t="str">
        <f t="shared" si="38"/>
        <v>Error?</v>
      </c>
    </row>
    <row r="2554" spans="1:4" x14ac:dyDescent="0.2">
      <c r="A2554" s="5">
        <v>2493</v>
      </c>
      <c r="B2554" s="138">
        <f>'Acct Summary 7-8'!C7</f>
        <v>593182</v>
      </c>
      <c r="C2554" s="2" t="s">
        <v>573</v>
      </c>
      <c r="D2554" s="2" t="str">
        <f t="shared" si="38"/>
        <v>Error?</v>
      </c>
    </row>
    <row r="2555" spans="1:4" x14ac:dyDescent="0.2">
      <c r="A2555" s="5">
        <v>2494</v>
      </c>
      <c r="B2555" s="138">
        <f>'Acct Summary 7-8'!C8</f>
        <v>3137846</v>
      </c>
      <c r="C2555" s="2" t="s">
        <v>573</v>
      </c>
      <c r="D2555" s="2" t="str">
        <f t="shared" si="38"/>
        <v>Error?</v>
      </c>
    </row>
    <row r="2556" spans="1:4" x14ac:dyDescent="0.2">
      <c r="A2556" s="5">
        <v>2495</v>
      </c>
      <c r="B2556" s="138">
        <f>'Acct Summary 7-8'!C12</f>
        <v>1637383</v>
      </c>
      <c r="C2556" s="2" t="s">
        <v>573</v>
      </c>
      <c r="D2556" s="2" t="str">
        <f t="shared" si="38"/>
        <v>Error?</v>
      </c>
    </row>
    <row r="2557" spans="1:4" x14ac:dyDescent="0.2">
      <c r="A2557" s="5">
        <v>2496</v>
      </c>
      <c r="B2557" s="138">
        <f>'Acct Summary 7-8'!C13</f>
        <v>1120971</v>
      </c>
      <c r="C2557" s="2" t="s">
        <v>573</v>
      </c>
      <c r="D2557" s="2" t="str">
        <f t="shared" si="38"/>
        <v>Error?</v>
      </c>
    </row>
    <row r="2558" spans="1:4" x14ac:dyDescent="0.2">
      <c r="A2558" s="5">
        <v>2497</v>
      </c>
      <c r="B2558" s="138">
        <f>'Acct Summary 7-8'!C14</f>
        <v>213933</v>
      </c>
      <c r="C2558" s="2" t="s">
        <v>573</v>
      </c>
      <c r="D2558" s="2" t="str">
        <f t="shared" si="38"/>
        <v>Error?</v>
      </c>
    </row>
    <row r="2559" spans="1:4" x14ac:dyDescent="0.2">
      <c r="A2559" s="5">
        <v>2498</v>
      </c>
      <c r="B2559" s="138">
        <f>'Acct Summary 7-8'!C15</f>
        <v>71387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3043674</v>
      </c>
      <c r="C2561" s="2" t="s">
        <v>573</v>
      </c>
      <c r="D2561" s="2" t="str">
        <f t="shared" si="39"/>
        <v>Error?</v>
      </c>
    </row>
    <row r="2562" spans="1:4" x14ac:dyDescent="0.2">
      <c r="A2562" s="5">
        <v>2501</v>
      </c>
      <c r="B2562" s="138">
        <f>'Acct Summary 7-8'!C20</f>
        <v>94172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76774</v>
      </c>
      <c r="C2564" s="2" t="s">
        <v>573</v>
      </c>
      <c r="D2564" s="2" t="str">
        <f t="shared" si="39"/>
        <v>Error?</v>
      </c>
    </row>
    <row r="2565" spans="1:4" x14ac:dyDescent="0.2">
      <c r="A2565" s="10">
        <v>2504</v>
      </c>
      <c r="D2565" s="2" t="str">
        <f t="shared" si="39"/>
        <v>OK</v>
      </c>
    </row>
    <row r="2566" spans="1:4" x14ac:dyDescent="0.2">
      <c r="A2566" s="5">
        <v>2505</v>
      </c>
      <c r="B2566" s="138">
        <f>'Acct Summary 7-8'!D6</f>
        <v>373817</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450591</v>
      </c>
      <c r="C2568" s="2" t="s">
        <v>573</v>
      </c>
      <c r="D2568" s="2" t="str">
        <f t="shared" si="39"/>
        <v>Error?</v>
      </c>
    </row>
    <row r="2569" spans="1:4" x14ac:dyDescent="0.2">
      <c r="A2569" s="5">
        <v>2508</v>
      </c>
      <c r="B2569" s="138">
        <f>'Acct Summary 7-8'!D13</f>
        <v>429098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429098</v>
      </c>
      <c r="C2573" s="2" t="s">
        <v>573</v>
      </c>
      <c r="D2573" s="2" t="str">
        <f t="shared" si="39"/>
        <v>Error?</v>
      </c>
    </row>
    <row r="2574" spans="1:4" x14ac:dyDescent="0.2">
      <c r="A2574" s="5">
        <v>2513</v>
      </c>
      <c r="B2574" s="138">
        <f>'Acct Summary 7-8'!D20</f>
        <v>21493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23912</v>
      </c>
      <c r="C2591" s="2" t="s">
        <v>573</v>
      </c>
      <c r="D2591" s="2" t="str">
        <f t="shared" si="39"/>
        <v>Error?</v>
      </c>
    </row>
    <row r="2592" spans="1:4" x14ac:dyDescent="0.2">
      <c r="A2592" s="10">
        <v>2531</v>
      </c>
      <c r="D2592" s="2" t="str">
        <f t="shared" si="39"/>
        <v>OK</v>
      </c>
    </row>
    <row r="2593" spans="1:4" x14ac:dyDescent="0.2">
      <c r="A2593" s="5">
        <v>2532</v>
      </c>
      <c r="B2593" s="138">
        <f>'Acct Summary 7-8'!F6</f>
        <v>111510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135422</v>
      </c>
      <c r="C2595" s="2" t="s">
        <v>573</v>
      </c>
      <c r="D2595" s="2" t="str">
        <f t="shared" si="39"/>
        <v>Error?</v>
      </c>
    </row>
    <row r="2596" spans="1:4" x14ac:dyDescent="0.2">
      <c r="A2596" s="5">
        <v>2535</v>
      </c>
      <c r="B2596" s="138">
        <f>'Acct Summary 7-8'!F13</f>
        <v>255774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255774</v>
      </c>
      <c r="C2600" s="2" t="s">
        <v>573</v>
      </c>
      <c r="D2600" s="2" t="str">
        <f t="shared" si="39"/>
        <v>Error?</v>
      </c>
    </row>
    <row r="2601" spans="1:4" x14ac:dyDescent="0.2">
      <c r="A2601" s="5">
        <v>2540</v>
      </c>
      <c r="B2601" s="138">
        <f>'Acct Summary 7-8'!F20</f>
        <v>-120352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76876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76876</v>
      </c>
      <c r="C2606" s="2" t="s">
        <v>573</v>
      </c>
      <c r="D2606" s="2" t="str">
        <f t="shared" si="39"/>
        <v>Error?</v>
      </c>
    </row>
    <row r="2607" spans="1:4" x14ac:dyDescent="0.2">
      <c r="A2607" s="5">
        <v>2546</v>
      </c>
      <c r="B2607" s="138">
        <f>'Acct Summary 7-8'!G12</f>
        <v>28137</v>
      </c>
      <c r="C2607" s="2" t="s">
        <v>573</v>
      </c>
      <c r="D2607" s="2" t="str">
        <f t="shared" si="39"/>
        <v>Error?</v>
      </c>
    </row>
    <row r="2608" spans="1:4" x14ac:dyDescent="0.2">
      <c r="A2608" s="5">
        <v>2547</v>
      </c>
      <c r="B2608" s="138">
        <f>'Acct Summary 7-8'!G13</f>
        <v>41018</v>
      </c>
      <c r="C2608" s="2" t="s">
        <v>573</v>
      </c>
      <c r="D2608" s="2" t="str">
        <f t="shared" si="39"/>
        <v>Error?</v>
      </c>
    </row>
    <row r="2609" spans="1:4" x14ac:dyDescent="0.2">
      <c r="A2609" s="5">
        <v>2548</v>
      </c>
      <c r="B2609" s="138">
        <f>'Acct Summary 7-8'!G14</f>
        <v>11451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80606</v>
      </c>
      <c r="C2612" s="2" t="s">
        <v>573</v>
      </c>
      <c r="D2612" s="2" t="str">
        <f t="shared" si="39"/>
        <v>Error?</v>
      </c>
    </row>
    <row r="2613" spans="1:4" x14ac:dyDescent="0.2">
      <c r="A2613" s="5">
        <v>2552</v>
      </c>
      <c r="B2613" s="138">
        <f>'Acct Summary 7-8'!G20</f>
        <v>-3730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78685</v>
      </c>
      <c r="D2718" s="2" t="str">
        <f t="shared" si="41"/>
        <v>Error?</v>
      </c>
    </row>
    <row r="2719" spans="1:4" x14ac:dyDescent="0.2">
      <c r="A2719" s="5">
        <v>2658</v>
      </c>
      <c r="B2719" s="138">
        <f>'Expenditures 15-22'!D51</f>
        <v>20743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99428</v>
      </c>
      <c r="C2724" s="2" t="s">
        <v>573</v>
      </c>
      <c r="D2724" s="2" t="str">
        <f t="shared" si="41"/>
        <v>Error?</v>
      </c>
    </row>
    <row r="2725" spans="1:4" x14ac:dyDescent="0.2">
      <c r="A2725" s="5">
        <v>2664</v>
      </c>
      <c r="B2725" s="138">
        <f>'Expenditures 15-22'!D247</f>
        <v>1141</v>
      </c>
      <c r="D2725" s="2" t="str">
        <f t="shared" si="41"/>
        <v>Error?</v>
      </c>
    </row>
    <row r="2726" spans="1:4" x14ac:dyDescent="0.2">
      <c r="A2726" s="5">
        <v>2665</v>
      </c>
      <c r="B2726" s="138">
        <f>'Expenditures 15-22'!K247</f>
        <v>1141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71387</v>
      </c>
      <c r="C2789" s="2" t="s">
        <v>573</v>
      </c>
      <c r="D2789" s="2" t="str">
        <f t="shared" si="42"/>
        <v>Error?</v>
      </c>
    </row>
    <row r="2790" spans="1:4" x14ac:dyDescent="0.2">
      <c r="A2790" s="5">
        <v>2729</v>
      </c>
      <c r="B2790" s="138">
        <f>'Expenditures 15-22'!E102</f>
        <v>71387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1500</v>
      </c>
      <c r="D2949" s="2" t="str">
        <f t="shared" si="45"/>
        <v>Error?</v>
      </c>
    </row>
    <row r="2950" spans="1:4" x14ac:dyDescent="0.2">
      <c r="A2950" s="5">
        <v>2889</v>
      </c>
      <c r="B2950" s="138">
        <f>'Expenditures 15-22'!E79</f>
        <v>66799</v>
      </c>
      <c r="D2950" s="2" t="str">
        <f t="shared" si="45"/>
        <v>Error?</v>
      </c>
    </row>
    <row r="2951" spans="1:4" x14ac:dyDescent="0.2">
      <c r="A2951" s="5">
        <v>2890</v>
      </c>
      <c r="B2951" s="138">
        <f>'Expenditures 15-22'!E80</f>
        <v>3088</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1500</v>
      </c>
      <c r="C2973" s="2" t="s">
        <v>573</v>
      </c>
      <c r="D2973" s="2" t="str">
        <f t="shared" si="45"/>
        <v>Error?</v>
      </c>
    </row>
    <row r="2974" spans="1:4" x14ac:dyDescent="0.2">
      <c r="A2974" s="5">
        <v>2913</v>
      </c>
      <c r="B2974" s="138">
        <f>'Expenditures 15-22'!K79</f>
        <v>66799</v>
      </c>
      <c r="C2974" s="2" t="s">
        <v>573</v>
      </c>
      <c r="D2974" s="2" t="str">
        <f t="shared" si="45"/>
        <v>Error?</v>
      </c>
    </row>
    <row r="2975" spans="1:4" x14ac:dyDescent="0.2">
      <c r="A2975" s="5">
        <v>2914</v>
      </c>
      <c r="B2975" s="138">
        <f>'Expenditures 15-22'!K80</f>
        <v>3088</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1897</v>
      </c>
      <c r="D3055" s="2" t="str">
        <f t="shared" si="46"/>
        <v>Error?</v>
      </c>
    </row>
    <row r="3056" spans="1:4" x14ac:dyDescent="0.2">
      <c r="A3056" s="5">
        <v>2995</v>
      </c>
      <c r="B3056" s="138">
        <f>'Expenditures 15-22'!D10</f>
        <v>4517</v>
      </c>
      <c r="D3056" s="2" t="str">
        <f t="shared" si="46"/>
        <v>Error?</v>
      </c>
    </row>
    <row r="3057" spans="1:4" x14ac:dyDescent="0.2">
      <c r="A3057" s="5">
        <v>2996</v>
      </c>
      <c r="B3057" s="138">
        <f>'Expenditures 15-22'!E10</f>
        <v>19399</v>
      </c>
      <c r="D3057" s="2" t="str">
        <f t="shared" si="46"/>
        <v>Error?</v>
      </c>
    </row>
    <row r="3058" spans="1:4" x14ac:dyDescent="0.2">
      <c r="A3058" s="5">
        <v>2997</v>
      </c>
      <c r="B3058" s="138">
        <f>'Expenditures 15-22'!F10</f>
        <v>2161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27974</v>
      </c>
      <c r="C3062" s="2" t="s">
        <v>573</v>
      </c>
      <c r="D3062" s="2" t="str">
        <f t="shared" si="46"/>
        <v>Error?</v>
      </c>
    </row>
    <row r="3063" spans="1:4" x14ac:dyDescent="0.2">
      <c r="A3063" s="10">
        <v>3002</v>
      </c>
      <c r="D3063" s="2" t="str">
        <f t="shared" si="46"/>
        <v>OK</v>
      </c>
    </row>
    <row r="3064" spans="1:4" x14ac:dyDescent="0.2">
      <c r="A3064" s="5">
        <v>3003</v>
      </c>
      <c r="B3064" s="138">
        <f>'Expenditures 15-22'!D219</f>
        <v>3056</v>
      </c>
      <c r="D3064" s="2" t="str">
        <f t="shared" si="46"/>
        <v>Error?</v>
      </c>
    </row>
    <row r="3065" spans="1:4" x14ac:dyDescent="0.2">
      <c r="A3065" s="5">
        <v>3004</v>
      </c>
      <c r="B3065" s="138">
        <f>'Expenditures 15-22'!K219</f>
        <v>3056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6487</v>
      </c>
      <c r="C3225" s="2" t="s">
        <v>573</v>
      </c>
      <c r="D3225" s="2" t="str">
        <f t="shared" si="49"/>
        <v>Error?</v>
      </c>
    </row>
    <row r="3226" spans="1:4" x14ac:dyDescent="0.2">
      <c r="A3226" s="5">
        <v>3165</v>
      </c>
      <c r="B3226" s="138">
        <f>'Acct Summary 7-8'!I8</f>
        <v>6487</v>
      </c>
      <c r="C3226" s="2" t="s">
        <v>573</v>
      </c>
      <c r="D3226" s="2" t="str">
        <f t="shared" si="49"/>
        <v>Error?</v>
      </c>
    </row>
    <row r="3227" spans="1:4" x14ac:dyDescent="0.2">
      <c r="A3227" s="5">
        <v>3166</v>
      </c>
      <c r="B3227" s="138">
        <f>'Acct Summary 7-8'!I20</f>
        <v>6487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186521</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186521</v>
      </c>
      <c r="C3232" s="2" t="s">
        <v>573</v>
      </c>
      <c r="D3232" s="2" t="str">
        <f t="shared" si="49"/>
        <v>Error?</v>
      </c>
    </row>
    <row r="3233" spans="1:4" x14ac:dyDescent="0.2">
      <c r="A3233" s="5">
        <v>3172</v>
      </c>
      <c r="B3233" s="138">
        <f>'Acct Summary 7-8'!C78</f>
        <v>280693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21493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-120352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-3730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145100</v>
      </c>
      <c r="C3317" s="2" t="s">
        <v>573</v>
      </c>
      <c r="D3317" s="2" t="str">
        <f t="shared" si="50"/>
        <v>Error?</v>
      </c>
    </row>
    <row r="3318" spans="1:4" x14ac:dyDescent="0.2">
      <c r="A3318" s="5">
        <v>3257</v>
      </c>
      <c r="B3318" s="138">
        <f>'Acct Summary 7-8'!I76</f>
        <v>186521</v>
      </c>
      <c r="C3318" s="2" t="s">
        <v>573</v>
      </c>
      <c r="D3318" s="2" t="str">
        <f t="shared" si="50"/>
        <v>Error?</v>
      </c>
    </row>
    <row r="3319" spans="1:4" x14ac:dyDescent="0.2">
      <c r="A3319" s="5">
        <v>3258</v>
      </c>
      <c r="B3319" s="138">
        <f>'Acct Summary 7-8'!I77</f>
        <v>-41421</v>
      </c>
      <c r="C3319" s="2" t="s">
        <v>573</v>
      </c>
      <c r="D3319" s="2" t="str">
        <f t="shared" si="50"/>
        <v>Error?</v>
      </c>
    </row>
    <row r="3320" spans="1:4" x14ac:dyDescent="0.2">
      <c r="A3320" s="5">
        <v>3259</v>
      </c>
      <c r="B3320" s="138">
        <f>'Acct Summary 7-8'!I78</f>
        <v>-34934</v>
      </c>
      <c r="C3320" s="2" t="s">
        <v>573</v>
      </c>
      <c r="D3320" s="2" t="str">
        <f t="shared" si="50"/>
        <v>Error?</v>
      </c>
    </row>
    <row r="3321" spans="1:4" x14ac:dyDescent="0.2">
      <c r="A3321" s="5">
        <v>3260</v>
      </c>
      <c r="B3321" s="138">
        <f>'Acct Summary 7-8'!I79</f>
        <v>34934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117092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22965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44041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184098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19239</v>
      </c>
      <c r="D3387" s="2" t="str">
        <f t="shared" si="51"/>
        <v>Error?</v>
      </c>
    </row>
    <row r="3388" spans="1:4" x14ac:dyDescent="0.2">
      <c r="A3388" s="5">
        <v>3327</v>
      </c>
      <c r="B3388" s="138">
        <f>'Expenditures 15-22'!D217</f>
        <v>1698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19239</v>
      </c>
      <c r="C3390" s="2" t="s">
        <v>573</v>
      </c>
      <c r="D3390" s="2" t="str">
        <f t="shared" si="51"/>
        <v>Error?</v>
      </c>
    </row>
    <row r="3391" spans="1:4" x14ac:dyDescent="0.2">
      <c r="A3391" s="5">
        <v>3330</v>
      </c>
      <c r="B3391" s="138">
        <f>'Expenditures 15-22'!K217</f>
        <v>1698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388516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29585</v>
      </c>
      <c r="C3446" s="2" t="s">
        <v>573</v>
      </c>
      <c r="D3446" s="2" t="str">
        <f t="shared" si="52"/>
        <v>Error?</v>
      </c>
    </row>
    <row r="3447" spans="1:4" x14ac:dyDescent="0.2">
      <c r="A3447" s="5">
        <v>3386</v>
      </c>
      <c r="B3447" s="138">
        <f>'Tax Sched 23'!D16</f>
        <v>29585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18923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18923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212961</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-194038</v>
      </c>
      <c r="D3567" s="2" t="str">
        <f t="shared" si="54"/>
        <v>Error?</v>
      </c>
    </row>
    <row r="3568" spans="1:4" x14ac:dyDescent="0.2">
      <c r="A3568" s="5">
        <v>3507</v>
      </c>
      <c r="B3568" s="138">
        <f>'Assets-Liab 5-6'!K41</f>
        <v>18923</v>
      </c>
      <c r="C3568" s="2" t="s">
        <v>573</v>
      </c>
      <c r="D3568" s="2" t="str">
        <f t="shared" si="54"/>
        <v>Error?</v>
      </c>
    </row>
    <row r="3569" spans="1:4" x14ac:dyDescent="0.2">
      <c r="A3569" s="5">
        <v>3508</v>
      </c>
      <c r="B3569" s="138">
        <f>'Acct Summary 7-8'!K4</f>
        <v>6487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6487</v>
      </c>
      <c r="C3571" s="2" t="s">
        <v>573</v>
      </c>
      <c r="D3571" s="2" t="str">
        <f t="shared" si="54"/>
        <v>Error?</v>
      </c>
    </row>
    <row r="3572" spans="1:4" x14ac:dyDescent="0.2">
      <c r="A3572" s="5">
        <v>3511</v>
      </c>
      <c r="B3572" s="138">
        <f>'Acct Summary 7-8'!K13</f>
        <v>30906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30906</v>
      </c>
      <c r="C3575" s="2" t="s">
        <v>573</v>
      </c>
      <c r="D3575" s="2" t="str">
        <f t="shared" si="54"/>
        <v>Error?</v>
      </c>
    </row>
    <row r="3576" spans="1:4" x14ac:dyDescent="0.2">
      <c r="A3576" s="5">
        <v>3515</v>
      </c>
      <c r="B3576" s="138">
        <f>'Acct Summary 7-8'!K20</f>
        <v>-24419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-24419</v>
      </c>
      <c r="C3588" s="2" t="s">
        <v>573</v>
      </c>
      <c r="D3588" s="2" t="str">
        <f t="shared" si="55"/>
        <v>Error?</v>
      </c>
    </row>
    <row r="3589" spans="1:4" x14ac:dyDescent="0.2">
      <c r="A3589" s="5">
        <v>3528</v>
      </c>
      <c r="B3589" s="138">
        <f>'Acct Summary 7-8'!K79</f>
        <v>-169619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-194038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30906</v>
      </c>
      <c r="D3632" s="2" t="str">
        <f t="shared" si="55"/>
        <v>Error?</v>
      </c>
    </row>
    <row r="3633" spans="1:4" x14ac:dyDescent="0.2">
      <c r="A3633" s="5">
        <v>3572</v>
      </c>
      <c r="B3633" s="138">
        <f>'Expenditures 15-22'!E350</f>
        <v>30906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30906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30906</v>
      </c>
      <c r="C3669" s="2" t="s">
        <v>573</v>
      </c>
      <c r="D3669" s="2" t="str">
        <f t="shared" si="56"/>
        <v>Error?</v>
      </c>
    </row>
    <row r="3670" spans="1:4" x14ac:dyDescent="0.2">
      <c r="A3670" s="5">
        <v>3609</v>
      </c>
      <c r="B3670" s="138">
        <f>'Expenditures 15-22'!K350</f>
        <v>30906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30906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30906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-24419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6487</v>
      </c>
      <c r="C3725" s="2" t="s">
        <v>573</v>
      </c>
      <c r="D3725" s="2" t="str">
        <f t="shared" si="57"/>
        <v>Error?</v>
      </c>
    </row>
    <row r="3726" spans="1:4" x14ac:dyDescent="0.2">
      <c r="A3726" s="5">
        <v>3665</v>
      </c>
      <c r="B3726" s="138">
        <f>'Tax Sched 23'!D13</f>
        <v>6487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7291</v>
      </c>
      <c r="C3728" s="2" t="s">
        <v>573</v>
      </c>
      <c r="D3728" s="2" t="str">
        <f t="shared" si="57"/>
        <v>Error?</v>
      </c>
    </row>
    <row r="3729" spans="1:4" x14ac:dyDescent="0.2">
      <c r="A3729" s="5">
        <v>3668</v>
      </c>
      <c r="B3729" s="138">
        <f>'Tax Sched 23'!E13</f>
        <v>7291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1123</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1123</v>
      </c>
      <c r="D4111" s="2" t="str">
        <f t="shared" si="63"/>
        <v>Error?</v>
      </c>
    </row>
    <row r="4112" spans="1:4" x14ac:dyDescent="0.2">
      <c r="A4112" s="10">
        <v>4051</v>
      </c>
      <c r="D4112" s="2" t="str">
        <f t="shared" si="63"/>
        <v>OK</v>
      </c>
    </row>
    <row r="4113" spans="1:4" x14ac:dyDescent="0.2">
      <c r="A4113" s="5">
        <v>4052</v>
      </c>
      <c r="B4113" s="138">
        <f>'Acct Summary 7-8'!C9</f>
        <v>898367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4036213</v>
      </c>
      <c r="C4122" s="2" t="s">
        <v>573</v>
      </c>
      <c r="D4122" s="2" t="str">
        <f t="shared" si="63"/>
        <v>Error?</v>
      </c>
    </row>
    <row r="4123" spans="1:4" x14ac:dyDescent="0.2">
      <c r="A4123" s="5">
        <v>4062</v>
      </c>
      <c r="B4123" s="138">
        <f>'Acct Summary 7-8'!D10</f>
        <v>450591</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135422</v>
      </c>
      <c r="C4125" s="2" t="s">
        <v>573</v>
      </c>
      <c r="D4125" s="2" t="str">
        <f t="shared" si="63"/>
        <v>Error?</v>
      </c>
    </row>
    <row r="4126" spans="1:4" x14ac:dyDescent="0.2">
      <c r="A4126" s="5">
        <v>4065</v>
      </c>
      <c r="B4126" s="138">
        <f>'Acct Summary 7-8'!G10</f>
        <v>76876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6487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6487</v>
      </c>
      <c r="C4130" s="2" t="s">
        <v>573</v>
      </c>
      <c r="D4130" s="2" t="str">
        <f t="shared" si="63"/>
        <v>Error?</v>
      </c>
    </row>
    <row r="4131" spans="1:4" x14ac:dyDescent="0.2">
      <c r="A4131" s="5">
        <v>4070</v>
      </c>
      <c r="B4131" s="138">
        <f>'Acct Summary 7-8'!C18</f>
        <v>898367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3942041</v>
      </c>
      <c r="C4136" s="2" t="s">
        <v>573</v>
      </c>
      <c r="D4136" s="2" t="str">
        <f t="shared" si="63"/>
        <v>Error?</v>
      </c>
    </row>
    <row r="4137" spans="1:4" x14ac:dyDescent="0.2">
      <c r="A4137" s="5">
        <v>4076</v>
      </c>
      <c r="B4137" s="138">
        <f>'Acct Summary 7-8'!D19</f>
        <v>429098</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255774</v>
      </c>
      <c r="C4139" s="2" t="s">
        <v>573</v>
      </c>
      <c r="D4139" s="2" t="str">
        <f t="shared" si="63"/>
        <v>Error?</v>
      </c>
    </row>
    <row r="4140" spans="1:4" x14ac:dyDescent="0.2">
      <c r="A4140" s="5">
        <v>4079</v>
      </c>
      <c r="B4140" s="138">
        <f>'Acct Summary 7-8'!G19</f>
        <v>80606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30906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145100</v>
      </c>
      <c r="C4171" s="2" t="s">
        <v>573</v>
      </c>
      <c r="D4171" s="2" t="str">
        <f t="shared" si="64"/>
        <v>Error?</v>
      </c>
    </row>
    <row r="4172" spans="1:4" x14ac:dyDescent="0.2">
      <c r="A4172" s="5">
        <v>4111</v>
      </c>
      <c r="B4172" s="138">
        <f>'Short-Term Long-Term Debt 24'!J49</f>
        <v>145100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1108.1000000000001</v>
      </c>
      <c r="C4265" s="2" t="s">
        <v>573</v>
      </c>
      <c r="D4265" s="2" t="str">
        <f t="shared" si="65"/>
        <v>Error?</v>
      </c>
      <c r="E4265" s="128"/>
    </row>
    <row r="4266" spans="1:5" x14ac:dyDescent="0.2">
      <c r="A4266" s="12">
        <v>4205</v>
      </c>
      <c r="B4266" s="138">
        <f>('FP Info 3'!F10)*100000</f>
        <v>249.70000000000002</v>
      </c>
      <c r="C4266" s="2" t="s">
        <v>573</v>
      </c>
      <c r="D4266" s="2" t="str">
        <f t="shared" si="65"/>
        <v>Error?</v>
      </c>
      <c r="E4266" s="128"/>
    </row>
    <row r="4267" spans="1:5" x14ac:dyDescent="0.2">
      <c r="A4267" s="12">
        <v>4206</v>
      </c>
      <c r="B4267" s="138">
        <f>('FP Info 3'!H10)*100000</f>
        <v>119.80000000000001</v>
      </c>
      <c r="C4267" s="2" t="s">
        <v>573</v>
      </c>
      <c r="D4267" s="2" t="str">
        <f t="shared" si="65"/>
        <v>Error?</v>
      </c>
      <c r="E4267" s="128"/>
    </row>
    <row r="4268" spans="1:5" x14ac:dyDescent="0.2">
      <c r="A4268" s="12">
        <v>4207</v>
      </c>
      <c r="B4268" s="138">
        <f>('FP Info 3'!J10)*100000</f>
        <v>1478</v>
      </c>
      <c r="C4268" s="2" t="s">
        <v>573</v>
      </c>
      <c r="D4268" s="2" t="str">
        <f t="shared" si="65"/>
        <v>Error?</v>
      </c>
    </row>
    <row r="4269" spans="1:5" x14ac:dyDescent="0.2">
      <c r="A4269" s="12">
        <v>4208</v>
      </c>
      <c r="B4269" s="138">
        <f>'FP Info 3'!J16</f>
        <v>591549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2261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2881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2881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17430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9220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51628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14798458</v>
      </c>
      <c r="D4995" s="2" t="str">
        <f t="shared" si="77"/>
        <v>Error?</v>
      </c>
    </row>
    <row r="4996" spans="1:4" x14ac:dyDescent="0.2">
      <c r="A4996" s="12">
        <v>4935</v>
      </c>
      <c r="B4996" s="138">
        <f>'FP Info 3'!H31</f>
        <v>1021093.6020000001</v>
      </c>
      <c r="D4996" s="2" t="str">
        <f t="shared" si="77"/>
        <v>Error?</v>
      </c>
    </row>
    <row r="4997" spans="1:4" x14ac:dyDescent="0.2">
      <c r="A4997" s="12">
        <v>4936</v>
      </c>
      <c r="B4997" s="138">
        <f>'FP Info 3'!H37</f>
        <v>145100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6487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143981</v>
      </c>
      <c r="D5061" s="2" t="str">
        <f t="shared" si="78"/>
        <v>Error?</v>
      </c>
    </row>
    <row r="5062" spans="1:4" x14ac:dyDescent="0.2">
      <c r="A5062" s="10">
        <v>5001</v>
      </c>
      <c r="D5062" s="2" t="str">
        <f t="shared" si="78"/>
        <v>OK</v>
      </c>
    </row>
    <row r="5063" spans="1:4" x14ac:dyDescent="0.2">
      <c r="A5063" s="5">
        <v>5002</v>
      </c>
      <c r="B5063" s="138">
        <f>'Revenues 9-14'!C7</f>
        <v>2598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153066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1273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1273</v>
      </c>
      <c r="C5087" s="2" t="s">
        <v>573</v>
      </c>
      <c r="D5087" s="2" t="str">
        <f t="shared" si="78"/>
        <v>Error?</v>
      </c>
    </row>
    <row r="5088" spans="1:4" x14ac:dyDescent="0.2">
      <c r="A5088" s="5">
        <v>5027</v>
      </c>
      <c r="B5088" s="138">
        <f>'Revenues 9-14'!C65</f>
        <v>593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724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724</v>
      </c>
      <c r="C5096" s="2" t="s">
        <v>573</v>
      </c>
      <c r="D5096" s="2" t="str">
        <f t="shared" si="78"/>
        <v>Error?</v>
      </c>
    </row>
    <row r="5097" spans="1:4" x14ac:dyDescent="0.2">
      <c r="A5097" s="5">
        <v>5036</v>
      </c>
      <c r="B5097" s="138">
        <f>'Revenues 9-14'!C77</f>
        <v>1954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425</v>
      </c>
      <c r="D5099" s="2" t="str">
        <f t="shared" si="78"/>
        <v>Error?</v>
      </c>
    </row>
    <row r="5100" spans="1:4" x14ac:dyDescent="0.2">
      <c r="A5100" s="5">
        <v>5039</v>
      </c>
      <c r="B5100" s="138">
        <f>'Revenues 9-14'!C80</f>
        <v>8</v>
      </c>
      <c r="D5100" s="2" t="str">
        <f t="shared" si="78"/>
        <v>Error?</v>
      </c>
    </row>
    <row r="5101" spans="1:4" x14ac:dyDescent="0.2">
      <c r="A5101" s="5">
        <v>5040</v>
      </c>
      <c r="B5101" s="138">
        <f>'Revenues 9-14'!C81</f>
        <v>687</v>
      </c>
      <c r="D5101" s="2" t="str">
        <f t="shared" si="78"/>
        <v>Error?</v>
      </c>
    </row>
    <row r="5102" spans="1:4" x14ac:dyDescent="0.2">
      <c r="A5102" s="5">
        <v>5041</v>
      </c>
      <c r="B5102" s="138">
        <f>'Revenues 9-14'!C82</f>
        <v>3074</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60000</v>
      </c>
      <c r="D5113" s="2" t="str">
        <f t="shared" si="78"/>
        <v>Error?</v>
      </c>
    </row>
    <row r="5114" spans="1:4" x14ac:dyDescent="0.2">
      <c r="A5114" s="5">
        <v>5053</v>
      </c>
      <c r="B5114" s="138">
        <f>'Revenues 9-14'!C96</f>
        <v>5050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27877</v>
      </c>
      <c r="D5119" s="2" t="str">
        <f t="shared" ref="D5119:D5182" si="79">IF(ISBLANK(B5119),"OK",IF(A5119-B5119=0,"OK","Error?"))</f>
        <v>Error?</v>
      </c>
    </row>
    <row r="5120" spans="1:4" x14ac:dyDescent="0.2">
      <c r="A5120" s="5">
        <v>5059</v>
      </c>
      <c r="B5120" s="138">
        <f>'Revenues 9-14'!C108</f>
        <v>92997</v>
      </c>
      <c r="C5120" s="2" t="s">
        <v>573</v>
      </c>
      <c r="D5120" s="2" t="str">
        <f t="shared" si="79"/>
        <v>Error?</v>
      </c>
    </row>
    <row r="5121" spans="1:4" x14ac:dyDescent="0.2">
      <c r="A5121" s="5">
        <v>5060</v>
      </c>
      <c r="B5121" s="138">
        <f>'Revenues 9-14'!C109</f>
        <v>251727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1758807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1758807</v>
      </c>
      <c r="C5132" s="2" t="s">
        <v>573</v>
      </c>
      <c r="D5132" s="2" t="str">
        <f t="shared" si="79"/>
        <v>Error?</v>
      </c>
    </row>
    <row r="5133" spans="1:4" x14ac:dyDescent="0.2">
      <c r="A5133" s="5">
        <v>5072</v>
      </c>
      <c r="B5133" s="138">
        <f>'Revenues 9-14'!C125</f>
        <v>17004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17004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3675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461823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534130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2292937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112962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60027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177536</v>
      </c>
      <c r="C5246" s="2" t="s">
        <v>573</v>
      </c>
      <c r="D5246" s="2" t="str">
        <f t="shared" si="80"/>
        <v>Error?</v>
      </c>
    </row>
    <row r="5247" spans="1:4" x14ac:dyDescent="0.2">
      <c r="A5247" s="5">
        <v>5186</v>
      </c>
      <c r="B5247" s="138">
        <f>'Revenues 9-14'!C200</f>
        <v>285096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17430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285096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22326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76432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98758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593182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593182</v>
      </c>
      <c r="C5326" s="2" t="s">
        <v>573</v>
      </c>
      <c r="D5326" s="2" t="str">
        <f t="shared" si="82"/>
        <v>Error?</v>
      </c>
    </row>
    <row r="5327" spans="1:5" x14ac:dyDescent="0.2">
      <c r="A5327" s="5">
        <v>5266</v>
      </c>
      <c r="B5327" s="138">
        <f>'Revenues 9-14'!C268</f>
        <v>3137846</v>
      </c>
      <c r="C5327" s="2" t="s">
        <v>573</v>
      </c>
      <c r="D5327" s="2" t="str">
        <f t="shared" si="82"/>
        <v>Error?</v>
      </c>
    </row>
    <row r="5328" spans="1:5" x14ac:dyDescent="0.2">
      <c r="A5328" s="5">
        <v>5267</v>
      </c>
      <c r="B5328" s="138">
        <f>'Revenues 9-14'!D5</f>
        <v>32438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32438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44336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44336</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76774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373817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373817</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373817</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450591</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15560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15560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8352</v>
      </c>
      <c r="D5586" s="2" t="str">
        <f t="shared" si="86"/>
        <v>Error?</v>
      </c>
    </row>
    <row r="5587" spans="1:4" x14ac:dyDescent="0.2">
      <c r="A5587" s="5">
        <v>5526</v>
      </c>
      <c r="B5587" s="138">
        <f>'Revenues 9-14'!F108</f>
        <v>8352</v>
      </c>
      <c r="C5587" s="2" t="s">
        <v>573</v>
      </c>
      <c r="D5587" s="2" t="str">
        <f t="shared" si="86"/>
        <v>Error?</v>
      </c>
    </row>
    <row r="5588" spans="1:4" x14ac:dyDescent="0.2">
      <c r="A5588" s="5">
        <v>5527</v>
      </c>
      <c r="B5588" s="138">
        <f>'Revenues 9-14'!F109</f>
        <v>23912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97522</v>
      </c>
      <c r="D5615" s="2" t="str">
        <f t="shared" si="86"/>
        <v>Error?</v>
      </c>
    </row>
    <row r="5616" spans="1:4" x14ac:dyDescent="0.2">
      <c r="A5616" s="10">
        <v>5555</v>
      </c>
      <c r="D5616" s="2" t="str">
        <f t="shared" si="86"/>
        <v>OK</v>
      </c>
    </row>
    <row r="5617" spans="1:5" x14ac:dyDescent="0.2">
      <c r="A5617" s="5">
        <v>5556</v>
      </c>
      <c r="B5617" s="138">
        <f>'Revenues 9-14'!F153</f>
        <v>13988</v>
      </c>
      <c r="D5617" s="2" t="str">
        <f t="shared" si="86"/>
        <v>Error?</v>
      </c>
    </row>
    <row r="5618" spans="1:5" x14ac:dyDescent="0.2">
      <c r="A5618" s="5">
        <v>5557</v>
      </c>
      <c r="B5618" s="138">
        <f>'Revenues 9-14'!F155</f>
        <v>111510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111510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111510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135422</v>
      </c>
      <c r="C5720" s="2" t="s">
        <v>573</v>
      </c>
      <c r="D5720" s="2" t="str">
        <f t="shared" si="88"/>
        <v>Error?</v>
      </c>
    </row>
    <row r="5721" spans="1:4" x14ac:dyDescent="0.2">
      <c r="A5721" s="5">
        <v>5660</v>
      </c>
      <c r="B5721" s="138">
        <f>'Revenues 9-14'!G5</f>
        <v>47291</v>
      </c>
      <c r="D5721" s="2" t="str">
        <f t="shared" si="88"/>
        <v>Error?</v>
      </c>
    </row>
    <row r="5722" spans="1:4" x14ac:dyDescent="0.2">
      <c r="A5722" s="5">
        <v>5661</v>
      </c>
      <c r="B5722" s="138">
        <f>'Revenues 9-14'!G7</f>
        <v>0</v>
      </c>
      <c r="D5722" s="2" t="str">
        <f t="shared" si="88"/>
        <v>Error?</v>
      </c>
    </row>
    <row r="5723" spans="1:4" x14ac:dyDescent="0.2">
      <c r="A5723" s="5">
        <v>5662</v>
      </c>
      <c r="B5723" s="138">
        <f>'Revenues 9-14'!G8</f>
        <v>29585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76876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76876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6487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6487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6487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6487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6487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6487</v>
      </c>
      <c r="C6023" s="2" t="s">
        <v>573</v>
      </c>
      <c r="D6023" s="2" t="str">
        <f t="shared" si="93"/>
        <v>Error?</v>
      </c>
    </row>
    <row r="6024" spans="1:5" x14ac:dyDescent="0.2">
      <c r="A6024" s="5">
        <v>5963</v>
      </c>
      <c r="B6024" s="138">
        <f>'Revenues 9-14'!G109</f>
        <v>76876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6487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6487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152.16999999999999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51080</v>
      </c>
      <c r="D6081" s="2" t="str">
        <f t="shared" si="94"/>
        <v>Error?</v>
      </c>
      <c r="E6081" s="2" t="s">
        <v>190</v>
      </c>
    </row>
    <row r="6082" spans="1:5" x14ac:dyDescent="0.2">
      <c r="A6082">
        <v>6021</v>
      </c>
      <c r="B6082" s="138">
        <f>'Assets-Liab 5-6'!D7</f>
        <v>23280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170124</v>
      </c>
      <c r="D6084" s="2" t="str">
        <f t="shared" si="94"/>
        <v>Error?</v>
      </c>
      <c r="E6084" s="2" t="s">
        <v>190</v>
      </c>
    </row>
    <row r="6085" spans="1:5" x14ac:dyDescent="0.2">
      <c r="A6085">
        <v>6024</v>
      </c>
      <c r="B6085" s="138">
        <f>'Assets-Liab 5-6'!G7</f>
        <v>1686</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63971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33209</v>
      </c>
      <c r="D6131" s="2" t="str">
        <f t="shared" si="94"/>
        <v>Error?</v>
      </c>
      <c r="E6131" s="2" t="s">
        <v>190</v>
      </c>
    </row>
    <row r="6132" spans="1:5" x14ac:dyDescent="0.2">
      <c r="A6132">
        <v>6071</v>
      </c>
      <c r="B6132" s="138">
        <f>'Assets-Liab 5-6'!K25</f>
        <v>212961</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44277</v>
      </c>
      <c r="D6145" s="2" t="str">
        <f t="shared" si="95"/>
        <v>Error?</v>
      </c>
      <c r="E6145" s="2" t="s">
        <v>190</v>
      </c>
    </row>
    <row r="6146" spans="1:5" x14ac:dyDescent="0.2">
      <c r="A6146">
        <v>6085</v>
      </c>
      <c r="B6146" s="138">
        <f>'Assets-Liab 5-6'!G27</f>
        <v>5922</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33209</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30762</v>
      </c>
      <c r="D6215" s="2" t="str">
        <f t="shared" si="96"/>
        <v>Error?</v>
      </c>
      <c r="E6215" s="2" t="s">
        <v>190</v>
      </c>
    </row>
    <row r="6216" spans="1:5" x14ac:dyDescent="0.2">
      <c r="A6216">
        <v>6155</v>
      </c>
      <c r="B6216" s="138">
        <f>'Assets-Liab 5-6'!J41</f>
        <v>63971</v>
      </c>
      <c r="D6216" s="2" t="str">
        <f t="shared" si="96"/>
        <v>Error?</v>
      </c>
      <c r="E6216" s="2" t="s">
        <v>190</v>
      </c>
    </row>
    <row r="6217" spans="1:5" x14ac:dyDescent="0.2">
      <c r="A6217">
        <v>6156</v>
      </c>
      <c r="B6217" s="138">
        <f>'Assets-Liab 5-6'!J4</f>
        <v>63971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83139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83139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83139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81949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81949</v>
      </c>
      <c r="D6229" s="2" t="str">
        <f t="shared" si="96"/>
        <v>Error?</v>
      </c>
      <c r="E6229" s="2" t="s">
        <v>190</v>
      </c>
    </row>
    <row r="6230" spans="1:5" x14ac:dyDescent="0.2">
      <c r="A6230">
        <v>6169</v>
      </c>
      <c r="B6230" s="138">
        <f>'Acct Summary 7-8'!J20</f>
        <v>1190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1190</v>
      </c>
      <c r="D6263" s="2" t="str">
        <f t="shared" si="96"/>
        <v>Error?</v>
      </c>
      <c r="E6263" s="2" t="s">
        <v>190</v>
      </c>
    </row>
    <row r="6264" spans="1:5" x14ac:dyDescent="0.2">
      <c r="A6264">
        <v>6203</v>
      </c>
      <c r="B6264" s="138">
        <f>'Acct Summary 7-8'!J79</f>
        <v>29572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30762</v>
      </c>
      <c r="D6266" s="2" t="str">
        <f t="shared" si="96"/>
        <v>Error?</v>
      </c>
      <c r="E6266" s="2" t="s">
        <v>190</v>
      </c>
    </row>
    <row r="6267" spans="1:5" x14ac:dyDescent="0.2">
      <c r="A6267">
        <v>6206</v>
      </c>
      <c r="B6267" s="138">
        <f>'Acct Summary 7-8'!C82</f>
        <v>280693</v>
      </c>
      <c r="D6267" s="2" t="str">
        <f t="shared" si="96"/>
        <v>Error?</v>
      </c>
      <c r="E6267" s="2" t="s">
        <v>190</v>
      </c>
    </row>
    <row r="6268" spans="1:5" x14ac:dyDescent="0.2">
      <c r="A6268">
        <v>6207</v>
      </c>
      <c r="B6268" s="138">
        <f>'Acct Summary 7-8'!D82</f>
        <v>21493</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-120352</v>
      </c>
      <c r="D6270" s="2" t="str">
        <f t="shared" si="96"/>
        <v>Error?</v>
      </c>
      <c r="E6270" s="2" t="s">
        <v>190</v>
      </c>
    </row>
    <row r="6271" spans="1:5" x14ac:dyDescent="0.2">
      <c r="A6271">
        <v>6210</v>
      </c>
      <c r="B6271" s="138">
        <f>'Acct Summary 7-8'!G82</f>
        <v>-3730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-34934</v>
      </c>
      <c r="D6273" s="2" t="str">
        <f t="shared" si="97"/>
        <v>Error?</v>
      </c>
      <c r="E6273" s="2" t="s">
        <v>190</v>
      </c>
    </row>
    <row r="6274" spans="1:5" x14ac:dyDescent="0.2">
      <c r="A6274">
        <v>6213</v>
      </c>
      <c r="B6274" s="138">
        <f>'Acct Summary 7-8'!J82</f>
        <v>1190</v>
      </c>
      <c r="D6274" s="2" t="str">
        <f t="shared" si="97"/>
        <v>Error?</v>
      </c>
      <c r="E6274" s="2" t="s">
        <v>190</v>
      </c>
    </row>
    <row r="6275" spans="1:5" x14ac:dyDescent="0.2">
      <c r="A6275">
        <v>6214</v>
      </c>
      <c r="B6275" s="138">
        <f>'Acct Summary 7-8'!K82</f>
        <v>-24419</v>
      </c>
      <c r="D6275" s="2" t="str">
        <f t="shared" si="97"/>
        <v>Error?</v>
      </c>
      <c r="E6275" s="2" t="s">
        <v>190</v>
      </c>
    </row>
    <row r="6276" spans="1:5" x14ac:dyDescent="0.2">
      <c r="A6276">
        <v>6215</v>
      </c>
      <c r="B6276" s="138">
        <f>'Acct Summary 7-8'!C83</f>
        <v>0.63852491833410674</v>
      </c>
      <c r="D6276" s="2" t="str">
        <f t="shared" si="97"/>
        <v>Error?</v>
      </c>
      <c r="E6276" s="2" t="s">
        <v>190</v>
      </c>
    </row>
    <row r="6277" spans="1:5" x14ac:dyDescent="0.2">
      <c r="A6277">
        <v>6216</v>
      </c>
      <c r="B6277" s="138">
        <f>'Acct Summary 7-8'!D83</f>
        <v>0.82329732628514518</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-0.95633586815736571</v>
      </c>
      <c r="D6279" s="2" t="str">
        <f t="shared" si="97"/>
        <v>Error?</v>
      </c>
      <c r="E6279" s="2" t="s">
        <v>190</v>
      </c>
    </row>
    <row r="6280" spans="1:5" x14ac:dyDescent="0.2">
      <c r="A6280">
        <v>6219</v>
      </c>
      <c r="B6280" s="138">
        <f>'Acct Summary 7-8'!G83</f>
        <v>0.88054768649669501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3.8684090761328914E-2</v>
      </c>
      <c r="D6283" s="2" t="str">
        <f t="shared" si="97"/>
        <v>Error?</v>
      </c>
      <c r="E6283" s="2" t="s">
        <v>190</v>
      </c>
    </row>
    <row r="6284" spans="1:5" x14ac:dyDescent="0.2">
      <c r="A6284">
        <v>6223</v>
      </c>
      <c r="B6284" s="138">
        <f>'Acct Summary 7-8'!K83</f>
        <v>0.12584648367845475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43198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43198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39941</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39941</v>
      </c>
      <c r="D6351" s="2" t="str">
        <f t="shared" si="98"/>
        <v>Error?</v>
      </c>
      <c r="E6351" s="2" t="s">
        <v>190</v>
      </c>
    </row>
    <row r="6352" spans="1:5" x14ac:dyDescent="0.2">
      <c r="A6352">
        <v>6291</v>
      </c>
      <c r="B6352" s="138">
        <f>'Revenues 9-14'!J109</f>
        <v>83139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19695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13348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46572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13348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47392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47392</v>
      </c>
      <c r="D6940" s="2" t="str">
        <f t="shared" si="107"/>
        <v>Error?</v>
      </c>
    </row>
    <row r="6941" spans="1:4" x14ac:dyDescent="0.2">
      <c r="A6941">
        <v>6880</v>
      </c>
      <c r="B6941" s="138">
        <f>'Expenditures 15-22'!L52</f>
        <v>90000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13348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81949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83139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3341</v>
      </c>
      <c r="D7073" s="2" t="str">
        <f t="shared" si="109"/>
        <v>Error?</v>
      </c>
    </row>
    <row r="7074" spans="1:4" x14ac:dyDescent="0.2">
      <c r="A7074">
        <v>7013</v>
      </c>
      <c r="B7074" s="138">
        <f>'Expenditures 15-22'!K216</f>
        <v>3341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66795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66795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15154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15154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81949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81949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81949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81949</v>
      </c>
      <c r="D7224" s="2" t="str">
        <f t="shared" si="111"/>
        <v>Error?</v>
      </c>
    </row>
    <row r="7225" spans="1:4" x14ac:dyDescent="0.2">
      <c r="A7225">
        <v>7164</v>
      </c>
      <c r="B7225" s="138">
        <f>'Expenditures 15-22'!K343</f>
        <v>1190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25807</v>
      </c>
      <c r="D7246" s="2" t="str">
        <f t="shared" si="112"/>
        <v>Error?</v>
      </c>
    </row>
    <row r="7247" spans="1:4" x14ac:dyDescent="0.2">
      <c r="A7247">
        <f t="shared" si="113"/>
        <v>7186</v>
      </c>
      <c r="B7247" s="138">
        <f>'Expenditures 15-22'!E7</f>
        <v>1005</v>
      </c>
      <c r="D7247" s="2" t="str">
        <f t="shared" si="112"/>
        <v>Error?</v>
      </c>
    </row>
    <row r="7248" spans="1:4" x14ac:dyDescent="0.2">
      <c r="A7248">
        <f t="shared" si="113"/>
        <v>7187</v>
      </c>
      <c r="B7248" s="138">
        <f>'Expenditures 15-22'!F7</f>
        <v>65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13348</v>
      </c>
      <c r="D7624" s="2" t="str">
        <f t="shared" si="124"/>
        <v>Error?</v>
      </c>
      <c r="E7624" s="2" t="s">
        <v>19</v>
      </c>
    </row>
    <row r="7625" spans="1:5" x14ac:dyDescent="0.2">
      <c r="A7625">
        <f t="shared" si="123"/>
        <v>7564</v>
      </c>
      <c r="B7625" s="138">
        <f>'Cap Outlay Deprec 26'!I17</f>
        <v>1334.8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88854.8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4547</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2598</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29'!D32</f>
        <v>152286.24</v>
      </c>
      <c r="D7797" s="2" t="str">
        <f t="shared" si="127"/>
        <v>Error?</v>
      </c>
      <c r="E7797" s="4" t="s">
        <v>1903</v>
      </c>
    </row>
    <row r="7798" spans="1:5" x14ac:dyDescent="0.2">
      <c r="A7798">
        <v>7737</v>
      </c>
      <c r="B7798" s="138">
        <f>'Contracts Paid in CY 29'!F32</f>
        <v>117314.23999999999</v>
      </c>
      <c r="D7798" s="2" t="str">
        <f t="shared" si="127"/>
        <v>Error?</v>
      </c>
      <c r="E7798" s="4" t="s">
        <v>1903</v>
      </c>
    </row>
    <row r="7799" spans="1:5" x14ac:dyDescent="0.2">
      <c r="A7799">
        <v>7738</v>
      </c>
      <c r="B7799" s="138">
        <f>'Contracts Paid in CY 29'!G32</f>
        <v>34972</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1987</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Pembroke CCSD 259</v>
      </c>
      <c r="B7" s="2382"/>
      <c r="C7" s="2382"/>
      <c r="D7" s="2419"/>
      <c r="E7" s="2420">
        <f>COVER!A13</f>
        <v>32046259004</v>
      </c>
      <c r="F7" s="2421"/>
      <c r="G7" s="2388">
        <f>COVER!T23</f>
        <v>65.023278000000005</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Jodi K. Gill, CPA</v>
      </c>
      <c r="H9" s="2395"/>
      <c r="I9" s="2395"/>
      <c r="J9" s="2395"/>
      <c r="K9" s="2395"/>
      <c r="L9" s="2396"/>
    </row>
    <row r="10" spans="1:29" ht="13.5" customHeight="1" x14ac:dyDescent="0.2">
      <c r="A10" s="2378" t="str">
        <f>COVER!A38</f>
        <v>Dr. Marcus Alexander</v>
      </c>
      <c r="B10" s="2379"/>
      <c r="C10" s="2379"/>
      <c r="D10" s="2379"/>
      <c r="E10" s="2379"/>
      <c r="F10" s="2380"/>
      <c r="G10" s="2394" t="str">
        <f>COVER!T17</f>
        <v>33 N. Main St. Ste. #1</v>
      </c>
      <c r="H10" s="2407"/>
      <c r="I10" s="2407"/>
      <c r="J10" s="2407"/>
      <c r="K10" s="2407"/>
      <c r="L10" s="2408"/>
    </row>
    <row r="11" spans="1:29" ht="13.5" customHeight="1" x14ac:dyDescent="0.2">
      <c r="A11" s="1184" t="s">
        <v>1519</v>
      </c>
      <c r="B11" s="1185"/>
      <c r="C11" s="1186"/>
      <c r="D11" s="1191"/>
      <c r="E11" s="1186"/>
      <c r="F11" s="1190"/>
      <c r="G11" s="2394" t="str">
        <f>COVER!T19</f>
        <v>Manteno</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jodi@jodigillcpa.com</v>
      </c>
      <c r="J13" s="2416"/>
      <c r="K13" s="2416"/>
      <c r="L13" s="2417"/>
    </row>
    <row r="14" spans="1:29" ht="13.5" customHeight="1" x14ac:dyDescent="0.2">
      <c r="A14" s="2394" t="str">
        <f>COVER!A19</f>
        <v>4120 S. Wheeler Road</v>
      </c>
      <c r="B14" s="2407"/>
      <c r="C14" s="2407"/>
      <c r="D14" s="2407"/>
      <c r="E14" s="2407"/>
      <c r="F14" s="2408"/>
      <c r="G14" s="1195" t="s">
        <v>1185</v>
      </c>
      <c r="H14" s="1193"/>
      <c r="I14" s="1193"/>
      <c r="J14" s="1193"/>
      <c r="K14" s="1193"/>
      <c r="L14" s="1194"/>
    </row>
    <row r="15" spans="1:29" ht="13.5" customHeight="1" x14ac:dyDescent="0.2">
      <c r="A15" s="2394" t="str">
        <f>COVER!A21</f>
        <v>Hopkins Park</v>
      </c>
      <c r="B15" s="2407"/>
      <c r="C15" s="2407"/>
      <c r="D15" s="2407"/>
      <c r="E15" s="2407"/>
      <c r="F15" s="2408"/>
      <c r="G15" s="2404" t="str">
        <f>COVER!T15</f>
        <v>Jodi Gill</v>
      </c>
      <c r="H15" s="2405"/>
      <c r="I15" s="2405"/>
      <c r="J15" s="2405"/>
      <c r="K15" s="2405"/>
      <c r="L15" s="2406"/>
    </row>
    <row r="16" spans="1:29" ht="12.2" customHeight="1" x14ac:dyDescent="0.2">
      <c r="A16" s="2384">
        <f>COVER!A25</f>
        <v>60964</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815-468-8802</v>
      </c>
      <c r="H18" s="2382"/>
      <c r="I18" s="2382"/>
      <c r="J18" s="2382"/>
      <c r="K18" s="2381" t="str">
        <f>COVER!X21</f>
        <v>815-468-8805</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1"/>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Pembroke CCSD 259</v>
      </c>
      <c r="B1" s="2418"/>
      <c r="C1" s="2418"/>
      <c r="D1" s="2418"/>
    </row>
    <row r="2" spans="1:11" s="1212" customFormat="1" ht="12.75" x14ac:dyDescent="0.2">
      <c r="A2" s="2423">
        <f>'Single Audit Cover'!E7</f>
        <v>32046259004</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Pembroke CCSD 259</v>
      </c>
      <c r="B1" s="2426"/>
      <c r="C1" s="2426"/>
      <c r="D1" s="2426"/>
      <c r="E1" s="2426"/>
    </row>
    <row r="2" spans="1:5" x14ac:dyDescent="0.2">
      <c r="A2" s="2427">
        <f>'Single Audit Cover'!E7</f>
        <v>32046259004</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593182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-2261</v>
      </c>
    </row>
    <row r="19" spans="1:4" ht="13.5" thickBot="1" x14ac:dyDescent="0.25">
      <c r="A19" s="1262" t="s">
        <v>1235</v>
      </c>
      <c r="D19" s="1263">
        <f>SUM(D10:D17)</f>
        <v>590921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590921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590921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Pembroke CCSD 259</v>
      </c>
      <c r="C1" s="2430"/>
      <c r="D1" s="2430"/>
      <c r="E1" s="2430"/>
      <c r="F1" s="2430"/>
      <c r="G1" s="2430"/>
      <c r="H1" s="2430"/>
      <c r="I1" s="2430"/>
      <c r="J1" s="2430"/>
      <c r="K1" s="2430"/>
      <c r="L1" s="2430"/>
      <c r="M1" s="2430"/>
    </row>
    <row r="2" spans="2:14" ht="15" x14ac:dyDescent="0.2">
      <c r="B2" s="2431">
        <f>'Single Audit Cover'!E7</f>
        <v>32046259004</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Pembroke CCSD 259</v>
      </c>
      <c r="B1" s="2435"/>
      <c r="C1" s="2435"/>
      <c r="D1" s="2435"/>
      <c r="E1" s="2435"/>
      <c r="F1" s="2435"/>
    </row>
    <row r="2" spans="1:7" ht="13.5" customHeight="1" x14ac:dyDescent="0.2">
      <c r="A2" s="2431">
        <f>'Single Audit Cover'!E7</f>
        <v>32046259004</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4" t="s">
        <v>1270</v>
      </c>
      <c r="D15" s="2439" t="s">
        <v>1269</v>
      </c>
      <c r="E15" s="2439"/>
      <c r="F15" s="2439"/>
    </row>
    <row r="16" spans="1:7" ht="13.5" customHeight="1" x14ac:dyDescent="0.2">
      <c r="A16" s="1279"/>
      <c r="B16" s="1273" t="s">
        <v>1268</v>
      </c>
      <c r="C16" s="1844"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1"/>
      <c r="E33" s="1283"/>
    </row>
    <row r="34" spans="1:6" ht="13.5" customHeight="1" x14ac:dyDescent="0.2">
      <c r="A34" s="328" t="s">
        <v>1838</v>
      </c>
      <c r="B34" s="328"/>
      <c r="C34" s="1286">
        <v>0</v>
      </c>
      <c r="D34" s="1901" t="s">
        <v>1589</v>
      </c>
      <c r="E34" s="2443">
        <f>+C33+C34</f>
        <v>0</v>
      </c>
      <c r="F34" s="2444"/>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c r="D38" s="1901"/>
      <c r="E38" s="1283"/>
    </row>
    <row r="39" spans="1:6" ht="14.25" customHeight="1" x14ac:dyDescent="0.2">
      <c r="A39" s="328"/>
      <c r="B39" s="328" t="s">
        <v>1436</v>
      </c>
      <c r="C39" s="1289"/>
      <c r="D39" s="1901"/>
      <c r="E39" s="1283"/>
    </row>
    <row r="40" spans="1:6" ht="14.25" customHeight="1" x14ac:dyDescent="0.2">
      <c r="A40" s="328"/>
      <c r="B40" s="328" t="s">
        <v>1437</v>
      </c>
      <c r="C40" s="1289"/>
      <c r="D40" s="1901"/>
      <c r="E40" s="1283"/>
    </row>
    <row r="41" spans="1:6" ht="14.25" customHeight="1" x14ac:dyDescent="0.2">
      <c r="A41" s="328"/>
      <c r="B41" s="328" t="s">
        <v>1438</v>
      </c>
      <c r="C41" s="1289"/>
      <c r="D41" s="1901"/>
      <c r="E41" s="1283"/>
    </row>
    <row r="42" spans="1:6" ht="14.25" customHeight="1" x14ac:dyDescent="0.2">
      <c r="A42" s="328" t="s">
        <v>1439</v>
      </c>
      <c r="B42" s="328"/>
      <c r="C42" s="1899"/>
      <c r="D42" s="1901"/>
      <c r="E42" s="1283"/>
    </row>
    <row r="43" spans="1:6" ht="14.25" customHeight="1" x14ac:dyDescent="0.2">
      <c r="A43" s="328" t="s">
        <v>1440</v>
      </c>
      <c r="B43" s="328"/>
      <c r="C43" s="1290"/>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3"/>
      <c r="C50" s="1843"/>
      <c r="D50" s="1843"/>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2066</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2066</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t="s">
        <v>2082</v>
      </c>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2074</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361</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Pembroke CCSD 259</v>
      </c>
      <c r="C1" s="2451"/>
      <c r="D1" s="2451"/>
      <c r="E1" s="2451"/>
      <c r="F1" s="2451"/>
      <c r="G1" s="2451"/>
      <c r="H1" s="2451"/>
      <c r="I1" s="2451"/>
      <c r="J1" s="1406"/>
    </row>
    <row r="2" spans="2:10" s="317" customFormat="1" ht="12.75" customHeight="1" x14ac:dyDescent="0.2">
      <c r="B2" s="2452">
        <f>'Single Audit Cover'!E7</f>
        <v>32046259004</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2062</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Pembroke CCSD 259</v>
      </c>
      <c r="C1" s="2450"/>
      <c r="D1" s="2450"/>
      <c r="E1" s="2450"/>
      <c r="F1" s="2450"/>
      <c r="G1" s="2450"/>
      <c r="H1" s="2450"/>
      <c r="I1" s="2450"/>
      <c r="J1" s="2450"/>
      <c r="K1" s="2450"/>
      <c r="L1" s="1371"/>
      <c r="M1" s="1371"/>
    </row>
    <row r="2" spans="1:13" ht="12" customHeight="1" x14ac:dyDescent="0.2">
      <c r="B2" s="2452">
        <f>'Single Audit Cover'!E7</f>
        <v>32046259004</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Pembroke CCSD 259</v>
      </c>
      <c r="C1" s="2477"/>
      <c r="D1" s="2477"/>
      <c r="E1" s="2477"/>
      <c r="F1" s="2477"/>
      <c r="G1" s="2477"/>
      <c r="H1" s="2477"/>
      <c r="I1" s="2477"/>
      <c r="J1" s="2477"/>
      <c r="K1" s="2477"/>
      <c r="L1" s="1449"/>
    </row>
    <row r="2" spans="1:12" ht="12.75" customHeight="1" x14ac:dyDescent="0.2">
      <c r="B2" s="2478">
        <f>'Single Audit Cover'!E7</f>
        <v>32046259004</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Pembroke CCSD 259</v>
      </c>
      <c r="C1" s="2450"/>
      <c r="D1" s="2450"/>
      <c r="E1" s="1469"/>
    </row>
    <row r="2" spans="2:5" s="1279" customFormat="1" ht="12.75" customHeight="1" x14ac:dyDescent="0.2">
      <c r="B2" s="2452">
        <f>'Single Audit Cover'!E7</f>
        <v>32046259004</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14798458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1.1081000000000001E-2</v>
      </c>
      <c r="E10" s="356" t="s">
        <v>1005</v>
      </c>
      <c r="F10" s="355">
        <v>2.4970000000000001E-3</v>
      </c>
      <c r="G10" s="356" t="s">
        <v>1005</v>
      </c>
      <c r="H10" s="355">
        <v>1.1980000000000001E-3</v>
      </c>
      <c r="I10" s="356" t="s">
        <v>1006</v>
      </c>
      <c r="J10" s="1731">
        <f>ROUND(D10+F10+H10,5)</f>
        <v>1.478E-2</v>
      </c>
      <c r="K10" s="222"/>
      <c r="L10" s="355">
        <v>5.0000000000000001E-4</v>
      </c>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3730346</v>
      </c>
      <c r="E16" s="356"/>
      <c r="F16" s="1732">
        <f>SUM('Acct Summary 7-8'!C17,'Acct Summary 7-8'!D17,'Acct Summary 7-8'!F17)</f>
        <v>3728546</v>
      </c>
      <c r="G16" s="356"/>
      <c r="H16" s="1732">
        <f>SUM(D16-F16)</f>
        <v>1800</v>
      </c>
      <c r="I16" s="222"/>
      <c r="J16" s="1732">
        <f>SUM('Acct Summary 7-8'!C81,'Acct Summary 7-8'!D81,'Acct Summary 7-8'!F81,'Acct Summary 7-8'!I81)</f>
        <v>591549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586</v>
      </c>
      <c r="D31" s="237" t="s">
        <v>1072</v>
      </c>
      <c r="E31" s="222"/>
      <c r="F31" s="222"/>
      <c r="G31" s="363"/>
      <c r="H31" s="1734">
        <f>IF(B31="X",(J7*0.069),IF(B32="X",(J7*0.138),"Enter x in a.or b."))</f>
        <v>1021093.6020000001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145100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B8" zoomScale="110" zoomScaleNormal="110" workbookViewId="0">
      <selection activeCell="M12" sqref="M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Pembroke CCSD 259</v>
      </c>
      <c r="E7" s="391"/>
      <c r="G7" s="252"/>
      <c r="H7" s="387"/>
      <c r="I7" s="387"/>
      <c r="J7" s="387"/>
      <c r="K7" s="387"/>
      <c r="L7" s="329"/>
      <c r="M7" s="329"/>
      <c r="N7" s="329"/>
      <c r="O7" s="329"/>
      <c r="P7" s="329"/>
    </row>
    <row r="8" spans="1:18" ht="12.75" x14ac:dyDescent="0.2">
      <c r="A8" s="329"/>
      <c r="B8" s="329"/>
      <c r="C8" s="389" t="s">
        <v>1125</v>
      </c>
      <c r="D8" s="392">
        <f>COVER!A13</f>
        <v>32046259004</v>
      </c>
      <c r="E8" s="393"/>
      <c r="G8" s="329"/>
      <c r="H8" s="329"/>
      <c r="I8" s="329"/>
      <c r="J8" s="329"/>
      <c r="K8" s="329"/>
      <c r="L8" s="329"/>
      <c r="M8" s="329"/>
      <c r="N8" s="329"/>
      <c r="O8" s="329"/>
      <c r="P8" s="329"/>
    </row>
    <row r="9" spans="1:18" ht="12.75" x14ac:dyDescent="0.2">
      <c r="A9" s="329"/>
      <c r="B9" s="329"/>
      <c r="C9" s="389" t="s">
        <v>713</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587313</v>
      </c>
      <c r="I12" s="404"/>
      <c r="J12" s="404"/>
      <c r="K12" s="405">
        <f>TRUNC((H12/H13*100000),5)/100000</f>
        <v>0.1574419638</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3730346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3728546</v>
      </c>
      <c r="I17" s="404"/>
      <c r="J17" s="416"/>
      <c r="K17" s="405">
        <f>TRUNC((H17/H18*100000),5)/100000</f>
        <v>0.99951747099999988</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3730346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391342</v>
      </c>
      <c r="I24" s="422"/>
      <c r="J24" s="422"/>
      <c r="K24" s="423">
        <f>TRUNC(((H24/H25*100000)/100000),2)</f>
        <v>37.78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10357.07222</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185913.02785000001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145100</v>
      </c>
      <c r="I32" s="420"/>
      <c r="J32" s="420"/>
      <c r="K32" s="423">
        <f>TRUNC(100-((((H32/H33*100))*100)/100),2)</f>
        <v>85.78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1021093.6020000001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K27" sqref="K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388516</v>
      </c>
      <c r="D4" s="466">
        <v>2826</v>
      </c>
      <c r="E4" s="466"/>
      <c r="F4" s="466"/>
      <c r="G4" s="466"/>
      <c r="H4" s="466"/>
      <c r="I4" s="466"/>
      <c r="J4" s="467">
        <v>63971</v>
      </c>
      <c r="K4" s="466">
        <v>18923</v>
      </c>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51080</v>
      </c>
      <c r="D7" s="467">
        <v>23280</v>
      </c>
      <c r="E7" s="467"/>
      <c r="F7" s="467">
        <v>170124</v>
      </c>
      <c r="G7" s="467">
        <v>1686</v>
      </c>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439596</v>
      </c>
      <c r="D13" s="1736">
        <f t="shared" ref="D13:L13" si="0">SUM(D4:D12)</f>
        <v>26106</v>
      </c>
      <c r="E13" s="1736">
        <f t="shared" si="0"/>
        <v>0</v>
      </c>
      <c r="F13" s="1736">
        <f t="shared" si="0"/>
        <v>170124</v>
      </c>
      <c r="G13" s="1736">
        <f t="shared" si="0"/>
        <v>1686</v>
      </c>
      <c r="H13" s="1736">
        <f t="shared" si="0"/>
        <v>0</v>
      </c>
      <c r="I13" s="1736">
        <f t="shared" si="0"/>
        <v>0</v>
      </c>
      <c r="J13" s="1736">
        <f t="shared" si="0"/>
        <v>63971</v>
      </c>
      <c r="K13" s="1736">
        <f t="shared" si="0"/>
        <v>18923</v>
      </c>
      <c r="L13" s="1736">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145100</v>
      </c>
    </row>
    <row r="23" spans="1:14" ht="13.5" customHeight="1" thickBot="1" x14ac:dyDescent="0.25">
      <c r="A23" s="1735" t="s">
        <v>643</v>
      </c>
      <c r="B23" s="1740"/>
      <c r="C23" s="468"/>
      <c r="D23" s="468"/>
      <c r="E23" s="468"/>
      <c r="F23" s="468"/>
      <c r="G23" s="468"/>
      <c r="H23" s="468"/>
      <c r="I23" s="468"/>
      <c r="J23" s="468"/>
      <c r="K23" s="468"/>
      <c r="L23" s="468"/>
      <c r="M23" s="1687">
        <f>SUM(M15:M22)</f>
        <v>0</v>
      </c>
      <c r="N23" s="1687">
        <f>SUM(N21:N22)</f>
        <v>145100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v>33209</v>
      </c>
      <c r="K25" s="478">
        <v>212961</v>
      </c>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v>44277</v>
      </c>
      <c r="G27" s="467">
        <v>5922</v>
      </c>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7" t="s">
        <v>654</v>
      </c>
      <c r="B34" s="1738"/>
      <c r="C34" s="1739">
        <f>SUM(C25:C33)</f>
        <v>0</v>
      </c>
      <c r="D34" s="1739">
        <f t="shared" ref="D34:K34" si="1">SUM(D25:D33)</f>
        <v>0</v>
      </c>
      <c r="E34" s="1739">
        <f t="shared" si="1"/>
        <v>0</v>
      </c>
      <c r="F34" s="1739">
        <f t="shared" si="1"/>
        <v>44277</v>
      </c>
      <c r="G34" s="1739">
        <f t="shared" si="1"/>
        <v>5922</v>
      </c>
      <c r="H34" s="1739">
        <f t="shared" si="1"/>
        <v>0</v>
      </c>
      <c r="I34" s="1739">
        <f t="shared" si="1"/>
        <v>0</v>
      </c>
      <c r="J34" s="1739">
        <f t="shared" si="1"/>
        <v>33209</v>
      </c>
      <c r="K34" s="1739">
        <f t="shared" si="1"/>
        <v>212961</v>
      </c>
      <c r="L34" s="1720">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145100</v>
      </c>
    </row>
    <row r="37" spans="1:14" ht="13.5" thickBot="1" x14ac:dyDescent="0.25">
      <c r="A37" s="1735" t="s">
        <v>653</v>
      </c>
      <c r="B37" s="1740"/>
      <c r="C37" s="477"/>
      <c r="D37" s="477"/>
      <c r="E37" s="477"/>
      <c r="F37" s="477"/>
      <c r="G37" s="477"/>
      <c r="H37" s="477"/>
      <c r="I37" s="477"/>
      <c r="J37" s="477"/>
      <c r="K37" s="477"/>
      <c r="L37" s="480"/>
      <c r="M37" s="468"/>
      <c r="N37" s="1687">
        <f>SUM(N36:N36)</f>
        <v>145100</v>
      </c>
    </row>
    <row r="38" spans="1:14" s="329" customFormat="1" ht="13.5" customHeight="1" thickTop="1" x14ac:dyDescent="0.2">
      <c r="A38" s="496" t="s">
        <v>420</v>
      </c>
      <c r="B38" s="483">
        <v>714</v>
      </c>
      <c r="C38" s="466"/>
      <c r="D38" s="466"/>
      <c r="E38" s="466"/>
      <c r="F38" s="466">
        <v>125847</v>
      </c>
      <c r="G38" s="466"/>
      <c r="H38" s="466"/>
      <c r="I38" s="466"/>
      <c r="J38" s="467"/>
      <c r="K38" s="466"/>
      <c r="L38" s="481"/>
      <c r="M38" s="497"/>
      <c r="N38" s="497"/>
    </row>
    <row r="39" spans="1:14" s="329" customFormat="1" ht="13.5" customHeight="1" x14ac:dyDescent="0.2">
      <c r="A39" s="496" t="s">
        <v>342</v>
      </c>
      <c r="B39" s="483">
        <v>730</v>
      </c>
      <c r="C39" s="466">
        <v>439596</v>
      </c>
      <c r="D39" s="466">
        <v>26106</v>
      </c>
      <c r="E39" s="466"/>
      <c r="F39" s="466"/>
      <c r="G39" s="466">
        <v>-4236</v>
      </c>
      <c r="H39" s="466"/>
      <c r="I39" s="466"/>
      <c r="J39" s="467">
        <v>30762</v>
      </c>
      <c r="K39" s="466">
        <v>-194038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5" t="s">
        <v>655</v>
      </c>
      <c r="B41" s="1705"/>
      <c r="C41" s="1687">
        <f>(SUM(C34,C37,C38,C39))</f>
        <v>439596</v>
      </c>
      <c r="D41" s="1687">
        <f t="shared" ref="D41:L41" si="2">SUM(D34,D37,D38:D39)</f>
        <v>26106</v>
      </c>
      <c r="E41" s="1687">
        <f t="shared" si="2"/>
        <v>0</v>
      </c>
      <c r="F41" s="1687">
        <f t="shared" si="2"/>
        <v>170124</v>
      </c>
      <c r="G41" s="1687">
        <f t="shared" si="2"/>
        <v>1686</v>
      </c>
      <c r="H41" s="1687">
        <f t="shared" si="2"/>
        <v>0</v>
      </c>
      <c r="I41" s="1687">
        <f t="shared" si="2"/>
        <v>0</v>
      </c>
      <c r="J41" s="1687">
        <f t="shared" si="2"/>
        <v>63971</v>
      </c>
      <c r="K41" s="1687">
        <f t="shared" si="2"/>
        <v>18923</v>
      </c>
      <c r="L41" s="1687">
        <f t="shared" si="2"/>
        <v>0</v>
      </c>
      <c r="M41" s="1687">
        <f>SUM(M40)</f>
        <v>0</v>
      </c>
      <c r="N41" s="1687">
        <f>SUM(N37)</f>
        <v>145100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6" t="s">
        <v>1499</v>
      </c>
      <c r="B4" s="1927">
        <v>1000</v>
      </c>
      <c r="C4" s="1741">
        <f>'Revenues 9-14'!C109</f>
        <v>251727</v>
      </c>
      <c r="D4" s="1741">
        <f>'Revenues 9-14'!D109</f>
        <v>76774</v>
      </c>
      <c r="E4" s="1741">
        <f>'Revenues 9-14'!E109</f>
        <v>0</v>
      </c>
      <c r="F4" s="1741">
        <f>'Revenues 9-14'!F109</f>
        <v>23912</v>
      </c>
      <c r="G4" s="1741">
        <f>'Revenues 9-14'!G109</f>
        <v>76876</v>
      </c>
      <c r="H4" s="1741">
        <f>'Revenues 9-14'!H109</f>
        <v>0</v>
      </c>
      <c r="I4" s="1741">
        <f>'Revenues 9-14'!I109</f>
        <v>6487</v>
      </c>
      <c r="J4" s="1741">
        <f>'Revenues 9-14'!J109</f>
        <v>83139</v>
      </c>
      <c r="K4" s="1741">
        <f>'Revenues 9-14'!K109</f>
        <v>6487</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2292937</v>
      </c>
      <c r="D6" s="1742">
        <f>'Revenues 9-14'!D170</f>
        <v>373817</v>
      </c>
      <c r="E6" s="1742">
        <f>'Revenues 9-14'!E170</f>
        <v>0</v>
      </c>
      <c r="F6" s="1742">
        <f>'Revenues 9-14'!F170</f>
        <v>111510</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593182</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3137846</v>
      </c>
      <c r="D8" s="1687">
        <f t="shared" ref="D8:K8" si="0">SUM(D4:D7)</f>
        <v>450591</v>
      </c>
      <c r="E8" s="1687">
        <f t="shared" si="0"/>
        <v>0</v>
      </c>
      <c r="F8" s="1687">
        <f t="shared" si="0"/>
        <v>135422</v>
      </c>
      <c r="G8" s="1687">
        <f t="shared" si="0"/>
        <v>76876</v>
      </c>
      <c r="H8" s="1687">
        <f t="shared" si="0"/>
        <v>0</v>
      </c>
      <c r="I8" s="1687">
        <f t="shared" si="0"/>
        <v>6487</v>
      </c>
      <c r="J8" s="1687">
        <f t="shared" si="0"/>
        <v>83139</v>
      </c>
      <c r="K8" s="1687">
        <f t="shared" si="0"/>
        <v>6487</v>
      </c>
      <c r="L8" s="347"/>
    </row>
    <row r="9" spans="1:13" ht="15.75" thickTop="1" x14ac:dyDescent="0.2">
      <c r="A9" s="514" t="s">
        <v>1653</v>
      </c>
      <c r="B9" s="515">
        <v>3998</v>
      </c>
      <c r="C9" s="481">
        <v>898367</v>
      </c>
      <c r="D9" s="516"/>
      <c r="E9" s="481"/>
      <c r="F9" s="481"/>
      <c r="G9" s="517"/>
      <c r="H9" s="481"/>
      <c r="I9" s="509" t="s">
        <v>1169</v>
      </c>
      <c r="J9" s="478"/>
      <c r="K9" s="481"/>
      <c r="L9" s="347"/>
    </row>
    <row r="10" spans="1:13" s="519" customFormat="1" ht="13.5" thickBot="1" x14ac:dyDescent="0.25">
      <c r="A10" s="1735" t="s">
        <v>1173</v>
      </c>
      <c r="B10" s="1708"/>
      <c r="C10" s="1687">
        <f>SUM(C8:C9)</f>
        <v>4036213</v>
      </c>
      <c r="D10" s="1687">
        <f t="shared" ref="D10:K10" si="1">SUM(D8:D9)</f>
        <v>450591</v>
      </c>
      <c r="E10" s="1687">
        <f t="shared" si="1"/>
        <v>0</v>
      </c>
      <c r="F10" s="1687">
        <f t="shared" si="1"/>
        <v>135422</v>
      </c>
      <c r="G10" s="1687">
        <f t="shared" si="1"/>
        <v>76876</v>
      </c>
      <c r="H10" s="1687">
        <f t="shared" si="1"/>
        <v>0</v>
      </c>
      <c r="I10" s="1687">
        <f t="shared" si="1"/>
        <v>6487</v>
      </c>
      <c r="J10" s="1687">
        <f t="shared" si="1"/>
        <v>83139</v>
      </c>
      <c r="K10" s="1687">
        <f t="shared" si="1"/>
        <v>6487</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1">
        <f>'Expenditures 15-22'!K33</f>
        <v>1637383</v>
      </c>
      <c r="D12" s="520" t="s">
        <v>1169</v>
      </c>
      <c r="E12" s="468" t="s">
        <v>1169</v>
      </c>
      <c r="F12" s="468" t="s">
        <v>1169</v>
      </c>
      <c r="G12" s="1741">
        <f>'Expenditures 15-22'!K229</f>
        <v>28137</v>
      </c>
      <c r="H12" s="521"/>
      <c r="I12" s="468" t="s">
        <v>1169</v>
      </c>
      <c r="J12" s="468" t="s">
        <v>1169</v>
      </c>
      <c r="K12" s="521" t="s">
        <v>1169</v>
      </c>
      <c r="L12" s="347"/>
    </row>
    <row r="13" spans="1:13" ht="15.75" customHeight="1" x14ac:dyDescent="0.2">
      <c r="A13" s="1576" t="s">
        <v>457</v>
      </c>
      <c r="B13" s="1578">
        <v>2000</v>
      </c>
      <c r="C13" s="1742">
        <f>'Expenditures 15-22'!K74</f>
        <v>1120971</v>
      </c>
      <c r="D13" s="1742">
        <f>'Expenditures 15-22'!K129</f>
        <v>429098</v>
      </c>
      <c r="E13" s="469" t="s">
        <v>1169</v>
      </c>
      <c r="F13" s="1742">
        <f>'Expenditures 15-22'!K184</f>
        <v>255774</v>
      </c>
      <c r="G13" s="1742">
        <f>'Expenditures 15-22'!K279</f>
        <v>41018</v>
      </c>
      <c r="H13" s="1742">
        <f>'Expenditures 15-22'!K303</f>
        <v>0</v>
      </c>
      <c r="I13" s="468" t="s">
        <v>1169</v>
      </c>
      <c r="J13" s="1742">
        <f>'Expenditures 15-22'!K330</f>
        <v>81949</v>
      </c>
      <c r="K13" s="1746">
        <f>'Expenditures 15-22'!K352</f>
        <v>30906</v>
      </c>
      <c r="L13" s="347"/>
    </row>
    <row r="14" spans="1:13" ht="15.75" customHeight="1" x14ac:dyDescent="0.2">
      <c r="A14" s="1576" t="s">
        <v>449</v>
      </c>
      <c r="B14" s="1578">
        <v>3000</v>
      </c>
      <c r="C14" s="1742">
        <f>'Expenditures 15-22'!K75</f>
        <v>213933</v>
      </c>
      <c r="D14" s="1742">
        <f>'Expenditures 15-22'!K130</f>
        <v>0</v>
      </c>
      <c r="E14" s="520" t="s">
        <v>1169</v>
      </c>
      <c r="F14" s="1742">
        <f>'Expenditures 15-22'!K185</f>
        <v>0</v>
      </c>
      <c r="G14" s="1742">
        <f>'Expenditures 15-22'!K280</f>
        <v>11451</v>
      </c>
      <c r="H14" s="512"/>
      <c r="I14" s="468" t="s">
        <v>1169</v>
      </c>
      <c r="J14" s="468" t="s">
        <v>1169</v>
      </c>
      <c r="K14" s="512" t="s">
        <v>1169</v>
      </c>
      <c r="L14" s="347"/>
    </row>
    <row r="15" spans="1:13" ht="15.75" customHeight="1" x14ac:dyDescent="0.2">
      <c r="A15" s="1576" t="s">
        <v>107</v>
      </c>
      <c r="B15" s="1578">
        <v>4000</v>
      </c>
      <c r="C15" s="1742">
        <f>'Expenditures 15-22'!K102</f>
        <v>71387</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0</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3043674</v>
      </c>
      <c r="D17" s="1687">
        <f t="shared" si="2"/>
        <v>429098</v>
      </c>
      <c r="E17" s="1687">
        <f t="shared" si="2"/>
        <v>0</v>
      </c>
      <c r="F17" s="1687">
        <f t="shared" si="2"/>
        <v>255774</v>
      </c>
      <c r="G17" s="1687">
        <f t="shared" si="2"/>
        <v>80606</v>
      </c>
      <c r="H17" s="1687">
        <f t="shared" si="2"/>
        <v>0</v>
      </c>
      <c r="I17" s="468"/>
      <c r="J17" s="1687">
        <f>SUM(J12:J16)</f>
        <v>81949</v>
      </c>
      <c r="K17" s="1687">
        <f>SUM(K12:K16)</f>
        <v>30906</v>
      </c>
      <c r="L17" s="347"/>
    </row>
    <row r="18" spans="1:12" ht="15" customHeight="1" thickTop="1" x14ac:dyDescent="0.2">
      <c r="A18" s="1743" t="s">
        <v>1654</v>
      </c>
      <c r="B18" s="1744">
        <v>4180</v>
      </c>
      <c r="C18" s="1741">
        <f t="shared" ref="C18:H18" si="3">C9</f>
        <v>898367</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3942041</v>
      </c>
      <c r="D19" s="1687">
        <f t="shared" si="4"/>
        <v>429098</v>
      </c>
      <c r="E19" s="1687">
        <f t="shared" si="4"/>
        <v>0</v>
      </c>
      <c r="F19" s="1687">
        <f t="shared" si="4"/>
        <v>255774</v>
      </c>
      <c r="G19" s="1687">
        <f t="shared" si="4"/>
        <v>80606</v>
      </c>
      <c r="H19" s="1687">
        <f t="shared" si="4"/>
        <v>0</v>
      </c>
      <c r="I19" s="468"/>
      <c r="J19" s="1687">
        <f>SUM(J17:J18)</f>
        <v>81949</v>
      </c>
      <c r="K19" s="1687">
        <f>SUM(K17:K18)</f>
        <v>30906</v>
      </c>
      <c r="L19" s="347"/>
    </row>
    <row r="20" spans="1:12" ht="16.5" thickTop="1" thickBot="1" x14ac:dyDescent="0.25">
      <c r="A20" s="2123" t="s">
        <v>1655</v>
      </c>
      <c r="B20" s="2124"/>
      <c r="C20" s="1745">
        <f>C8-C17</f>
        <v>94172</v>
      </c>
      <c r="D20" s="1745">
        <f t="shared" ref="D20:K20" si="5">D8-D17</f>
        <v>21493</v>
      </c>
      <c r="E20" s="1745">
        <f t="shared" si="5"/>
        <v>0</v>
      </c>
      <c r="F20" s="1745">
        <f t="shared" si="5"/>
        <v>-120352</v>
      </c>
      <c r="G20" s="1745">
        <f t="shared" si="5"/>
        <v>-3730</v>
      </c>
      <c r="H20" s="1745">
        <f t="shared" si="5"/>
        <v>0</v>
      </c>
      <c r="I20" s="1745">
        <f t="shared" si="5"/>
        <v>6487</v>
      </c>
      <c r="J20" s="1745">
        <f t="shared" si="5"/>
        <v>1190</v>
      </c>
      <c r="K20" s="1745">
        <f t="shared" si="5"/>
        <v>-24419</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v>186521</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145100</v>
      </c>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2">
        <f>SUM(C24:C43)</f>
        <v>186521</v>
      </c>
      <c r="D44" s="1702">
        <f t="shared" ref="D44:K44" si="6">SUM(D24:D43)</f>
        <v>0</v>
      </c>
      <c r="E44" s="1702">
        <f t="shared" si="6"/>
        <v>0</v>
      </c>
      <c r="F44" s="1702">
        <f t="shared" si="6"/>
        <v>0</v>
      </c>
      <c r="G44" s="1702">
        <f t="shared" si="6"/>
        <v>0</v>
      </c>
      <c r="H44" s="1702">
        <f t="shared" si="6"/>
        <v>0</v>
      </c>
      <c r="I44" s="1702">
        <f t="shared" si="6"/>
        <v>145100</v>
      </c>
      <c r="J44" s="1702">
        <f t="shared" si="6"/>
        <v>0</v>
      </c>
      <c r="K44" s="1702">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186521</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2">
        <f t="shared" ref="C76:K76" si="7">SUM(C47:C75)</f>
        <v>0</v>
      </c>
      <c r="D76" s="1702">
        <f t="shared" si="7"/>
        <v>0</v>
      </c>
      <c r="E76" s="1702">
        <f t="shared" si="7"/>
        <v>0</v>
      </c>
      <c r="F76" s="1702">
        <f t="shared" si="7"/>
        <v>0</v>
      </c>
      <c r="G76" s="1702">
        <f t="shared" si="7"/>
        <v>0</v>
      </c>
      <c r="H76" s="1702">
        <f t="shared" si="7"/>
        <v>0</v>
      </c>
      <c r="I76" s="1702">
        <f t="shared" si="7"/>
        <v>186521</v>
      </c>
      <c r="J76" s="1702">
        <f t="shared" si="7"/>
        <v>0</v>
      </c>
      <c r="K76" s="1702">
        <f t="shared" si="7"/>
        <v>0</v>
      </c>
      <c r="L76" s="524"/>
    </row>
    <row r="77" spans="1:12" ht="14.25" thickTop="1" thickBot="1" x14ac:dyDescent="0.25">
      <c r="A77" s="2115" t="s">
        <v>1177</v>
      </c>
      <c r="B77" s="2116"/>
      <c r="C77" s="1702">
        <f t="shared" ref="C77:K77" si="8">C44-C76</f>
        <v>186521</v>
      </c>
      <c r="D77" s="1702">
        <f t="shared" si="8"/>
        <v>0</v>
      </c>
      <c r="E77" s="1702">
        <f t="shared" si="8"/>
        <v>0</v>
      </c>
      <c r="F77" s="1702">
        <f t="shared" si="8"/>
        <v>0</v>
      </c>
      <c r="G77" s="1702">
        <f t="shared" si="8"/>
        <v>0</v>
      </c>
      <c r="H77" s="1702">
        <f t="shared" si="8"/>
        <v>0</v>
      </c>
      <c r="I77" s="1702">
        <f t="shared" si="8"/>
        <v>-41421</v>
      </c>
      <c r="J77" s="1702">
        <f t="shared" si="8"/>
        <v>0</v>
      </c>
      <c r="K77" s="1702">
        <f t="shared" si="8"/>
        <v>0</v>
      </c>
      <c r="L77" s="347"/>
    </row>
    <row r="78" spans="1:12" ht="21.75" customHeight="1" thickTop="1" thickBot="1" x14ac:dyDescent="0.25">
      <c r="A78" s="2119" t="s">
        <v>597</v>
      </c>
      <c r="B78" s="2120"/>
      <c r="C78" s="1701">
        <f t="shared" ref="C78:K78" si="9">C20+C77</f>
        <v>280693</v>
      </c>
      <c r="D78" s="1701">
        <f t="shared" si="9"/>
        <v>21493</v>
      </c>
      <c r="E78" s="1701">
        <f t="shared" si="9"/>
        <v>0</v>
      </c>
      <c r="F78" s="1701">
        <f t="shared" si="9"/>
        <v>-120352</v>
      </c>
      <c r="G78" s="1701">
        <f t="shared" si="9"/>
        <v>-3730</v>
      </c>
      <c r="H78" s="1701">
        <f t="shared" si="9"/>
        <v>0</v>
      </c>
      <c r="I78" s="1701">
        <f t="shared" si="9"/>
        <v>-34934</v>
      </c>
      <c r="J78" s="1701">
        <f t="shared" si="9"/>
        <v>1190</v>
      </c>
      <c r="K78" s="1701">
        <f t="shared" si="9"/>
        <v>-24419</v>
      </c>
      <c r="L78" s="533"/>
    </row>
    <row r="79" spans="1:12" ht="13.5" thickTop="1" x14ac:dyDescent="0.2">
      <c r="A79" s="1494" t="s">
        <v>1947</v>
      </c>
      <c r="B79" s="534"/>
      <c r="C79" s="478">
        <v>158903</v>
      </c>
      <c r="D79" s="535">
        <v>4613</v>
      </c>
      <c r="E79" s="535"/>
      <c r="F79" s="535">
        <v>246199</v>
      </c>
      <c r="G79" s="535">
        <v>-506</v>
      </c>
      <c r="H79" s="535"/>
      <c r="I79" s="535">
        <v>34934</v>
      </c>
      <c r="J79" s="535">
        <v>29572</v>
      </c>
      <c r="K79" s="535">
        <v>-169619</v>
      </c>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1948</v>
      </c>
      <c r="B81" s="2118"/>
      <c r="C81" s="1687">
        <f>(SUM(C78:C80))</f>
        <v>439596</v>
      </c>
      <c r="D81" s="1687">
        <f>SUM(D78:D80)</f>
        <v>26106</v>
      </c>
      <c r="E81" s="1687">
        <f t="shared" ref="E81:K81" si="10">SUM(E78:E80)</f>
        <v>0</v>
      </c>
      <c r="F81" s="1687">
        <f t="shared" si="10"/>
        <v>125847</v>
      </c>
      <c r="G81" s="1687">
        <f t="shared" si="10"/>
        <v>-4236</v>
      </c>
      <c r="H81" s="1687">
        <f t="shared" si="10"/>
        <v>0</v>
      </c>
      <c r="I81" s="1687">
        <f t="shared" si="10"/>
        <v>0</v>
      </c>
      <c r="J81" s="1687">
        <f t="shared" si="10"/>
        <v>30762</v>
      </c>
      <c r="K81" s="1687">
        <f t="shared" si="10"/>
        <v>-194038</v>
      </c>
      <c r="L81" s="347"/>
    </row>
    <row r="82" spans="1:12" ht="0.75" customHeight="1" thickTop="1" thickBot="1" x14ac:dyDescent="0.25">
      <c r="A82" s="536" t="s">
        <v>343</v>
      </c>
      <c r="B82" s="537"/>
      <c r="C82" s="538">
        <f>(C81-C79)</f>
        <v>280693</v>
      </c>
      <c r="D82" s="538">
        <f t="shared" ref="D82:K82" si="11">(D81-D79)</f>
        <v>21493</v>
      </c>
      <c r="E82" s="538">
        <f t="shared" si="11"/>
        <v>0</v>
      </c>
      <c r="F82" s="538">
        <f t="shared" si="11"/>
        <v>-120352</v>
      </c>
      <c r="G82" s="538">
        <f t="shared" si="11"/>
        <v>-3730</v>
      </c>
      <c r="H82" s="538">
        <f t="shared" si="11"/>
        <v>0</v>
      </c>
      <c r="I82" s="538">
        <f t="shared" si="11"/>
        <v>-34934</v>
      </c>
      <c r="J82" s="538">
        <f t="shared" si="11"/>
        <v>1190</v>
      </c>
      <c r="K82" s="538">
        <f t="shared" si="11"/>
        <v>-24419</v>
      </c>
    </row>
    <row r="83" spans="1:12" ht="14.25" hidden="1" thickTop="1" thickBot="1" x14ac:dyDescent="0.25">
      <c r="A83" s="539" t="s">
        <v>344</v>
      </c>
      <c r="B83" s="464"/>
      <c r="C83" s="540">
        <f>C82/C81</f>
        <v>0.63852491833410674</v>
      </c>
      <c r="D83" s="540">
        <f t="shared" ref="D83:K83" si="12">D82/D81</f>
        <v>0.82329732628514518</v>
      </c>
      <c r="E83" s="540" t="e">
        <f t="shared" si="12"/>
        <v>#DIV/0!</v>
      </c>
      <c r="F83" s="540">
        <f t="shared" si="12"/>
        <v>-0.95633586815736571</v>
      </c>
      <c r="G83" s="540">
        <f t="shared" si="12"/>
        <v>0.88054768649669501</v>
      </c>
      <c r="H83" s="540" t="e">
        <f t="shared" si="12"/>
        <v>#DIV/0!</v>
      </c>
      <c r="I83" s="540" t="e">
        <f t="shared" si="12"/>
        <v>#DIV/0!</v>
      </c>
      <c r="J83" s="540">
        <f t="shared" si="12"/>
        <v>3.8684090761328914E-2</v>
      </c>
      <c r="K83" s="540">
        <f t="shared" si="12"/>
        <v>0.12584648367845475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143981</v>
      </c>
      <c r="D5" s="481">
        <v>32438</v>
      </c>
      <c r="E5" s="466"/>
      <c r="F5" s="548">
        <v>15560</v>
      </c>
      <c r="G5" s="466">
        <v>47291</v>
      </c>
      <c r="H5" s="466"/>
      <c r="I5" s="466">
        <v>6487</v>
      </c>
      <c r="J5" s="467">
        <v>43198</v>
      </c>
      <c r="K5" s="466">
        <v>6487</v>
      </c>
    </row>
    <row r="6" spans="1:12" ht="15" x14ac:dyDescent="0.2">
      <c r="A6" s="463" t="s">
        <v>1662</v>
      </c>
      <c r="B6" s="470">
        <v>1130</v>
      </c>
      <c r="C6" s="466">
        <v>6487</v>
      </c>
      <c r="D6" s="466"/>
      <c r="E6" s="475"/>
      <c r="F6" s="475"/>
      <c r="G6" s="468"/>
      <c r="H6" s="468"/>
      <c r="I6" s="468"/>
      <c r="J6" s="468"/>
      <c r="K6" s="468"/>
    </row>
    <row r="7" spans="1:12" x14ac:dyDescent="0.2">
      <c r="A7" s="463" t="s">
        <v>110</v>
      </c>
      <c r="B7" s="549">
        <v>1140</v>
      </c>
      <c r="C7" s="466">
        <v>2598</v>
      </c>
      <c r="D7" s="466"/>
      <c r="E7" s="468"/>
      <c r="F7" s="467"/>
      <c r="G7" s="467"/>
      <c r="H7" s="467"/>
      <c r="I7" s="468"/>
      <c r="J7" s="468"/>
      <c r="K7" s="468"/>
    </row>
    <row r="8" spans="1:12" x14ac:dyDescent="0.2">
      <c r="A8" s="463" t="s">
        <v>413</v>
      </c>
      <c r="B8" s="470">
        <v>1150</v>
      </c>
      <c r="C8" s="475"/>
      <c r="D8" s="475"/>
      <c r="E8" s="477"/>
      <c r="F8" s="477"/>
      <c r="G8" s="481">
        <v>29585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153066</v>
      </c>
      <c r="D12" s="1706">
        <f t="shared" si="0"/>
        <v>32438</v>
      </c>
      <c r="E12" s="1706">
        <f t="shared" si="0"/>
        <v>0</v>
      </c>
      <c r="F12" s="1706">
        <f t="shared" si="0"/>
        <v>15560</v>
      </c>
      <c r="G12" s="1706">
        <f t="shared" si="0"/>
        <v>76876</v>
      </c>
      <c r="H12" s="1706">
        <f t="shared" si="0"/>
        <v>0</v>
      </c>
      <c r="I12" s="1706">
        <f t="shared" si="0"/>
        <v>6487</v>
      </c>
      <c r="J12" s="1706">
        <f t="shared" si="0"/>
        <v>43198</v>
      </c>
      <c r="K12" s="1687">
        <f t="shared" si="0"/>
        <v>6487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44336</v>
      </c>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0</v>
      </c>
      <c r="D18" s="1709">
        <f t="shared" ref="D18:K18" si="1">SUM(D14:D17)</f>
        <v>44336</v>
      </c>
      <c r="E18" s="1709">
        <f t="shared" si="1"/>
        <v>0</v>
      </c>
      <c r="F18" s="1709">
        <f t="shared" si="1"/>
        <v>0</v>
      </c>
      <c r="G18" s="1709">
        <f t="shared" si="1"/>
        <v>0</v>
      </c>
      <c r="H18" s="1709">
        <f t="shared" si="1"/>
        <v>0</v>
      </c>
      <c r="I18" s="1709">
        <f t="shared" si="1"/>
        <v>0</v>
      </c>
      <c r="J18" s="1709">
        <f t="shared" si="1"/>
        <v>0</v>
      </c>
      <c r="K18" s="1710">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1273</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1273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593</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593</v>
      </c>
      <c r="D67" s="1687">
        <f t="shared" ref="D67:K67" si="2">SUM(D65:D66)</f>
        <v>0</v>
      </c>
      <c r="E67" s="1687">
        <f t="shared" si="2"/>
        <v>0</v>
      </c>
      <c r="F67" s="1687">
        <f t="shared" si="2"/>
        <v>0</v>
      </c>
      <c r="G67" s="1687">
        <f t="shared" si="2"/>
        <v>0</v>
      </c>
      <c r="H67" s="1687">
        <f t="shared" si="2"/>
        <v>0</v>
      </c>
      <c r="I67" s="1687">
        <f t="shared" si="2"/>
        <v>0</v>
      </c>
      <c r="J67" s="1687">
        <f t="shared" si="2"/>
        <v>0</v>
      </c>
      <c r="K67" s="1687">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724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724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1954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425</v>
      </c>
      <c r="D79" s="466"/>
      <c r="E79" s="468"/>
      <c r="F79" s="468"/>
      <c r="G79" s="468"/>
      <c r="H79" s="468"/>
      <c r="I79" s="468"/>
      <c r="J79" s="468"/>
      <c r="K79" s="468"/>
    </row>
    <row r="80" spans="1:11" ht="12.75" customHeight="1" x14ac:dyDescent="0.2">
      <c r="A80" s="463" t="s">
        <v>551</v>
      </c>
      <c r="B80" s="470">
        <v>1730</v>
      </c>
      <c r="C80" s="551">
        <v>8</v>
      </c>
      <c r="D80" s="466"/>
      <c r="E80" s="468"/>
      <c r="F80" s="468"/>
      <c r="G80" s="468"/>
      <c r="H80" s="468"/>
      <c r="I80" s="468"/>
      <c r="J80" s="468"/>
      <c r="K80" s="468"/>
    </row>
    <row r="81" spans="1:11" ht="12.75" customHeight="1" x14ac:dyDescent="0.2">
      <c r="A81" s="463" t="s">
        <v>26</v>
      </c>
      <c r="B81" s="470">
        <v>1790</v>
      </c>
      <c r="C81" s="551">
        <v>687</v>
      </c>
      <c r="D81" s="466"/>
      <c r="E81" s="468"/>
      <c r="F81" s="468"/>
      <c r="G81" s="468"/>
      <c r="H81" s="468"/>
      <c r="I81" s="468"/>
      <c r="J81" s="468"/>
      <c r="K81" s="468"/>
    </row>
    <row r="82" spans="1:11" ht="12.75" customHeight="1" thickBot="1" x14ac:dyDescent="0.25">
      <c r="A82" s="1707" t="s">
        <v>241</v>
      </c>
      <c r="B82" s="1708"/>
      <c r="C82" s="1706">
        <f>SUM(C77:C81)</f>
        <v>3074</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60000</v>
      </c>
      <c r="D95" s="551"/>
      <c r="E95" s="521"/>
      <c r="F95" s="521"/>
      <c r="G95" s="521"/>
      <c r="H95" s="521"/>
      <c r="I95" s="521"/>
      <c r="J95" s="521"/>
      <c r="K95" s="521"/>
    </row>
    <row r="96" spans="1:11" ht="12.75" customHeight="1" x14ac:dyDescent="0.2">
      <c r="A96" s="463" t="s">
        <v>391</v>
      </c>
      <c r="B96" s="470">
        <v>1920</v>
      </c>
      <c r="C96" s="551">
        <v>5050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70</v>
      </c>
      <c r="D99" s="466"/>
      <c r="E99" s="466"/>
      <c r="F99" s="466"/>
      <c r="G99" s="466"/>
      <c r="H99" s="466"/>
      <c r="I99" s="468"/>
      <c r="J99" s="467">
        <v>39941</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27877</v>
      </c>
      <c r="D107" s="466"/>
      <c r="E107" s="466"/>
      <c r="F107" s="466">
        <v>8352</v>
      </c>
      <c r="G107" s="466"/>
      <c r="H107" s="466"/>
      <c r="I107" s="466"/>
      <c r="J107" s="467"/>
      <c r="K107" s="466"/>
    </row>
    <row r="108" spans="1:12" ht="12.75" customHeight="1" thickBot="1" x14ac:dyDescent="0.25">
      <c r="A108" s="1707" t="s">
        <v>487</v>
      </c>
      <c r="B108" s="1711"/>
      <c r="C108" s="1706">
        <f>SUM(C95:C107)</f>
        <v>92997</v>
      </c>
      <c r="D108" s="1706">
        <f t="shared" ref="D108:K108" si="3">SUM(D95:D107)</f>
        <v>0</v>
      </c>
      <c r="E108" s="1706">
        <f t="shared" si="3"/>
        <v>0</v>
      </c>
      <c r="F108" s="1706">
        <f t="shared" si="3"/>
        <v>8352</v>
      </c>
      <c r="G108" s="1706">
        <f t="shared" si="3"/>
        <v>0</v>
      </c>
      <c r="H108" s="1706">
        <f t="shared" si="3"/>
        <v>0</v>
      </c>
      <c r="I108" s="1706">
        <f t="shared" si="3"/>
        <v>0</v>
      </c>
      <c r="J108" s="1706">
        <f t="shared" si="3"/>
        <v>39941</v>
      </c>
      <c r="K108" s="1687">
        <f t="shared" si="3"/>
        <v>0</v>
      </c>
    </row>
    <row r="109" spans="1:12" ht="14.25" thickTop="1" thickBot="1" x14ac:dyDescent="0.25">
      <c r="A109" s="1712" t="s">
        <v>248</v>
      </c>
      <c r="B109" s="1713" t="s">
        <v>570</v>
      </c>
      <c r="C109" s="1714">
        <f t="shared" ref="C109:K109" si="4">SUM(C12,C18,C40,C63,C67,C75,C82,C93,C108,)</f>
        <v>251727</v>
      </c>
      <c r="D109" s="1714">
        <f t="shared" si="4"/>
        <v>76774</v>
      </c>
      <c r="E109" s="1714">
        <f t="shared" si="4"/>
        <v>0</v>
      </c>
      <c r="F109" s="1714">
        <f t="shared" si="4"/>
        <v>23912</v>
      </c>
      <c r="G109" s="1714">
        <f t="shared" si="4"/>
        <v>76876</v>
      </c>
      <c r="H109" s="1714">
        <f t="shared" si="4"/>
        <v>0</v>
      </c>
      <c r="I109" s="1714">
        <f t="shared" si="4"/>
        <v>6487</v>
      </c>
      <c r="J109" s="1714">
        <f t="shared" si="4"/>
        <v>83139</v>
      </c>
      <c r="K109" s="1701">
        <f t="shared" si="4"/>
        <v>6487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1758807</v>
      </c>
      <c r="D117" s="481">
        <v>373817</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1758807</v>
      </c>
      <c r="D122" s="1706">
        <f t="shared" si="5"/>
        <v>373817</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17004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17004</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3675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97522</v>
      </c>
      <c r="G152" s="467"/>
      <c r="H152" s="468"/>
      <c r="I152" s="468"/>
      <c r="J152" s="468"/>
      <c r="K152" s="468"/>
    </row>
    <row r="153" spans="1:11" ht="12.75" customHeight="1" x14ac:dyDescent="0.2">
      <c r="A153" s="463" t="s">
        <v>1057</v>
      </c>
      <c r="B153" s="562">
        <v>3510</v>
      </c>
      <c r="C153" s="551"/>
      <c r="D153" s="466"/>
      <c r="E153" s="561"/>
      <c r="F153" s="466">
        <v>13988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111510</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461823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51628</v>
      </c>
      <c r="D168" s="580"/>
      <c r="E168" s="580"/>
      <c r="F168" s="580"/>
      <c r="G168" s="581"/>
      <c r="H168" s="582"/>
      <c r="I168" s="581"/>
      <c r="J168" s="581"/>
      <c r="K168" s="582"/>
    </row>
    <row r="169" spans="1:11" ht="12.75" customHeight="1" thickTop="1" thickBot="1" x14ac:dyDescent="0.25">
      <c r="A169" s="2141" t="s">
        <v>398</v>
      </c>
      <c r="B169" s="2142"/>
      <c r="C169" s="1721">
        <f t="shared" ref="C169:K169" si="6">SUM(C132,C141,C145,C146:C150,C155,C156:C167,C168)</f>
        <v>534130</v>
      </c>
      <c r="D169" s="1721">
        <f t="shared" si="6"/>
        <v>0</v>
      </c>
      <c r="E169" s="1721">
        <f t="shared" si="6"/>
        <v>0</v>
      </c>
      <c r="F169" s="1721">
        <f t="shared" si="6"/>
        <v>111510</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2292937</v>
      </c>
      <c r="D170" s="1714">
        <f t="shared" si="7"/>
        <v>373817</v>
      </c>
      <c r="E170" s="1714">
        <f t="shared" si="7"/>
        <v>0</v>
      </c>
      <c r="F170" s="1714">
        <f t="shared" si="7"/>
        <v>111510</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2881</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2881</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112962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60027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4547</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177536</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285096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285096</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17430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17430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22326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76432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98758</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9220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1935</v>
      </c>
      <c r="B261" s="470">
        <v>4981</v>
      </c>
      <c r="C261" s="575"/>
      <c r="D261" s="576"/>
      <c r="E261" s="468"/>
      <c r="F261" s="576"/>
      <c r="G261" s="576"/>
      <c r="H261" s="468"/>
      <c r="I261" s="468"/>
      <c r="J261" s="468"/>
      <c r="K261" s="468"/>
    </row>
    <row r="262" spans="1:11" ht="12.75" customHeight="1" thickTop="1" thickBot="1" x14ac:dyDescent="0.25">
      <c r="A262" s="192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2261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593182</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593182</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3137846</v>
      </c>
      <c r="D268" s="1714">
        <f t="shared" si="12"/>
        <v>450591</v>
      </c>
      <c r="E268" s="1714">
        <f t="shared" si="12"/>
        <v>0</v>
      </c>
      <c r="F268" s="1714">
        <f t="shared" si="12"/>
        <v>135422</v>
      </c>
      <c r="G268" s="1714">
        <f t="shared" si="12"/>
        <v>76876</v>
      </c>
      <c r="H268" s="1714">
        <f t="shared" si="12"/>
        <v>0</v>
      </c>
      <c r="I268" s="1714">
        <f t="shared" si="12"/>
        <v>6487</v>
      </c>
      <c r="J268" s="1714">
        <f t="shared" si="12"/>
        <v>83139</v>
      </c>
      <c r="K268" s="1701">
        <f t="shared" si="12"/>
        <v>6487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110" zoomScaleNormal="110" workbookViewId="0">
      <pane ySplit="2" topLeftCell="A3" activePane="bottomLeft" state="frozen"/>
      <selection pane="bottomLeft" sqref="A1:A104857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888541</v>
      </c>
      <c r="D5" s="466">
        <v>146931</v>
      </c>
      <c r="E5" s="466">
        <v>128731</v>
      </c>
      <c r="F5" s="466">
        <v>174128</v>
      </c>
      <c r="G5" s="466"/>
      <c r="H5" s="466">
        <v>1614</v>
      </c>
      <c r="I5" s="467">
        <v>13348</v>
      </c>
      <c r="J5" s="467"/>
      <c r="K5" s="1670">
        <f>SUM(C5:J5)</f>
        <v>1353293</v>
      </c>
      <c r="L5" s="466">
        <v>1111332</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v>19695</v>
      </c>
      <c r="D7" s="467">
        <v>25807</v>
      </c>
      <c r="E7" s="467">
        <v>1005</v>
      </c>
      <c r="F7" s="467">
        <v>65</v>
      </c>
      <c r="G7" s="467"/>
      <c r="H7" s="467"/>
      <c r="I7" s="467"/>
      <c r="J7" s="467"/>
      <c r="K7" s="1670">
        <f t="shared" ref="K7:K32" si="0">SUM(C7:J7)</f>
        <v>46572</v>
      </c>
      <c r="L7" s="466">
        <v>208847</v>
      </c>
    </row>
    <row r="8" spans="1:14" x14ac:dyDescent="0.2">
      <c r="A8" s="1504" t="s">
        <v>164</v>
      </c>
      <c r="B8" s="614">
        <v>1200</v>
      </c>
      <c r="C8" s="466">
        <v>117092</v>
      </c>
      <c r="D8" s="466">
        <v>22965</v>
      </c>
      <c r="E8" s="466">
        <v>44041</v>
      </c>
      <c r="F8" s="466"/>
      <c r="G8" s="466"/>
      <c r="H8" s="466"/>
      <c r="I8" s="467"/>
      <c r="J8" s="467"/>
      <c r="K8" s="1670">
        <f t="shared" si="0"/>
        <v>184098</v>
      </c>
      <c r="L8" s="466">
        <v>193097</v>
      </c>
    </row>
    <row r="9" spans="1:14" x14ac:dyDescent="0.2">
      <c r="A9" s="1504" t="s">
        <v>721</v>
      </c>
      <c r="B9" s="614" t="s">
        <v>968</v>
      </c>
      <c r="C9" s="467"/>
      <c r="D9" s="467"/>
      <c r="E9" s="467"/>
      <c r="F9" s="467"/>
      <c r="G9" s="467"/>
      <c r="H9" s="467"/>
      <c r="I9" s="467"/>
      <c r="J9" s="467"/>
      <c r="K9" s="1670">
        <f t="shared" si="0"/>
        <v>0</v>
      </c>
      <c r="L9" s="466"/>
    </row>
    <row r="10" spans="1:14" x14ac:dyDescent="0.2">
      <c r="A10" s="1504" t="s">
        <v>722</v>
      </c>
      <c r="B10" s="614">
        <v>1250</v>
      </c>
      <c r="C10" s="466">
        <v>1897</v>
      </c>
      <c r="D10" s="466">
        <v>4517</v>
      </c>
      <c r="E10" s="466">
        <v>19399</v>
      </c>
      <c r="F10" s="466">
        <v>2161</v>
      </c>
      <c r="G10" s="466"/>
      <c r="H10" s="466"/>
      <c r="I10" s="467"/>
      <c r="J10" s="467"/>
      <c r="K10" s="1670">
        <f t="shared" si="0"/>
        <v>27974</v>
      </c>
      <c r="L10" s="466">
        <v>165889</v>
      </c>
    </row>
    <row r="11" spans="1:14" x14ac:dyDescent="0.2">
      <c r="A11" s="1504" t="s">
        <v>1130</v>
      </c>
      <c r="B11" s="614" t="s">
        <v>161</v>
      </c>
      <c r="C11" s="467"/>
      <c r="D11" s="467"/>
      <c r="E11" s="467"/>
      <c r="F11" s="467"/>
      <c r="G11" s="467"/>
      <c r="H11" s="467"/>
      <c r="I11" s="467"/>
      <c r="J11" s="467"/>
      <c r="K11" s="1670">
        <f t="shared" si="0"/>
        <v>0</v>
      </c>
      <c r="L11" s="466"/>
    </row>
    <row r="12" spans="1:14" x14ac:dyDescent="0.2">
      <c r="A12" s="1504" t="s">
        <v>962</v>
      </c>
      <c r="B12" s="614">
        <v>1300</v>
      </c>
      <c r="C12" s="466"/>
      <c r="D12" s="466"/>
      <c r="E12" s="466">
        <v>3594</v>
      </c>
      <c r="F12" s="466"/>
      <c r="G12" s="466"/>
      <c r="H12" s="466"/>
      <c r="I12" s="467"/>
      <c r="J12" s="467"/>
      <c r="K12" s="1670">
        <f t="shared" si="0"/>
        <v>3594</v>
      </c>
      <c r="L12" s="466"/>
    </row>
    <row r="13" spans="1:14" x14ac:dyDescent="0.2">
      <c r="A13" s="1504" t="s">
        <v>723</v>
      </c>
      <c r="B13" s="614">
        <v>1400</v>
      </c>
      <c r="C13" s="466"/>
      <c r="D13" s="466"/>
      <c r="E13" s="466"/>
      <c r="F13" s="466"/>
      <c r="G13" s="466"/>
      <c r="H13" s="466"/>
      <c r="I13" s="467"/>
      <c r="J13" s="467"/>
      <c r="K13" s="1670">
        <f t="shared" si="0"/>
        <v>0</v>
      </c>
      <c r="L13" s="466"/>
    </row>
    <row r="14" spans="1:14" x14ac:dyDescent="0.2">
      <c r="A14" s="1504" t="s">
        <v>963</v>
      </c>
      <c r="B14" s="614">
        <v>1500</v>
      </c>
      <c r="C14" s="466">
        <v>17411</v>
      </c>
      <c r="D14" s="466">
        <v>1058</v>
      </c>
      <c r="E14" s="466">
        <v>1876</v>
      </c>
      <c r="F14" s="466">
        <v>1507</v>
      </c>
      <c r="G14" s="466"/>
      <c r="H14" s="466"/>
      <c r="I14" s="467"/>
      <c r="J14" s="467"/>
      <c r="K14" s="1670">
        <f t="shared" si="0"/>
        <v>21852</v>
      </c>
      <c r="L14" s="466">
        <v>4800</v>
      </c>
    </row>
    <row r="15" spans="1:14" x14ac:dyDescent="0.2">
      <c r="A15" s="1504" t="s">
        <v>964</v>
      </c>
      <c r="B15" s="614">
        <v>1600</v>
      </c>
      <c r="C15" s="466"/>
      <c r="D15" s="466"/>
      <c r="E15" s="466"/>
      <c r="F15" s="466"/>
      <c r="G15" s="466"/>
      <c r="H15" s="466"/>
      <c r="I15" s="467"/>
      <c r="J15" s="467"/>
      <c r="K15" s="1670">
        <f t="shared" si="0"/>
        <v>0</v>
      </c>
      <c r="L15" s="466"/>
    </row>
    <row r="16" spans="1:14" x14ac:dyDescent="0.2">
      <c r="A16" s="1504" t="s">
        <v>987</v>
      </c>
      <c r="B16" s="614" t="s">
        <v>424</v>
      </c>
      <c r="C16" s="466"/>
      <c r="D16" s="466"/>
      <c r="E16" s="466"/>
      <c r="F16" s="466"/>
      <c r="G16" s="466"/>
      <c r="H16" s="466"/>
      <c r="I16" s="467"/>
      <c r="J16" s="467"/>
      <c r="K16" s="1670">
        <f t="shared" si="0"/>
        <v>0</v>
      </c>
      <c r="L16" s="466"/>
    </row>
    <row r="17" spans="1:12" x14ac:dyDescent="0.2">
      <c r="A17" s="1504" t="s">
        <v>724</v>
      </c>
      <c r="B17" s="614" t="s">
        <v>162</v>
      </c>
      <c r="C17" s="467"/>
      <c r="D17" s="467"/>
      <c r="E17" s="467"/>
      <c r="F17" s="467"/>
      <c r="G17" s="467"/>
      <c r="H17" s="467"/>
      <c r="I17" s="467"/>
      <c r="J17" s="467"/>
      <c r="K17" s="1670">
        <f t="shared" si="0"/>
        <v>0</v>
      </c>
      <c r="L17" s="466"/>
    </row>
    <row r="18" spans="1:12" x14ac:dyDescent="0.2">
      <c r="A18" s="1504" t="s">
        <v>1087</v>
      </c>
      <c r="B18" s="614">
        <v>1800</v>
      </c>
      <c r="C18" s="466"/>
      <c r="D18" s="466"/>
      <c r="E18" s="466"/>
      <c r="F18" s="466"/>
      <c r="G18" s="466"/>
      <c r="H18" s="466"/>
      <c r="I18" s="467"/>
      <c r="J18" s="467"/>
      <c r="K18" s="1670">
        <f t="shared" si="0"/>
        <v>0</v>
      </c>
      <c r="L18" s="466"/>
    </row>
    <row r="19" spans="1:12" x14ac:dyDescent="0.2">
      <c r="A19" s="1504" t="s">
        <v>134</v>
      </c>
      <c r="B19" s="614">
        <v>1900</v>
      </c>
      <c r="C19" s="466"/>
      <c r="D19" s="466"/>
      <c r="E19" s="466"/>
      <c r="F19" s="466"/>
      <c r="G19" s="466"/>
      <c r="H19" s="466"/>
      <c r="I19" s="467"/>
      <c r="J19" s="467"/>
      <c r="K19" s="1670">
        <f t="shared" si="0"/>
        <v>0</v>
      </c>
      <c r="L19" s="466"/>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c r="I22" s="616"/>
      <c r="J22" s="477"/>
      <c r="K22" s="1670">
        <f t="shared" si="0"/>
        <v>0</v>
      </c>
      <c r="L22" s="471"/>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1044636</v>
      </c>
      <c r="D33" s="1669">
        <f t="shared" ref="D33:L33" si="1">SUM(D5:D32)</f>
        <v>201278</v>
      </c>
      <c r="E33" s="1669">
        <f t="shared" si="1"/>
        <v>198646</v>
      </c>
      <c r="F33" s="1669">
        <f t="shared" si="1"/>
        <v>177861</v>
      </c>
      <c r="G33" s="1669">
        <f t="shared" si="1"/>
        <v>0</v>
      </c>
      <c r="H33" s="1669">
        <f t="shared" si="1"/>
        <v>1614</v>
      </c>
      <c r="I33" s="1669">
        <f t="shared" si="1"/>
        <v>13348</v>
      </c>
      <c r="J33" s="1669">
        <f t="shared" si="1"/>
        <v>0</v>
      </c>
      <c r="K33" s="1669">
        <f t="shared" si="1"/>
        <v>1637383</v>
      </c>
      <c r="L33" s="1669">
        <f t="shared" si="1"/>
        <v>1683965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14309</v>
      </c>
      <c r="D36" s="481">
        <v>281</v>
      </c>
      <c r="E36" s="481"/>
      <c r="F36" s="481">
        <v>407</v>
      </c>
      <c r="G36" s="481"/>
      <c r="H36" s="481"/>
      <c r="I36" s="467"/>
      <c r="J36" s="467"/>
      <c r="K36" s="1670">
        <f t="shared" ref="K36:K41" si="2">SUM(C36:J36)</f>
        <v>14997</v>
      </c>
      <c r="L36" s="466"/>
    </row>
    <row r="37" spans="1:14" x14ac:dyDescent="0.2">
      <c r="A37" s="1504" t="s">
        <v>1090</v>
      </c>
      <c r="B37" s="614">
        <v>2120</v>
      </c>
      <c r="C37" s="466"/>
      <c r="D37" s="466"/>
      <c r="E37" s="466"/>
      <c r="F37" s="466"/>
      <c r="G37" s="466"/>
      <c r="H37" s="466"/>
      <c r="I37" s="467"/>
      <c r="J37" s="467"/>
      <c r="K37" s="1670">
        <f t="shared" si="2"/>
        <v>0</v>
      </c>
      <c r="L37" s="466"/>
    </row>
    <row r="38" spans="1:14" x14ac:dyDescent="0.2">
      <c r="A38" s="1504" t="s">
        <v>198</v>
      </c>
      <c r="B38" s="614">
        <v>2130</v>
      </c>
      <c r="C38" s="466">
        <v>23290</v>
      </c>
      <c r="D38" s="466">
        <v>267</v>
      </c>
      <c r="E38" s="466"/>
      <c r="F38" s="466"/>
      <c r="G38" s="466"/>
      <c r="H38" s="466"/>
      <c r="I38" s="467"/>
      <c r="J38" s="467"/>
      <c r="K38" s="1670">
        <f t="shared" si="2"/>
        <v>23557</v>
      </c>
      <c r="L38" s="466">
        <v>28150</v>
      </c>
    </row>
    <row r="39" spans="1:14" x14ac:dyDescent="0.2">
      <c r="A39" s="1504" t="s">
        <v>199</v>
      </c>
      <c r="B39" s="614">
        <v>2140</v>
      </c>
      <c r="C39" s="466"/>
      <c r="D39" s="466"/>
      <c r="E39" s="466">
        <v>4625</v>
      </c>
      <c r="F39" s="466"/>
      <c r="G39" s="466"/>
      <c r="H39" s="466"/>
      <c r="I39" s="467"/>
      <c r="J39" s="467"/>
      <c r="K39" s="1670">
        <f t="shared" si="2"/>
        <v>4625</v>
      </c>
      <c r="L39" s="466">
        <v>9450</v>
      </c>
    </row>
    <row r="40" spans="1:14" x14ac:dyDescent="0.2">
      <c r="A40" s="1504" t="s">
        <v>200</v>
      </c>
      <c r="B40" s="614">
        <v>2150</v>
      </c>
      <c r="C40" s="466"/>
      <c r="D40" s="466"/>
      <c r="E40" s="466">
        <v>16940</v>
      </c>
      <c r="F40" s="466"/>
      <c r="G40" s="466"/>
      <c r="H40" s="466"/>
      <c r="I40" s="467"/>
      <c r="J40" s="467"/>
      <c r="K40" s="1670">
        <f t="shared" si="2"/>
        <v>16940</v>
      </c>
      <c r="L40" s="466">
        <v>22500</v>
      </c>
    </row>
    <row r="41" spans="1:14" x14ac:dyDescent="0.2">
      <c r="A41" s="1504"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37599</v>
      </c>
      <c r="D42" s="1669">
        <f t="shared" ref="D42:L42" si="3">SUM(D36:D41)</f>
        <v>548</v>
      </c>
      <c r="E42" s="1669">
        <f t="shared" si="3"/>
        <v>21565</v>
      </c>
      <c r="F42" s="1669">
        <f t="shared" si="3"/>
        <v>407</v>
      </c>
      <c r="G42" s="1669">
        <f t="shared" si="3"/>
        <v>0</v>
      </c>
      <c r="H42" s="1669">
        <f t="shared" si="3"/>
        <v>0</v>
      </c>
      <c r="I42" s="1669">
        <f t="shared" si="3"/>
        <v>0</v>
      </c>
      <c r="J42" s="1669">
        <f t="shared" si="3"/>
        <v>0</v>
      </c>
      <c r="K42" s="1669">
        <f t="shared" si="3"/>
        <v>60119</v>
      </c>
      <c r="L42" s="1669">
        <f t="shared" si="3"/>
        <v>60100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2861</v>
      </c>
      <c r="D44" s="481">
        <v>221</v>
      </c>
      <c r="E44" s="481">
        <v>70046</v>
      </c>
      <c r="F44" s="481"/>
      <c r="G44" s="481"/>
      <c r="H44" s="481"/>
      <c r="I44" s="467"/>
      <c r="J44" s="467"/>
      <c r="K44" s="1671">
        <f>SUM(C44:J44)</f>
        <v>73128</v>
      </c>
      <c r="L44" s="481">
        <v>166500</v>
      </c>
    </row>
    <row r="45" spans="1:14" x14ac:dyDescent="0.2">
      <c r="A45" s="1504" t="s">
        <v>815</v>
      </c>
      <c r="B45" s="614">
        <v>2220</v>
      </c>
      <c r="C45" s="466"/>
      <c r="D45" s="466"/>
      <c r="E45" s="466">
        <v>38907</v>
      </c>
      <c r="F45" s="466"/>
      <c r="G45" s="466"/>
      <c r="H45" s="466"/>
      <c r="I45" s="467"/>
      <c r="J45" s="467"/>
      <c r="K45" s="1671">
        <f>SUM(C45:J45)</f>
        <v>38907</v>
      </c>
      <c r="L45" s="466">
        <v>1500</v>
      </c>
    </row>
    <row r="46" spans="1:14" x14ac:dyDescent="0.2">
      <c r="A46" s="1504"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2861</v>
      </c>
      <c r="D47" s="1669">
        <f t="shared" ref="D47:K47" si="4">SUM(D44:D46)</f>
        <v>221</v>
      </c>
      <c r="E47" s="1669">
        <f t="shared" si="4"/>
        <v>108953</v>
      </c>
      <c r="F47" s="1669">
        <f t="shared" si="4"/>
        <v>0</v>
      </c>
      <c r="G47" s="1669">
        <f t="shared" si="4"/>
        <v>0</v>
      </c>
      <c r="H47" s="1669">
        <f t="shared" si="4"/>
        <v>0</v>
      </c>
      <c r="I47" s="1669">
        <f t="shared" si="4"/>
        <v>0</v>
      </c>
      <c r="J47" s="1669">
        <f t="shared" si="4"/>
        <v>0</v>
      </c>
      <c r="K47" s="1669">
        <f t="shared" si="4"/>
        <v>112035</v>
      </c>
      <c r="L47" s="1669">
        <f>SUM(L44:L46)</f>
        <v>168000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2000</v>
      </c>
      <c r="D49" s="481"/>
      <c r="E49" s="481">
        <v>51600</v>
      </c>
      <c r="F49" s="481">
        <v>1785</v>
      </c>
      <c r="G49" s="481"/>
      <c r="H49" s="481">
        <v>4728</v>
      </c>
      <c r="I49" s="467"/>
      <c r="J49" s="467"/>
      <c r="K49" s="1671">
        <f>SUM(C49:J49)</f>
        <v>60113</v>
      </c>
      <c r="L49" s="481">
        <v>33900</v>
      </c>
    </row>
    <row r="50" spans="1:14" x14ac:dyDescent="0.2">
      <c r="A50" s="1504" t="s">
        <v>818</v>
      </c>
      <c r="B50" s="614">
        <v>2320</v>
      </c>
      <c r="C50" s="466">
        <v>198043</v>
      </c>
      <c r="D50" s="466">
        <v>29079</v>
      </c>
      <c r="E50" s="466">
        <v>18747</v>
      </c>
      <c r="F50" s="466">
        <v>3378</v>
      </c>
      <c r="G50" s="466"/>
      <c r="H50" s="466">
        <v>9107</v>
      </c>
      <c r="I50" s="467"/>
      <c r="J50" s="467"/>
      <c r="K50" s="1671">
        <f>SUM(C50:J50)</f>
        <v>258354</v>
      </c>
      <c r="L50" s="466">
        <v>235955</v>
      </c>
    </row>
    <row r="51" spans="1:14" x14ac:dyDescent="0.2">
      <c r="A51" s="1504" t="s">
        <v>42</v>
      </c>
      <c r="B51" s="614">
        <v>2330</v>
      </c>
      <c r="C51" s="466">
        <v>78685</v>
      </c>
      <c r="D51" s="466">
        <v>20743</v>
      </c>
      <c r="E51" s="466"/>
      <c r="F51" s="466"/>
      <c r="G51" s="466"/>
      <c r="H51" s="466"/>
      <c r="I51" s="467"/>
      <c r="J51" s="467"/>
      <c r="K51" s="1671">
        <f>SUM(C51:J51)</f>
        <v>99428</v>
      </c>
      <c r="L51" s="466">
        <v>96500</v>
      </c>
    </row>
    <row r="52" spans="1:14" ht="22.5" x14ac:dyDescent="0.2">
      <c r="A52" s="1505" t="s">
        <v>298</v>
      </c>
      <c r="B52" s="627" t="s">
        <v>366</v>
      </c>
      <c r="C52" s="474"/>
      <c r="D52" s="474"/>
      <c r="E52" s="474">
        <v>47392</v>
      </c>
      <c r="F52" s="474"/>
      <c r="G52" s="474"/>
      <c r="H52" s="474"/>
      <c r="I52" s="474"/>
      <c r="J52" s="474"/>
      <c r="K52" s="1671">
        <f>SUM(C52:J52)</f>
        <v>47392</v>
      </c>
      <c r="L52" s="474">
        <v>90000</v>
      </c>
    </row>
    <row r="53" spans="1:14" ht="12.75" customHeight="1" thickBot="1" x14ac:dyDescent="0.25">
      <c r="A53" s="1667" t="s">
        <v>717</v>
      </c>
      <c r="B53" s="1668" t="s">
        <v>33</v>
      </c>
      <c r="C53" s="1669">
        <f>SUM(C49:C52)</f>
        <v>278728</v>
      </c>
      <c r="D53" s="1669">
        <f t="shared" ref="D53:L53" si="5">SUM(D49:D52)</f>
        <v>49822</v>
      </c>
      <c r="E53" s="1669">
        <f t="shared" si="5"/>
        <v>117739</v>
      </c>
      <c r="F53" s="1669">
        <f t="shared" si="5"/>
        <v>5163</v>
      </c>
      <c r="G53" s="1669">
        <f t="shared" si="5"/>
        <v>0</v>
      </c>
      <c r="H53" s="1669">
        <f t="shared" si="5"/>
        <v>13835</v>
      </c>
      <c r="I53" s="1669">
        <f t="shared" si="5"/>
        <v>0</v>
      </c>
      <c r="J53" s="1669">
        <f t="shared" si="5"/>
        <v>0</v>
      </c>
      <c r="K53" s="1669">
        <f t="shared" si="5"/>
        <v>465287</v>
      </c>
      <c r="L53" s="1669">
        <f t="shared" si="5"/>
        <v>456355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124482</v>
      </c>
      <c r="D55" s="481">
        <v>32020</v>
      </c>
      <c r="E55" s="481">
        <v>1231</v>
      </c>
      <c r="F55" s="481"/>
      <c r="G55" s="481"/>
      <c r="H55" s="481"/>
      <c r="I55" s="467"/>
      <c r="J55" s="467"/>
      <c r="K55" s="1671">
        <f>SUM(C55:J55)</f>
        <v>157733</v>
      </c>
      <c r="L55" s="481">
        <v>102400</v>
      </c>
    </row>
    <row r="56" spans="1:14" ht="12.75" customHeight="1" x14ac:dyDescent="0.2">
      <c r="A56" s="1508"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124482</v>
      </c>
      <c r="D57" s="1673">
        <f t="shared" ref="D57:K57" si="6">SUM(D55:D56)</f>
        <v>32020</v>
      </c>
      <c r="E57" s="1673">
        <f t="shared" si="6"/>
        <v>1231</v>
      </c>
      <c r="F57" s="1673">
        <f t="shared" si="6"/>
        <v>0</v>
      </c>
      <c r="G57" s="1673">
        <f t="shared" si="6"/>
        <v>0</v>
      </c>
      <c r="H57" s="1673">
        <f t="shared" si="6"/>
        <v>0</v>
      </c>
      <c r="I57" s="1673">
        <f t="shared" si="6"/>
        <v>0</v>
      </c>
      <c r="J57" s="1673">
        <f t="shared" si="6"/>
        <v>0</v>
      </c>
      <c r="K57" s="1673">
        <f t="shared" si="6"/>
        <v>157733</v>
      </c>
      <c r="L57" s="1669">
        <f>SUM(L55:L56)</f>
        <v>102400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4" t="s">
        <v>463</v>
      </c>
      <c r="B60" s="614">
        <v>2520</v>
      </c>
      <c r="C60" s="466"/>
      <c r="D60" s="466">
        <v>2290</v>
      </c>
      <c r="E60" s="466">
        <v>69015</v>
      </c>
      <c r="F60" s="466">
        <v>479</v>
      </c>
      <c r="G60" s="466"/>
      <c r="H60" s="466">
        <v>183</v>
      </c>
      <c r="I60" s="467"/>
      <c r="J60" s="467"/>
      <c r="K60" s="1671">
        <f t="shared" si="7"/>
        <v>71967</v>
      </c>
      <c r="L60" s="466">
        <v>51000</v>
      </c>
      <c r="M60" s="609"/>
      <c r="N60" s="609"/>
    </row>
    <row r="61" spans="1:14" s="343" customFormat="1" x14ac:dyDescent="0.2">
      <c r="A61" s="1504" t="s">
        <v>197</v>
      </c>
      <c r="B61" s="614">
        <v>2540</v>
      </c>
      <c r="C61" s="466">
        <v>16900</v>
      </c>
      <c r="D61" s="466">
        <v>239</v>
      </c>
      <c r="E61" s="466">
        <v>13127</v>
      </c>
      <c r="F61" s="466">
        <v>860</v>
      </c>
      <c r="G61" s="466">
        <v>13240</v>
      </c>
      <c r="H61" s="466"/>
      <c r="I61" s="467"/>
      <c r="J61" s="467"/>
      <c r="K61" s="1671">
        <f t="shared" si="7"/>
        <v>44366</v>
      </c>
      <c r="L61" s="466"/>
      <c r="M61" s="609"/>
      <c r="N61" s="609"/>
    </row>
    <row r="62" spans="1:14" s="343" customFormat="1" x14ac:dyDescent="0.2">
      <c r="A62" s="1504" t="s">
        <v>953</v>
      </c>
      <c r="B62" s="614">
        <v>2550</v>
      </c>
      <c r="C62" s="466"/>
      <c r="D62" s="466"/>
      <c r="E62" s="466">
        <v>2445</v>
      </c>
      <c r="F62" s="466"/>
      <c r="G62" s="466"/>
      <c r="H62" s="466"/>
      <c r="I62" s="467"/>
      <c r="J62" s="467"/>
      <c r="K62" s="1671">
        <f t="shared" si="7"/>
        <v>2445</v>
      </c>
      <c r="L62" s="466"/>
      <c r="M62" s="609"/>
      <c r="N62" s="609"/>
    </row>
    <row r="63" spans="1:14" s="609" customFormat="1" x14ac:dyDescent="0.2">
      <c r="A63" s="1504" t="s">
        <v>100</v>
      </c>
      <c r="B63" s="614">
        <v>2560</v>
      </c>
      <c r="C63" s="466">
        <v>67448</v>
      </c>
      <c r="D63" s="466">
        <v>2161</v>
      </c>
      <c r="E63" s="466">
        <v>3299</v>
      </c>
      <c r="F63" s="466">
        <v>121545</v>
      </c>
      <c r="G63" s="466"/>
      <c r="H63" s="466"/>
      <c r="I63" s="467"/>
      <c r="J63" s="467"/>
      <c r="K63" s="1671">
        <f t="shared" si="7"/>
        <v>194453</v>
      </c>
      <c r="L63" s="466">
        <v>189200</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84348</v>
      </c>
      <c r="D65" s="1669">
        <f t="shared" ref="D65:L65" si="8">SUM(D59:D64)</f>
        <v>4690</v>
      </c>
      <c r="E65" s="1669">
        <f t="shared" si="8"/>
        <v>87886</v>
      </c>
      <c r="F65" s="1669">
        <f t="shared" si="8"/>
        <v>122884</v>
      </c>
      <c r="G65" s="1669">
        <f t="shared" si="8"/>
        <v>13240</v>
      </c>
      <c r="H65" s="1669">
        <f t="shared" si="8"/>
        <v>183</v>
      </c>
      <c r="I65" s="1669">
        <f t="shared" si="8"/>
        <v>0</v>
      </c>
      <c r="J65" s="1669">
        <f t="shared" si="8"/>
        <v>0</v>
      </c>
      <c r="K65" s="1669">
        <f t="shared" si="8"/>
        <v>313231</v>
      </c>
      <c r="L65" s="1669">
        <f t="shared" si="8"/>
        <v>240200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c r="F69" s="466"/>
      <c r="G69" s="466"/>
      <c r="H69" s="466"/>
      <c r="I69" s="467"/>
      <c r="J69" s="467"/>
      <c r="K69" s="1671">
        <f>SUM(C69:J69)</f>
        <v>0</v>
      </c>
      <c r="L69" s="466"/>
      <c r="M69" s="609"/>
      <c r="N69" s="609"/>
    </row>
    <row r="70" spans="1:14" s="343" customFormat="1" x14ac:dyDescent="0.2">
      <c r="A70" s="1504" t="s">
        <v>403</v>
      </c>
      <c r="B70" s="614">
        <v>2640</v>
      </c>
      <c r="C70" s="466"/>
      <c r="D70" s="466"/>
      <c r="E70" s="466">
        <v>5150</v>
      </c>
      <c r="F70" s="466">
        <v>904</v>
      </c>
      <c r="G70" s="466"/>
      <c r="H70" s="466"/>
      <c r="I70" s="467"/>
      <c r="J70" s="467"/>
      <c r="K70" s="1671">
        <f>SUM(C70:J70)</f>
        <v>6054</v>
      </c>
      <c r="L70" s="466"/>
      <c r="M70" s="609"/>
      <c r="N70" s="609"/>
    </row>
    <row r="71" spans="1:14" s="343" customFormat="1" x14ac:dyDescent="0.2">
      <c r="A71" s="1504"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5150</v>
      </c>
      <c r="F72" s="1669">
        <f t="shared" si="9"/>
        <v>904</v>
      </c>
      <c r="G72" s="1669">
        <f t="shared" si="9"/>
        <v>0</v>
      </c>
      <c r="H72" s="1669">
        <f t="shared" si="9"/>
        <v>0</v>
      </c>
      <c r="I72" s="1669">
        <f t="shared" si="9"/>
        <v>0</v>
      </c>
      <c r="J72" s="1669">
        <f t="shared" si="9"/>
        <v>0</v>
      </c>
      <c r="K72" s="1669">
        <f t="shared" si="9"/>
        <v>6054</v>
      </c>
      <c r="L72" s="1669">
        <f>SUM(L67:L71)</f>
        <v>0</v>
      </c>
      <c r="M72" s="609"/>
      <c r="N72" s="609"/>
    </row>
    <row r="73" spans="1:14" s="343" customFormat="1" ht="14.25" thickTop="1" thickBot="1" x14ac:dyDescent="0.25">
      <c r="A73" s="1510" t="s">
        <v>980</v>
      </c>
      <c r="B73" s="632" t="s">
        <v>574</v>
      </c>
      <c r="C73" s="573">
        <v>5038</v>
      </c>
      <c r="D73" s="573">
        <v>43</v>
      </c>
      <c r="E73" s="573"/>
      <c r="F73" s="573">
        <v>1431</v>
      </c>
      <c r="G73" s="573"/>
      <c r="H73" s="573"/>
      <c r="I73" s="531"/>
      <c r="J73" s="531"/>
      <c r="K73" s="1669">
        <f>SUM(C73:J73)</f>
        <v>6512</v>
      </c>
      <c r="L73" s="576"/>
      <c r="M73" s="609"/>
      <c r="N73" s="609"/>
    </row>
    <row r="74" spans="1:14" ht="12.75" customHeight="1" thickTop="1" thickBot="1" x14ac:dyDescent="0.25">
      <c r="A74" s="1667" t="s">
        <v>811</v>
      </c>
      <c r="B74" s="1675">
        <v>2000</v>
      </c>
      <c r="C74" s="1676">
        <f>SUM(C42,C47,C53,C57,C65,C72,C73)</f>
        <v>533056</v>
      </c>
      <c r="D74" s="1676">
        <f t="shared" ref="D74:K74" si="10">SUM(D42,D47,D53,D57,D65,D72,D73)</f>
        <v>87344</v>
      </c>
      <c r="E74" s="1676">
        <f t="shared" si="10"/>
        <v>342524</v>
      </c>
      <c r="F74" s="1676">
        <f t="shared" si="10"/>
        <v>130789</v>
      </c>
      <c r="G74" s="1676">
        <f t="shared" si="10"/>
        <v>13240</v>
      </c>
      <c r="H74" s="1676">
        <f t="shared" si="10"/>
        <v>14018</v>
      </c>
      <c r="I74" s="1676">
        <f t="shared" si="10"/>
        <v>0</v>
      </c>
      <c r="J74" s="1676">
        <f t="shared" si="10"/>
        <v>0</v>
      </c>
      <c r="K74" s="1676">
        <f t="shared" si="10"/>
        <v>1120971</v>
      </c>
      <c r="L74" s="1676">
        <f>SUM(L42,L47,L53,L57,L65,L72,L73)</f>
        <v>1027055</v>
      </c>
    </row>
    <row r="75" spans="1:14" s="259" customFormat="1" ht="15.75" customHeight="1" thickTop="1" thickBot="1" x14ac:dyDescent="0.25">
      <c r="A75" s="1610" t="s">
        <v>47</v>
      </c>
      <c r="B75" s="1611" t="s">
        <v>575</v>
      </c>
      <c r="C75" s="573">
        <v>151145</v>
      </c>
      <c r="D75" s="573">
        <v>22042</v>
      </c>
      <c r="E75" s="573">
        <v>9243</v>
      </c>
      <c r="F75" s="573">
        <v>23621</v>
      </c>
      <c r="G75" s="573">
        <v>7882</v>
      </c>
      <c r="H75" s="573"/>
      <c r="I75" s="531"/>
      <c r="J75" s="531"/>
      <c r="K75" s="1669">
        <f>SUM(C75:J75)</f>
        <v>213933</v>
      </c>
      <c r="L75" s="576">
        <v>164942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1500</v>
      </c>
      <c r="F78" s="616"/>
      <c r="G78" s="616"/>
      <c r="H78" s="634"/>
      <c r="I78" s="477"/>
      <c r="J78" s="477"/>
      <c r="K78" s="1670">
        <f t="shared" ref="K78:K83" si="11">SUM(C78:J78)</f>
        <v>1500</v>
      </c>
      <c r="L78" s="481"/>
    </row>
    <row r="79" spans="1:14" x14ac:dyDescent="0.2">
      <c r="A79" s="1504" t="s">
        <v>304</v>
      </c>
      <c r="B79" s="614">
        <v>4120</v>
      </c>
      <c r="C79" s="616"/>
      <c r="D79" s="616"/>
      <c r="E79" s="466">
        <v>66799</v>
      </c>
      <c r="F79" s="616"/>
      <c r="G79" s="616"/>
      <c r="H79" s="466"/>
      <c r="I79" s="477"/>
      <c r="J79" s="477"/>
      <c r="K79" s="1670">
        <f t="shared" si="11"/>
        <v>66799</v>
      </c>
      <c r="L79" s="466">
        <v>72000</v>
      </c>
    </row>
    <row r="80" spans="1:14" x14ac:dyDescent="0.2">
      <c r="A80" s="1504" t="s">
        <v>305</v>
      </c>
      <c r="B80" s="614">
        <v>4130</v>
      </c>
      <c r="C80" s="616"/>
      <c r="D80" s="616"/>
      <c r="E80" s="466">
        <v>3088</v>
      </c>
      <c r="F80" s="616"/>
      <c r="G80" s="616"/>
      <c r="H80" s="466"/>
      <c r="I80" s="477"/>
      <c r="J80" s="477"/>
      <c r="K80" s="1670">
        <f t="shared" si="11"/>
        <v>3088</v>
      </c>
      <c r="L80" s="466"/>
    </row>
    <row r="81" spans="1:12" x14ac:dyDescent="0.2">
      <c r="A81" s="1504" t="s">
        <v>697</v>
      </c>
      <c r="B81" s="614">
        <v>4140</v>
      </c>
      <c r="C81" s="616"/>
      <c r="D81" s="616"/>
      <c r="E81" s="466"/>
      <c r="F81" s="616"/>
      <c r="G81" s="616"/>
      <c r="H81" s="466"/>
      <c r="I81" s="477"/>
      <c r="J81" s="477"/>
      <c r="K81" s="1670">
        <f t="shared" si="11"/>
        <v>0</v>
      </c>
      <c r="L81" s="466"/>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71387</v>
      </c>
      <c r="F84" s="616"/>
      <c r="G84" s="616"/>
      <c r="H84" s="1669">
        <f>SUM(H78:H83)</f>
        <v>0</v>
      </c>
      <c r="I84" s="477"/>
      <c r="J84" s="477"/>
      <c r="K84" s="1669">
        <f>SUM(K78:K83)</f>
        <v>71387</v>
      </c>
      <c r="L84" s="1669">
        <f>SUM(L78:L83)</f>
        <v>72000</v>
      </c>
    </row>
    <row r="85" spans="1:12" ht="12.75" customHeight="1" thickTop="1" thickBot="1" x14ac:dyDescent="0.25">
      <c r="A85" s="1511" t="s">
        <v>255</v>
      </c>
      <c r="B85" s="635">
        <v>4210</v>
      </c>
      <c r="C85" s="616"/>
      <c r="D85" s="616"/>
      <c r="E85" s="636"/>
      <c r="F85" s="616"/>
      <c r="G85" s="616"/>
      <c r="H85" s="535"/>
      <c r="I85" s="477"/>
      <c r="J85" s="477"/>
      <c r="K85" s="1676">
        <f>H85</f>
        <v>0</v>
      </c>
      <c r="L85" s="530"/>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c r="I88" s="477"/>
      <c r="J88" s="477"/>
      <c r="K88" s="1676">
        <f t="shared" si="12"/>
        <v>0</v>
      </c>
      <c r="L88" s="530"/>
    </row>
    <row r="89" spans="1:12" ht="12.75" customHeight="1" thickTop="1" thickBot="1" x14ac:dyDescent="0.25">
      <c r="A89" s="1513" t="s">
        <v>701</v>
      </c>
      <c r="B89" s="639">
        <v>4270</v>
      </c>
      <c r="C89" s="616"/>
      <c r="D89" s="616"/>
      <c r="E89" s="638"/>
      <c r="F89" s="616"/>
      <c r="G89" s="616"/>
      <c r="H89" s="467"/>
      <c r="I89" s="477"/>
      <c r="J89" s="477"/>
      <c r="K89" s="1676">
        <f t="shared" si="12"/>
        <v>0</v>
      </c>
      <c r="L89" s="530"/>
    </row>
    <row r="90" spans="1:12" ht="12.75" customHeight="1" thickTop="1" thickBot="1" x14ac:dyDescent="0.25">
      <c r="A90" s="1513" t="s">
        <v>686</v>
      </c>
      <c r="B90" s="639">
        <v>4280</v>
      </c>
      <c r="C90" s="616"/>
      <c r="D90" s="616"/>
      <c r="E90" s="638"/>
      <c r="F90" s="616"/>
      <c r="G90" s="616"/>
      <c r="H90" s="467"/>
      <c r="I90" s="477"/>
      <c r="J90" s="477"/>
      <c r="K90" s="1676">
        <f t="shared" si="12"/>
        <v>0</v>
      </c>
      <c r="L90" s="530"/>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71387</v>
      </c>
      <c r="F102" s="616"/>
      <c r="G102" s="616"/>
      <c r="H102" s="1676">
        <f>SUM(H84,H92,H100,H101)</f>
        <v>0</v>
      </c>
      <c r="I102" s="477"/>
      <c r="J102" s="477"/>
      <c r="K102" s="1676">
        <f>SUM(K84,K92,K100,K101)</f>
        <v>71387</v>
      </c>
      <c r="L102" s="1676">
        <f>SUM(L84,L92,L100,L101)</f>
        <v>72000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2500</v>
      </c>
      <c r="M113" s="613"/>
      <c r="N113" s="613"/>
    </row>
    <row r="114" spans="1:14" ht="12.75" customHeight="1" thickTop="1" thickBot="1" x14ac:dyDescent="0.25">
      <c r="A114" s="1667" t="s">
        <v>48</v>
      </c>
      <c r="B114" s="1681"/>
      <c r="C114" s="1669">
        <f>SUM(C33,C74,C75,C102,C112,C113)</f>
        <v>1728837</v>
      </c>
      <c r="D114" s="1669">
        <f t="shared" ref="D114:K114" si="13">SUM(D33,D74,D75,D102,D112,D113)</f>
        <v>310664</v>
      </c>
      <c r="E114" s="1669">
        <f t="shared" si="13"/>
        <v>621800</v>
      </c>
      <c r="F114" s="1669">
        <f t="shared" si="13"/>
        <v>332271</v>
      </c>
      <c r="G114" s="1669">
        <f t="shared" si="13"/>
        <v>21122</v>
      </c>
      <c r="H114" s="1669">
        <f>SUM(H33,H74,H75,H102,H112,H113)</f>
        <v>15632</v>
      </c>
      <c r="I114" s="1669">
        <f t="shared" si="13"/>
        <v>13348</v>
      </c>
      <c r="J114" s="1669">
        <f t="shared" si="13"/>
        <v>0</v>
      </c>
      <c r="K114" s="1669">
        <f t="shared" si="13"/>
        <v>3043674</v>
      </c>
      <c r="L114" s="1669">
        <f>SUM(L33,L74,L75,L102,L112,L113)</f>
        <v>2950462</v>
      </c>
    </row>
    <row r="115" spans="1:14" ht="13.5" thickTop="1" x14ac:dyDescent="0.2">
      <c r="A115" s="2153" t="s">
        <v>996</v>
      </c>
      <c r="B115" s="2154"/>
      <c r="C115" s="618"/>
      <c r="D115" s="618"/>
      <c r="E115" s="618"/>
      <c r="F115" s="618"/>
      <c r="G115" s="618"/>
      <c r="H115" s="618"/>
      <c r="I115" s="618"/>
      <c r="J115" s="618"/>
      <c r="K115" s="1683">
        <f>'Revenues 9-14'!C268-'Expenditures 15-22'!K114</f>
        <v>94172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c r="F123" s="466"/>
      <c r="G123" s="466"/>
      <c r="H123" s="466"/>
      <c r="I123" s="467"/>
      <c r="J123" s="467"/>
      <c r="K123" s="1669">
        <f>SUM(C123:J123)</f>
        <v>0</v>
      </c>
      <c r="L123" s="466"/>
    </row>
    <row r="124" spans="1:14" ht="14.25" thickTop="1" thickBot="1" x14ac:dyDescent="0.25">
      <c r="A124" s="1504" t="s">
        <v>197</v>
      </c>
      <c r="B124" s="614">
        <v>2540</v>
      </c>
      <c r="C124" s="466">
        <v>130992</v>
      </c>
      <c r="D124" s="466">
        <v>19423</v>
      </c>
      <c r="E124" s="466">
        <v>134742</v>
      </c>
      <c r="F124" s="466">
        <v>143941</v>
      </c>
      <c r="G124" s="466"/>
      <c r="H124" s="466"/>
      <c r="I124" s="467"/>
      <c r="J124" s="467"/>
      <c r="K124" s="1669">
        <f>SUM(C124:J124)</f>
        <v>429098</v>
      </c>
      <c r="L124" s="466">
        <v>413478</v>
      </c>
    </row>
    <row r="125" spans="1:14" ht="14.25" thickTop="1" thickBot="1" x14ac:dyDescent="0.25">
      <c r="A125" s="1504" t="s">
        <v>953</v>
      </c>
      <c r="B125" s="614">
        <v>2550</v>
      </c>
      <c r="C125" s="466"/>
      <c r="D125" s="466"/>
      <c r="E125" s="466"/>
      <c r="F125" s="466"/>
      <c r="G125" s="466"/>
      <c r="H125" s="466"/>
      <c r="I125" s="467"/>
      <c r="J125" s="467"/>
      <c r="K125" s="1669">
        <f>SUM(C125:J125)</f>
        <v>0</v>
      </c>
      <c r="L125" s="466"/>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130992</v>
      </c>
      <c r="D127" s="1669">
        <f t="shared" ref="D127:L127" si="14">SUM(D122:D126)</f>
        <v>19423</v>
      </c>
      <c r="E127" s="1669">
        <f t="shared" si="14"/>
        <v>134742</v>
      </c>
      <c r="F127" s="1669">
        <f t="shared" si="14"/>
        <v>143941</v>
      </c>
      <c r="G127" s="1669">
        <f t="shared" si="14"/>
        <v>0</v>
      </c>
      <c r="H127" s="1669">
        <f t="shared" si="14"/>
        <v>0</v>
      </c>
      <c r="I127" s="1669">
        <f t="shared" si="14"/>
        <v>0</v>
      </c>
      <c r="J127" s="1669">
        <f t="shared" si="14"/>
        <v>0</v>
      </c>
      <c r="K127" s="1669">
        <f t="shared" si="14"/>
        <v>429098</v>
      </c>
      <c r="L127" s="1669">
        <f t="shared" si="14"/>
        <v>413478</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130992</v>
      </c>
      <c r="D129" s="1676">
        <f t="shared" ref="D129:L129" si="15">SUM(D120,D127,D128)</f>
        <v>19423</v>
      </c>
      <c r="E129" s="1676">
        <f t="shared" si="15"/>
        <v>134742</v>
      </c>
      <c r="F129" s="1676">
        <f t="shared" si="15"/>
        <v>143941</v>
      </c>
      <c r="G129" s="1676">
        <f t="shared" si="15"/>
        <v>0</v>
      </c>
      <c r="H129" s="1676">
        <f t="shared" si="15"/>
        <v>0</v>
      </c>
      <c r="I129" s="1676">
        <f t="shared" si="15"/>
        <v>0</v>
      </c>
      <c r="J129" s="1676">
        <f t="shared" si="15"/>
        <v>0</v>
      </c>
      <c r="K129" s="1676">
        <f t="shared" si="15"/>
        <v>429098</v>
      </c>
      <c r="L129" s="1676">
        <f t="shared" si="15"/>
        <v>413478</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1844</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69">
        <f>SUM(C129,C130,C139,C149,C150)</f>
        <v>130992</v>
      </c>
      <c r="D151" s="1669">
        <f t="shared" ref="D151:K151" si="16">SUM(D129,D130,D139,D149,D150)</f>
        <v>19423</v>
      </c>
      <c r="E151" s="1669">
        <f t="shared" si="16"/>
        <v>134742</v>
      </c>
      <c r="F151" s="1669">
        <f t="shared" si="16"/>
        <v>143941</v>
      </c>
      <c r="G151" s="1669">
        <f t="shared" si="16"/>
        <v>0</v>
      </c>
      <c r="H151" s="1669">
        <f t="shared" si="16"/>
        <v>0</v>
      </c>
      <c r="I151" s="1669">
        <f t="shared" si="16"/>
        <v>0</v>
      </c>
      <c r="J151" s="1669">
        <f t="shared" si="16"/>
        <v>0</v>
      </c>
      <c r="K151" s="1669">
        <f t="shared" si="16"/>
        <v>429098</v>
      </c>
      <c r="L151" s="1669">
        <f>SUM(L129,L130,L139,L149,L150)</f>
        <v>413478</v>
      </c>
    </row>
    <row r="152" spans="1:14" ht="12.75" customHeight="1" thickTop="1" x14ac:dyDescent="0.2">
      <c r="A152" s="2173" t="s">
        <v>1178</v>
      </c>
      <c r="B152" s="2174"/>
      <c r="C152" s="618"/>
      <c r="D152" s="618"/>
      <c r="E152" s="618"/>
      <c r="F152" s="618"/>
      <c r="G152" s="618"/>
      <c r="H152" s="618"/>
      <c r="I152" s="618"/>
      <c r="J152" s="616"/>
      <c r="K152" s="1683">
        <f>'Revenues 9-14'!D268-'Expenditures 15-22'!K151</f>
        <v>21493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4"/>
      <c r="L155" s="1840"/>
      <c r="M155" s="619"/>
      <c r="N155" s="619"/>
    </row>
    <row r="156" spans="1:14" s="620" customFormat="1" ht="15.75" customHeight="1" thickTop="1" x14ac:dyDescent="0.2">
      <c r="A156" s="1821" t="s">
        <v>1845</v>
      </c>
      <c r="B156" s="1822"/>
      <c r="C156" s="616"/>
      <c r="D156" s="616"/>
      <c r="E156" s="616"/>
      <c r="F156" s="616"/>
      <c r="G156" s="616"/>
      <c r="H156" s="1841"/>
      <c r="I156" s="616"/>
      <c r="J156" s="616"/>
      <c r="K156" s="1823"/>
      <c r="L156" s="1841"/>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c r="I169" s="616"/>
      <c r="J169" s="616"/>
      <c r="K169" s="1670">
        <f>SUM(C169:H169)</f>
        <v>0</v>
      </c>
      <c r="L169" s="656"/>
    </row>
    <row r="170" spans="1:14" ht="33.75" customHeight="1" x14ac:dyDescent="0.2">
      <c r="A170" s="669" t="s">
        <v>1670</v>
      </c>
      <c r="B170" s="671" t="s">
        <v>31</v>
      </c>
      <c r="C170" s="616"/>
      <c r="D170" s="616"/>
      <c r="E170" s="616"/>
      <c r="F170" s="616"/>
      <c r="G170" s="616"/>
      <c r="H170" s="569"/>
      <c r="I170" s="616"/>
      <c r="J170" s="616"/>
      <c r="K170" s="1670">
        <f>SUM(C170:J170)</f>
        <v>0</v>
      </c>
      <c r="L170" s="569"/>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0</v>
      </c>
      <c r="I172" s="638"/>
      <c r="J172" s="616"/>
      <c r="K172" s="1676">
        <f>SUM(K168,K169,K170,K171)</f>
        <v>0</v>
      </c>
      <c r="L172" s="1676">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0</v>
      </c>
      <c r="I174" s="638"/>
      <c r="J174" s="616"/>
      <c r="K174" s="1676">
        <f>SUM(K160,K172,K173)</f>
        <v>0</v>
      </c>
      <c r="L174" s="1676">
        <f>SUM(L160,L172,L173)</f>
        <v>0</v>
      </c>
    </row>
    <row r="175" spans="1:14" ht="13.5" thickTop="1" x14ac:dyDescent="0.2">
      <c r="A175" s="2153" t="s">
        <v>996</v>
      </c>
      <c r="B175" s="2154"/>
      <c r="C175" s="616"/>
      <c r="D175" s="616"/>
      <c r="E175" s="616"/>
      <c r="F175" s="616"/>
      <c r="G175" s="616"/>
      <c r="H175" s="618"/>
      <c r="I175" s="616"/>
      <c r="J175" s="616"/>
      <c r="K175" s="1683">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141091</v>
      </c>
      <c r="D182" s="466">
        <v>8159</v>
      </c>
      <c r="E182" s="466">
        <v>68998</v>
      </c>
      <c r="F182" s="466">
        <v>37526</v>
      </c>
      <c r="G182" s="466"/>
      <c r="H182" s="466"/>
      <c r="I182" s="467"/>
      <c r="J182" s="467"/>
      <c r="K182" s="1670">
        <f>SUM(C182:J182)</f>
        <v>255774</v>
      </c>
      <c r="L182" s="466">
        <v>253260</v>
      </c>
    </row>
    <row r="183" spans="1:14" ht="12.75" customHeight="1" thickBot="1" x14ac:dyDescent="0.25">
      <c r="A183" s="1509"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141091</v>
      </c>
      <c r="D184" s="1676">
        <f t="shared" ref="D184:J184" si="17">SUM(D180,D182,D183)</f>
        <v>8159</v>
      </c>
      <c r="E184" s="1676">
        <f t="shared" si="17"/>
        <v>68998</v>
      </c>
      <c r="F184" s="1676">
        <f t="shared" si="17"/>
        <v>37526</v>
      </c>
      <c r="G184" s="1676">
        <f t="shared" si="17"/>
        <v>0</v>
      </c>
      <c r="H184" s="1676">
        <f t="shared" si="17"/>
        <v>0</v>
      </c>
      <c r="I184" s="1676">
        <f t="shared" si="17"/>
        <v>0</v>
      </c>
      <c r="J184" s="1676">
        <f t="shared" si="17"/>
        <v>0</v>
      </c>
      <c r="K184" s="1676">
        <f>SUM(K180,K182,K183)</f>
        <v>255774</v>
      </c>
      <c r="L184" s="1676">
        <f>SUM(L180, L182:L183)</f>
        <v>253260</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c r="F189" s="616"/>
      <c r="G189" s="616"/>
      <c r="H189" s="466"/>
      <c r="I189" s="477"/>
      <c r="J189" s="616"/>
      <c r="K189" s="1670">
        <f t="shared" si="18"/>
        <v>0</v>
      </c>
      <c r="L189" s="466"/>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141091</v>
      </c>
      <c r="D210" s="1669">
        <f>SUM(D184,D185)</f>
        <v>8159</v>
      </c>
      <c r="E210" s="1669">
        <f>SUM(E184,E185,E196)</f>
        <v>68998</v>
      </c>
      <c r="F210" s="1669">
        <f>SUM(F184,F185)</f>
        <v>37526</v>
      </c>
      <c r="G210" s="1669">
        <f>SUM(G184,G185)</f>
        <v>0</v>
      </c>
      <c r="H210" s="1669">
        <f>SUM(H184,H185,H196,H208,H209)</f>
        <v>0</v>
      </c>
      <c r="I210" s="1669">
        <f>SUM(I184,I185)</f>
        <v>0</v>
      </c>
      <c r="J210" s="1669">
        <f>SUM(J184,J185)</f>
        <v>0</v>
      </c>
      <c r="K210" s="1670">
        <f>SUM(K184,K185,K196,K208,K209)</f>
        <v>255774</v>
      </c>
      <c r="L210" s="1669">
        <f>SUM(L184,L185,L196,L208,L209)</f>
        <v>253260</v>
      </c>
    </row>
    <row r="211" spans="1:14" ht="13.5" thickTop="1" x14ac:dyDescent="0.2">
      <c r="A211" s="2153" t="s">
        <v>996</v>
      </c>
      <c r="B211" s="2154"/>
      <c r="C211" s="618"/>
      <c r="D211" s="618"/>
      <c r="E211" s="618"/>
      <c r="F211" s="618"/>
      <c r="G211" s="618"/>
      <c r="H211" s="618"/>
      <c r="I211" s="616"/>
      <c r="J211" s="616"/>
      <c r="K211" s="1683">
        <f>'Revenues 9-14'!F268-'Expenditures 15-22'!K210</f>
        <v>-120352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19239</v>
      </c>
      <c r="E215" s="616"/>
      <c r="F215" s="616"/>
      <c r="G215" s="616"/>
      <c r="H215" s="616"/>
      <c r="I215" s="616"/>
      <c r="J215" s="616"/>
      <c r="K215" s="1670">
        <f>D215</f>
        <v>19239</v>
      </c>
      <c r="L215" s="466">
        <v>26010</v>
      </c>
    </row>
    <row r="216" spans="1:14" x14ac:dyDescent="0.2">
      <c r="A216" s="1504" t="s">
        <v>163</v>
      </c>
      <c r="B216" s="614" t="s">
        <v>967</v>
      </c>
      <c r="C216" s="616"/>
      <c r="D216" s="467">
        <v>3341</v>
      </c>
      <c r="E216" s="616"/>
      <c r="F216" s="616"/>
      <c r="G216" s="616"/>
      <c r="H216" s="616"/>
      <c r="I216" s="616"/>
      <c r="J216" s="616"/>
      <c r="K216" s="1670">
        <f t="shared" ref="K216:K228" si="19">D216</f>
        <v>3341</v>
      </c>
      <c r="L216" s="466">
        <v>3550</v>
      </c>
    </row>
    <row r="217" spans="1:14" x14ac:dyDescent="0.2">
      <c r="A217" s="1504" t="s">
        <v>164</v>
      </c>
      <c r="B217" s="614">
        <v>1200</v>
      </c>
      <c r="C217" s="616"/>
      <c r="D217" s="466">
        <v>1698</v>
      </c>
      <c r="E217" s="616"/>
      <c r="F217" s="616"/>
      <c r="G217" s="616"/>
      <c r="H217" s="616"/>
      <c r="I217" s="616"/>
      <c r="J217" s="616"/>
      <c r="K217" s="1670">
        <f t="shared" si="19"/>
        <v>1698</v>
      </c>
      <c r="L217" s="466">
        <v>2550</v>
      </c>
    </row>
    <row r="218" spans="1:14" x14ac:dyDescent="0.2">
      <c r="A218" s="1504" t="s">
        <v>278</v>
      </c>
      <c r="B218" s="614" t="s">
        <v>968</v>
      </c>
      <c r="C218" s="616"/>
      <c r="D218" s="467"/>
      <c r="E218" s="616"/>
      <c r="F218" s="616"/>
      <c r="G218" s="616"/>
      <c r="H218" s="616"/>
      <c r="I218" s="616"/>
      <c r="J218" s="616"/>
      <c r="K218" s="1670">
        <f t="shared" si="19"/>
        <v>0</v>
      </c>
      <c r="L218" s="466"/>
    </row>
    <row r="219" spans="1:14" x14ac:dyDescent="0.2">
      <c r="A219" s="1504" t="s">
        <v>279</v>
      </c>
      <c r="B219" s="614">
        <v>1250</v>
      </c>
      <c r="C219" s="616"/>
      <c r="D219" s="466">
        <v>3056</v>
      </c>
      <c r="E219" s="616"/>
      <c r="F219" s="616"/>
      <c r="G219" s="616"/>
      <c r="H219" s="616"/>
      <c r="I219" s="616"/>
      <c r="J219" s="616"/>
      <c r="K219" s="1670">
        <f t="shared" si="19"/>
        <v>3056</v>
      </c>
      <c r="L219" s="466">
        <v>10500</v>
      </c>
    </row>
    <row r="220" spans="1:14" x14ac:dyDescent="0.2">
      <c r="A220" s="1504" t="s">
        <v>280</v>
      </c>
      <c r="B220" s="614" t="s">
        <v>161</v>
      </c>
      <c r="C220" s="616"/>
      <c r="D220" s="467"/>
      <c r="E220" s="616"/>
      <c r="F220" s="616"/>
      <c r="G220" s="616"/>
      <c r="H220" s="616"/>
      <c r="I220" s="616"/>
      <c r="J220" s="616"/>
      <c r="K220" s="1670">
        <f t="shared" si="19"/>
        <v>0</v>
      </c>
      <c r="L220" s="466"/>
    </row>
    <row r="221" spans="1:14" x14ac:dyDescent="0.2">
      <c r="A221" s="1504" t="s">
        <v>962</v>
      </c>
      <c r="B221" s="614">
        <v>1300</v>
      </c>
      <c r="C221" s="616"/>
      <c r="D221" s="466"/>
      <c r="E221" s="616"/>
      <c r="F221" s="616"/>
      <c r="G221" s="616"/>
      <c r="H221" s="616"/>
      <c r="I221" s="616"/>
      <c r="J221" s="616"/>
      <c r="K221" s="1670">
        <f t="shared" si="19"/>
        <v>0</v>
      </c>
      <c r="L221" s="466"/>
    </row>
    <row r="222" spans="1:14" x14ac:dyDescent="0.2">
      <c r="A222" s="1504" t="s">
        <v>723</v>
      </c>
      <c r="B222" s="614">
        <v>1400</v>
      </c>
      <c r="C222" s="616"/>
      <c r="D222" s="466"/>
      <c r="E222" s="616"/>
      <c r="F222" s="616"/>
      <c r="G222" s="616"/>
      <c r="H222" s="616"/>
      <c r="I222" s="616"/>
      <c r="J222" s="616"/>
      <c r="K222" s="1670">
        <f t="shared" si="19"/>
        <v>0</v>
      </c>
      <c r="L222" s="466"/>
    </row>
    <row r="223" spans="1:14" x14ac:dyDescent="0.2">
      <c r="A223" s="1504" t="s">
        <v>963</v>
      </c>
      <c r="B223" s="614">
        <v>1500</v>
      </c>
      <c r="C223" s="616"/>
      <c r="D223" s="466">
        <v>803</v>
      </c>
      <c r="E223" s="616"/>
      <c r="F223" s="616"/>
      <c r="G223" s="616"/>
      <c r="H223" s="616"/>
      <c r="I223" s="616"/>
      <c r="J223" s="616"/>
      <c r="K223" s="1670">
        <f t="shared" si="19"/>
        <v>803</v>
      </c>
      <c r="L223" s="466"/>
    </row>
    <row r="224" spans="1:14" x14ac:dyDescent="0.2">
      <c r="A224" s="1504" t="s">
        <v>964</v>
      </c>
      <c r="B224" s="614">
        <v>1600</v>
      </c>
      <c r="C224" s="616"/>
      <c r="D224" s="466"/>
      <c r="E224" s="616"/>
      <c r="F224" s="616"/>
      <c r="G224" s="616"/>
      <c r="H224" s="616"/>
      <c r="I224" s="616"/>
      <c r="J224" s="616"/>
      <c r="K224" s="1670">
        <f t="shared" si="19"/>
        <v>0</v>
      </c>
      <c r="L224" s="466"/>
    </row>
    <row r="225" spans="1:12" x14ac:dyDescent="0.2">
      <c r="A225" s="1504" t="s">
        <v>987</v>
      </c>
      <c r="B225" s="614">
        <v>1650</v>
      </c>
      <c r="C225" s="616"/>
      <c r="D225" s="466"/>
      <c r="E225" s="616"/>
      <c r="F225" s="616"/>
      <c r="G225" s="616"/>
      <c r="H225" s="616"/>
      <c r="I225" s="616"/>
      <c r="J225" s="616"/>
      <c r="K225" s="1670">
        <f t="shared" si="19"/>
        <v>0</v>
      </c>
      <c r="L225" s="466"/>
    </row>
    <row r="226" spans="1:12" x14ac:dyDescent="0.2">
      <c r="A226" s="1504" t="s">
        <v>724</v>
      </c>
      <c r="B226" s="614" t="s">
        <v>162</v>
      </c>
      <c r="C226" s="616"/>
      <c r="D226" s="467"/>
      <c r="E226" s="616"/>
      <c r="F226" s="616"/>
      <c r="G226" s="616"/>
      <c r="H226" s="616"/>
      <c r="I226" s="616"/>
      <c r="J226" s="616"/>
      <c r="K226" s="1670">
        <f t="shared" si="19"/>
        <v>0</v>
      </c>
      <c r="L226" s="466"/>
    </row>
    <row r="227" spans="1:12" x14ac:dyDescent="0.2">
      <c r="A227" s="1504" t="s">
        <v>1087</v>
      </c>
      <c r="B227" s="614">
        <v>1800</v>
      </c>
      <c r="C227" s="616"/>
      <c r="D227" s="466"/>
      <c r="E227" s="616"/>
      <c r="F227" s="616"/>
      <c r="G227" s="616"/>
      <c r="H227" s="616"/>
      <c r="I227" s="616"/>
      <c r="J227" s="616"/>
      <c r="K227" s="1670">
        <f t="shared" si="19"/>
        <v>0</v>
      </c>
      <c r="L227" s="466"/>
    </row>
    <row r="228" spans="1:12" x14ac:dyDescent="0.2">
      <c r="A228" s="1504"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28137</v>
      </c>
      <c r="E229" s="616"/>
      <c r="F229" s="616"/>
      <c r="G229" s="616"/>
      <c r="H229" s="616"/>
      <c r="I229" s="616"/>
      <c r="J229" s="616"/>
      <c r="K229" s="1669">
        <f>SUM(K215:K228)</f>
        <v>28137</v>
      </c>
      <c r="L229" s="1669">
        <f>SUM(L215:L228)</f>
        <v>42610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885</v>
      </c>
      <c r="E232" s="616"/>
      <c r="F232" s="616"/>
      <c r="G232" s="616"/>
      <c r="H232" s="616"/>
      <c r="I232" s="616"/>
      <c r="J232" s="616"/>
      <c r="K232" s="1670">
        <f t="shared" ref="K232:K237" si="20">D232</f>
        <v>885</v>
      </c>
      <c r="L232" s="466"/>
    </row>
    <row r="233" spans="1:12" x14ac:dyDescent="0.2">
      <c r="A233" s="1504" t="s">
        <v>1090</v>
      </c>
      <c r="B233" s="614">
        <v>2120</v>
      </c>
      <c r="C233" s="616"/>
      <c r="D233" s="466"/>
      <c r="E233" s="616"/>
      <c r="F233" s="616"/>
      <c r="G233" s="616"/>
      <c r="H233" s="616"/>
      <c r="I233" s="616"/>
      <c r="J233" s="616"/>
      <c r="K233" s="1670">
        <f t="shared" si="20"/>
        <v>0</v>
      </c>
      <c r="L233" s="466"/>
    </row>
    <row r="234" spans="1:12" x14ac:dyDescent="0.2">
      <c r="A234" s="1504" t="s">
        <v>198</v>
      </c>
      <c r="B234" s="614">
        <v>2130</v>
      </c>
      <c r="C234" s="616"/>
      <c r="D234" s="466">
        <v>1832</v>
      </c>
      <c r="E234" s="616"/>
      <c r="F234" s="616"/>
      <c r="G234" s="616"/>
      <c r="H234" s="616"/>
      <c r="I234" s="616"/>
      <c r="J234" s="616"/>
      <c r="K234" s="1670">
        <f t="shared" si="20"/>
        <v>1832</v>
      </c>
      <c r="L234" s="466">
        <v>1550</v>
      </c>
    </row>
    <row r="235" spans="1:12" x14ac:dyDescent="0.2">
      <c r="A235" s="1504" t="s">
        <v>199</v>
      </c>
      <c r="B235" s="614">
        <v>2140</v>
      </c>
      <c r="C235" s="616"/>
      <c r="D235" s="466"/>
      <c r="E235" s="616"/>
      <c r="F235" s="616"/>
      <c r="G235" s="616"/>
      <c r="H235" s="616"/>
      <c r="I235" s="616"/>
      <c r="J235" s="616"/>
      <c r="K235" s="1670">
        <f t="shared" si="20"/>
        <v>0</v>
      </c>
      <c r="L235" s="466"/>
    </row>
    <row r="236" spans="1:12" x14ac:dyDescent="0.2">
      <c r="A236" s="1504" t="s">
        <v>200</v>
      </c>
      <c r="B236" s="614">
        <v>2150</v>
      </c>
      <c r="C236" s="616"/>
      <c r="D236" s="466"/>
      <c r="E236" s="616"/>
      <c r="F236" s="616"/>
      <c r="G236" s="616"/>
      <c r="H236" s="616"/>
      <c r="I236" s="616"/>
      <c r="J236" s="616"/>
      <c r="K236" s="1670">
        <f t="shared" si="20"/>
        <v>0</v>
      </c>
      <c r="L236" s="466"/>
    </row>
    <row r="237" spans="1:12" x14ac:dyDescent="0.2">
      <c r="A237" s="1504"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2717</v>
      </c>
      <c r="E238" s="616"/>
      <c r="F238" s="616"/>
      <c r="G238" s="616"/>
      <c r="H238" s="616"/>
      <c r="I238" s="616"/>
      <c r="J238" s="616"/>
      <c r="K238" s="1669">
        <f>SUM(K232:K237)</f>
        <v>2717</v>
      </c>
      <c r="L238" s="1669">
        <f>SUM(L232:L237)</f>
        <v>1550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89</v>
      </c>
      <c r="E240" s="616"/>
      <c r="F240" s="616"/>
      <c r="G240" s="616"/>
      <c r="H240" s="616"/>
      <c r="I240" s="616"/>
      <c r="J240" s="616"/>
      <c r="K240" s="1671">
        <f>D240</f>
        <v>89</v>
      </c>
      <c r="L240" s="481"/>
    </row>
    <row r="241" spans="1:12" x14ac:dyDescent="0.2">
      <c r="A241" s="1504" t="s">
        <v>815</v>
      </c>
      <c r="B241" s="614">
        <v>2220</v>
      </c>
      <c r="C241" s="616"/>
      <c r="D241" s="466"/>
      <c r="E241" s="616"/>
      <c r="F241" s="616"/>
      <c r="G241" s="616"/>
      <c r="H241" s="616"/>
      <c r="I241" s="616"/>
      <c r="J241" s="616"/>
      <c r="K241" s="1671">
        <f>D241</f>
        <v>0</v>
      </c>
      <c r="L241" s="466"/>
    </row>
    <row r="242" spans="1:12" x14ac:dyDescent="0.2">
      <c r="A242" s="1504"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89</v>
      </c>
      <c r="E243" s="616"/>
      <c r="F243" s="616"/>
      <c r="G243" s="616"/>
      <c r="H243" s="616"/>
      <c r="I243" s="616"/>
      <c r="J243" s="616"/>
      <c r="K243" s="1669">
        <f>SUM(K240:K242)</f>
        <v>89</v>
      </c>
      <c r="L243" s="1669">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170</v>
      </c>
      <c r="E245" s="616"/>
      <c r="F245" s="616"/>
      <c r="G245" s="616"/>
      <c r="H245" s="616"/>
      <c r="I245" s="616"/>
      <c r="J245" s="616"/>
      <c r="K245" s="1671">
        <f>D245</f>
        <v>170</v>
      </c>
      <c r="L245" s="481"/>
    </row>
    <row r="246" spans="1:12" x14ac:dyDescent="0.2">
      <c r="A246" s="1504" t="s">
        <v>818</v>
      </c>
      <c r="B246" s="614">
        <v>2320</v>
      </c>
      <c r="C246" s="616"/>
      <c r="D246" s="466">
        <v>5640</v>
      </c>
      <c r="E246" s="616"/>
      <c r="F246" s="616"/>
      <c r="G246" s="616"/>
      <c r="H246" s="616"/>
      <c r="I246" s="616"/>
      <c r="J246" s="616"/>
      <c r="K246" s="1671">
        <f t="shared" ref="K246:K256" si="21">D246</f>
        <v>5640</v>
      </c>
      <c r="L246" s="466">
        <v>2000</v>
      </c>
    </row>
    <row r="247" spans="1:12" x14ac:dyDescent="0.2">
      <c r="A247" s="1504" t="s">
        <v>819</v>
      </c>
      <c r="B247" s="614">
        <v>2330</v>
      </c>
      <c r="C247" s="616"/>
      <c r="D247" s="466">
        <v>1141</v>
      </c>
      <c r="E247" s="616"/>
      <c r="F247" s="616"/>
      <c r="G247" s="616"/>
      <c r="H247" s="616"/>
      <c r="I247" s="616"/>
      <c r="J247" s="616"/>
      <c r="K247" s="1671">
        <f t="shared" si="21"/>
        <v>1141</v>
      </c>
      <c r="L247" s="466"/>
    </row>
    <row r="248" spans="1:12" x14ac:dyDescent="0.2">
      <c r="A248" s="1505" t="s">
        <v>299</v>
      </c>
      <c r="B248" s="602" t="s">
        <v>281</v>
      </c>
      <c r="C248" s="616"/>
      <c r="D248" s="474"/>
      <c r="E248" s="616"/>
      <c r="F248" s="616"/>
      <c r="G248" s="616"/>
      <c r="H248" s="616"/>
      <c r="I248" s="616"/>
      <c r="J248" s="616"/>
      <c r="K248" s="1671">
        <f t="shared" si="21"/>
        <v>0</v>
      </c>
      <c r="L248" s="466"/>
    </row>
    <row r="249" spans="1:12" x14ac:dyDescent="0.2">
      <c r="A249" s="1506" t="s">
        <v>1805</v>
      </c>
      <c r="B249" s="683" t="s">
        <v>282</v>
      </c>
      <c r="C249" s="616"/>
      <c r="D249" s="474"/>
      <c r="E249" s="616"/>
      <c r="F249" s="616"/>
      <c r="G249" s="616"/>
      <c r="H249" s="616"/>
      <c r="I249" s="616"/>
      <c r="J249" s="616"/>
      <c r="K249" s="1671">
        <f t="shared" si="21"/>
        <v>0</v>
      </c>
      <c r="L249" s="466"/>
    </row>
    <row r="250" spans="1:12" x14ac:dyDescent="0.2">
      <c r="A250" s="1505" t="s">
        <v>1806</v>
      </c>
      <c r="B250" s="602" t="s">
        <v>283</v>
      </c>
      <c r="C250" s="616"/>
      <c r="D250" s="474"/>
      <c r="E250" s="616"/>
      <c r="F250" s="616"/>
      <c r="G250" s="616"/>
      <c r="H250" s="616"/>
      <c r="I250" s="616"/>
      <c r="J250" s="616"/>
      <c r="K250" s="1671">
        <f t="shared" si="21"/>
        <v>0</v>
      </c>
      <c r="L250" s="466"/>
    </row>
    <row r="251" spans="1:12" x14ac:dyDescent="0.2">
      <c r="A251" s="1505" t="s">
        <v>238</v>
      </c>
      <c r="B251" s="602" t="s">
        <v>284</v>
      </c>
      <c r="C251" s="616"/>
      <c r="D251" s="474"/>
      <c r="E251" s="616"/>
      <c r="F251" s="616"/>
      <c r="G251" s="616"/>
      <c r="H251" s="616"/>
      <c r="I251" s="616"/>
      <c r="J251" s="616"/>
      <c r="K251" s="1671">
        <f t="shared" si="21"/>
        <v>0</v>
      </c>
      <c r="L251" s="466"/>
    </row>
    <row r="252" spans="1:12" x14ac:dyDescent="0.2">
      <c r="A252" s="1505" t="s">
        <v>702</v>
      </c>
      <c r="B252" s="602" t="s">
        <v>285</v>
      </c>
      <c r="C252" s="616"/>
      <c r="D252" s="474"/>
      <c r="E252" s="616"/>
      <c r="F252" s="616"/>
      <c r="G252" s="616"/>
      <c r="H252" s="616"/>
      <c r="I252" s="616"/>
      <c r="J252" s="616"/>
      <c r="K252" s="1671">
        <f t="shared" si="21"/>
        <v>0</v>
      </c>
      <c r="L252" s="466"/>
    </row>
    <row r="253" spans="1:12" x14ac:dyDescent="0.2">
      <c r="A253" s="1505" t="s">
        <v>239</v>
      </c>
      <c r="B253" s="602" t="s">
        <v>286</v>
      </c>
      <c r="C253" s="616"/>
      <c r="D253" s="474"/>
      <c r="E253" s="616"/>
      <c r="F253" s="616"/>
      <c r="G253" s="616"/>
      <c r="H253" s="616"/>
      <c r="I253" s="616"/>
      <c r="J253" s="616"/>
      <c r="K253" s="1671">
        <f t="shared" si="21"/>
        <v>0</v>
      </c>
      <c r="L253" s="466"/>
    </row>
    <row r="254" spans="1:12" ht="22.5" x14ac:dyDescent="0.2">
      <c r="A254" s="1505" t="s">
        <v>1029</v>
      </c>
      <c r="B254" s="683" t="s">
        <v>287</v>
      </c>
      <c r="C254" s="616"/>
      <c r="D254" s="474"/>
      <c r="E254" s="616"/>
      <c r="F254" s="616"/>
      <c r="G254" s="616"/>
      <c r="H254" s="616"/>
      <c r="I254" s="616"/>
      <c r="J254" s="616"/>
      <c r="K254" s="1671">
        <f t="shared" si="21"/>
        <v>0</v>
      </c>
      <c r="L254" s="466"/>
    </row>
    <row r="255" spans="1:12" x14ac:dyDescent="0.2">
      <c r="A255" s="1505" t="s">
        <v>1030</v>
      </c>
      <c r="B255" s="602" t="s">
        <v>288</v>
      </c>
      <c r="C255" s="616"/>
      <c r="D255" s="474"/>
      <c r="E255" s="616"/>
      <c r="F255" s="616"/>
      <c r="G255" s="616"/>
      <c r="H255" s="616"/>
      <c r="I255" s="616"/>
      <c r="J255" s="616"/>
      <c r="K255" s="1671">
        <f t="shared" si="21"/>
        <v>0</v>
      </c>
      <c r="L255" s="466"/>
    </row>
    <row r="256" spans="1:12" x14ac:dyDescent="0.2">
      <c r="A256" s="1505"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6951</v>
      </c>
      <c r="E257" s="616"/>
      <c r="F257" s="616"/>
      <c r="G257" s="616"/>
      <c r="H257" s="616"/>
      <c r="I257" s="616"/>
      <c r="J257" s="616"/>
      <c r="K257" s="1669">
        <f>SUM(K245:K256)</f>
        <v>6951</v>
      </c>
      <c r="L257" s="1669">
        <f>SUM(L245:L256)</f>
        <v>2000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2289</v>
      </c>
      <c r="E259" s="616"/>
      <c r="F259" s="616"/>
      <c r="G259" s="616"/>
      <c r="H259" s="616"/>
      <c r="I259" s="616"/>
      <c r="J259" s="616"/>
      <c r="K259" s="1671">
        <f>D259</f>
        <v>2289</v>
      </c>
      <c r="L259" s="481">
        <v>2000</v>
      </c>
    </row>
    <row r="260" spans="1:14" s="597" customFormat="1" x14ac:dyDescent="0.2">
      <c r="A260" s="1522"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2289</v>
      </c>
      <c r="E261" s="616"/>
      <c r="F261" s="616"/>
      <c r="G261" s="616"/>
      <c r="H261" s="616"/>
      <c r="I261" s="616"/>
      <c r="J261" s="616"/>
      <c r="K261" s="1669">
        <f>SUM(K259:K260)</f>
        <v>2289</v>
      </c>
      <c r="L261" s="1669">
        <f>SUM(L259:L260)</f>
        <v>2000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row>
    <row r="264" spans="1:14" x14ac:dyDescent="0.2">
      <c r="A264" s="1504" t="s">
        <v>463</v>
      </c>
      <c r="B264" s="685">
        <v>2520</v>
      </c>
      <c r="C264" s="616"/>
      <c r="D264" s="466">
        <v>1127</v>
      </c>
      <c r="E264" s="616"/>
      <c r="F264" s="616"/>
      <c r="G264" s="616"/>
      <c r="H264" s="616"/>
      <c r="I264" s="616"/>
      <c r="J264" s="616"/>
      <c r="K264" s="1671">
        <f t="shared" ref="K264:K269" si="22">D264</f>
        <v>1127</v>
      </c>
      <c r="L264" s="466"/>
    </row>
    <row r="265" spans="1:14" x14ac:dyDescent="0.2">
      <c r="A265" s="1504" t="s">
        <v>4</v>
      </c>
      <c r="B265" s="614">
        <v>2530</v>
      </c>
      <c r="C265" s="616"/>
      <c r="D265" s="466"/>
      <c r="E265" s="616"/>
      <c r="F265" s="616"/>
      <c r="G265" s="616"/>
      <c r="H265" s="616"/>
      <c r="I265" s="616"/>
      <c r="J265" s="616"/>
      <c r="K265" s="1671">
        <f t="shared" si="22"/>
        <v>0</v>
      </c>
      <c r="L265" s="466"/>
    </row>
    <row r="266" spans="1:14" x14ac:dyDescent="0.2">
      <c r="A266" s="1504" t="s">
        <v>197</v>
      </c>
      <c r="B266" s="614">
        <v>2540</v>
      </c>
      <c r="C266" s="616"/>
      <c r="D266" s="466">
        <v>12207</v>
      </c>
      <c r="E266" s="616"/>
      <c r="F266" s="616"/>
      <c r="G266" s="616"/>
      <c r="H266" s="616"/>
      <c r="I266" s="616"/>
      <c r="J266" s="616"/>
      <c r="K266" s="1671">
        <f t="shared" si="22"/>
        <v>12207</v>
      </c>
      <c r="L266" s="466">
        <v>11600</v>
      </c>
    </row>
    <row r="267" spans="1:14" x14ac:dyDescent="0.2">
      <c r="A267" s="1504" t="s">
        <v>953</v>
      </c>
      <c r="B267" s="614">
        <v>2550</v>
      </c>
      <c r="C267" s="616"/>
      <c r="D267" s="466">
        <v>10097</v>
      </c>
      <c r="E267" s="616"/>
      <c r="F267" s="616"/>
      <c r="G267" s="616"/>
      <c r="H267" s="616"/>
      <c r="I267" s="616"/>
      <c r="J267" s="616"/>
      <c r="K267" s="1671">
        <f t="shared" si="22"/>
        <v>10097</v>
      </c>
      <c r="L267" s="466">
        <v>10200</v>
      </c>
    </row>
    <row r="268" spans="1:14" x14ac:dyDescent="0.2">
      <c r="A268" s="1504" t="s">
        <v>100</v>
      </c>
      <c r="B268" s="614">
        <v>2560</v>
      </c>
      <c r="C268" s="616"/>
      <c r="D268" s="466">
        <v>5424</v>
      </c>
      <c r="E268" s="616"/>
      <c r="F268" s="616"/>
      <c r="G268" s="616"/>
      <c r="H268" s="616"/>
      <c r="I268" s="616"/>
      <c r="J268" s="616"/>
      <c r="K268" s="1671">
        <f t="shared" si="22"/>
        <v>5424</v>
      </c>
      <c r="L268" s="466">
        <v>3500</v>
      </c>
    </row>
    <row r="269" spans="1:14" x14ac:dyDescent="0.2">
      <c r="A269" s="1504"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28855</v>
      </c>
      <c r="E270" s="616"/>
      <c r="F270" s="616"/>
      <c r="G270" s="616"/>
      <c r="H270" s="616"/>
      <c r="I270" s="616"/>
      <c r="J270" s="616"/>
      <c r="K270" s="1669">
        <f>SUM(K263:K269)</f>
        <v>28855</v>
      </c>
      <c r="L270" s="1669">
        <f>SUM(L263:L269)</f>
        <v>25300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row>
    <row r="273" spans="1:12" x14ac:dyDescent="0.2">
      <c r="A273" s="1504" t="s">
        <v>607</v>
      </c>
      <c r="B273" s="628">
        <v>2620</v>
      </c>
      <c r="C273" s="616"/>
      <c r="D273" s="466"/>
      <c r="E273" s="616"/>
      <c r="F273" s="616"/>
      <c r="G273" s="616"/>
      <c r="H273" s="616"/>
      <c r="I273" s="616"/>
      <c r="J273" s="616"/>
      <c r="K273" s="1671">
        <f>D273</f>
        <v>0</v>
      </c>
      <c r="L273" s="466"/>
    </row>
    <row r="274" spans="1:12" ht="12" customHeight="1" x14ac:dyDescent="0.2">
      <c r="A274" s="1504" t="s">
        <v>1061</v>
      </c>
      <c r="B274" s="614">
        <v>2630</v>
      </c>
      <c r="C274" s="616"/>
      <c r="D274" s="466"/>
      <c r="E274" s="616"/>
      <c r="F274" s="616"/>
      <c r="G274" s="616"/>
      <c r="H274" s="616"/>
      <c r="I274" s="616"/>
      <c r="J274" s="616"/>
      <c r="K274" s="1671">
        <f>D274</f>
        <v>0</v>
      </c>
      <c r="L274" s="466"/>
    </row>
    <row r="275" spans="1:12" x14ac:dyDescent="0.2">
      <c r="A275" s="1504" t="s">
        <v>403</v>
      </c>
      <c r="B275" s="614">
        <v>2640</v>
      </c>
      <c r="C275" s="616"/>
      <c r="D275" s="466"/>
      <c r="E275" s="616"/>
      <c r="F275" s="616"/>
      <c r="G275" s="616"/>
      <c r="H275" s="616"/>
      <c r="I275" s="616"/>
      <c r="J275" s="616"/>
      <c r="K275" s="1671">
        <f>D275</f>
        <v>0</v>
      </c>
      <c r="L275" s="466"/>
    </row>
    <row r="276" spans="1:12" x14ac:dyDescent="0.2">
      <c r="A276" s="1504"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v>117</v>
      </c>
      <c r="E278" s="616"/>
      <c r="F278" s="616"/>
      <c r="G278" s="616"/>
      <c r="H278" s="616"/>
      <c r="I278" s="616"/>
      <c r="J278" s="616"/>
      <c r="K278" s="1684">
        <f>D278</f>
        <v>117</v>
      </c>
      <c r="L278" s="656"/>
    </row>
    <row r="279" spans="1:12" ht="12.75" customHeight="1" thickBot="1" x14ac:dyDescent="0.25">
      <c r="A279" s="1697" t="s">
        <v>811</v>
      </c>
      <c r="B279" s="1680">
        <v>2000</v>
      </c>
      <c r="C279" s="616"/>
      <c r="D279" s="1676">
        <f>SUM(D238,D243,D257,D261,D270,D277,D278)</f>
        <v>41018</v>
      </c>
      <c r="E279" s="616"/>
      <c r="F279" s="616"/>
      <c r="G279" s="616"/>
      <c r="H279" s="616"/>
      <c r="I279" s="616"/>
      <c r="J279" s="616"/>
      <c r="K279" s="1676">
        <f>SUM(K238,K243,K257,K261,K270,K277,K278)</f>
        <v>41018</v>
      </c>
      <c r="L279" s="1676">
        <f>SUM(L238,L243,L257,L261,L270,L277,L278)</f>
        <v>30850</v>
      </c>
    </row>
    <row r="280" spans="1:12" ht="15.75" customHeight="1" thickTop="1" thickBot="1" x14ac:dyDescent="0.25">
      <c r="A280" s="1624" t="s">
        <v>875</v>
      </c>
      <c r="B280" s="1613">
        <v>3000</v>
      </c>
      <c r="C280" s="616"/>
      <c r="D280" s="576">
        <v>11451</v>
      </c>
      <c r="E280" s="616"/>
      <c r="F280" s="616"/>
      <c r="G280" s="616"/>
      <c r="H280" s="616"/>
      <c r="I280" s="616"/>
      <c r="J280" s="616"/>
      <c r="K280" s="1678">
        <f>D280</f>
        <v>11451</v>
      </c>
      <c r="L280" s="576">
        <v>11200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1000</v>
      </c>
    </row>
    <row r="295" spans="1:14" ht="12.75" customHeight="1" thickTop="1" thickBot="1" x14ac:dyDescent="0.25">
      <c r="A295" s="2171" t="s">
        <v>505</v>
      </c>
      <c r="B295" s="2172"/>
      <c r="C295" s="616"/>
      <c r="D295" s="1669">
        <f>SUM(D229,D279,D280,D285)</f>
        <v>80606</v>
      </c>
      <c r="E295" s="616"/>
      <c r="F295" s="616"/>
      <c r="G295" s="616"/>
      <c r="H295" s="1669">
        <f>H293</f>
        <v>0</v>
      </c>
      <c r="I295" s="616"/>
      <c r="J295" s="616"/>
      <c r="K295" s="1669">
        <f>SUM(K229,K279,K280,K285,K293,K294)</f>
        <v>80606</v>
      </c>
      <c r="L295" s="1669">
        <f>SUM(L229,L279,L280,L285,L293,L294)</f>
        <v>85660</v>
      </c>
    </row>
    <row r="296" spans="1:14" ht="13.5" thickTop="1" x14ac:dyDescent="0.2">
      <c r="A296" s="2153" t="s">
        <v>996</v>
      </c>
      <c r="B296" s="2154"/>
      <c r="C296" s="616"/>
      <c r="D296" s="618"/>
      <c r="E296" s="616"/>
      <c r="F296" s="616"/>
      <c r="G296" s="616"/>
      <c r="H296" s="687"/>
      <c r="I296" s="616"/>
      <c r="J296" s="616"/>
      <c r="K296" s="1683">
        <f>'Revenues 9-14'!G268-'Expenditures 15-22'!K295</f>
        <v>-3730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row>
    <row r="302" spans="1:14" ht="13.5" customHeight="1" x14ac:dyDescent="0.2">
      <c r="A302" s="1517"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4" t="s">
        <v>996</v>
      </c>
      <c r="B313" s="2165"/>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3" t="s">
        <v>1805</v>
      </c>
      <c r="B320" s="698" t="s">
        <v>282</v>
      </c>
      <c r="C320" s="467"/>
      <c r="D320" s="467"/>
      <c r="E320" s="467">
        <v>66795</v>
      </c>
      <c r="F320" s="467"/>
      <c r="G320" s="467"/>
      <c r="H320" s="467"/>
      <c r="I320" s="467"/>
      <c r="J320" s="467"/>
      <c r="K320" s="1670">
        <f t="shared" ref="K320:K327" si="24">SUM(C320:J320)</f>
        <v>66795</v>
      </c>
      <c r="L320" s="467">
        <v>46810</v>
      </c>
      <c r="M320" s="665"/>
      <c r="N320" s="665"/>
    </row>
    <row r="321" spans="1:14" s="674" customFormat="1" x14ac:dyDescent="0.2">
      <c r="A321" s="1519"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0">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9" t="s">
        <v>971</v>
      </c>
      <c r="B327" s="697" t="s">
        <v>289</v>
      </c>
      <c r="C327" s="467"/>
      <c r="D327" s="467"/>
      <c r="E327" s="467">
        <v>15154</v>
      </c>
      <c r="F327" s="467"/>
      <c r="G327" s="467"/>
      <c r="H327" s="467"/>
      <c r="I327" s="467"/>
      <c r="J327" s="467"/>
      <c r="K327" s="1670">
        <f t="shared" si="24"/>
        <v>15154</v>
      </c>
      <c r="L327" s="467"/>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81949</v>
      </c>
      <c r="F330" s="1669">
        <f t="shared" si="25"/>
        <v>0</v>
      </c>
      <c r="G330" s="1669">
        <f t="shared" si="25"/>
        <v>0</v>
      </c>
      <c r="H330" s="1669">
        <f t="shared" si="25"/>
        <v>0</v>
      </c>
      <c r="I330" s="1669">
        <f t="shared" si="25"/>
        <v>0</v>
      </c>
      <c r="J330" s="1669">
        <f t="shared" si="25"/>
        <v>0</v>
      </c>
      <c r="K330" s="1669">
        <f>SUM(K319:K329)</f>
        <v>81949</v>
      </c>
      <c r="L330" s="1669">
        <f>SUM(L319:L329)</f>
        <v>46810</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1800</v>
      </c>
    </row>
    <row r="342" spans="1:14" ht="12.75" customHeight="1" thickTop="1" thickBot="1" x14ac:dyDescent="0.25">
      <c r="A342" s="1685" t="s">
        <v>505</v>
      </c>
      <c r="B342" s="1700"/>
      <c r="C342" s="1669">
        <f>SUM(C330)</f>
        <v>0</v>
      </c>
      <c r="D342" s="1669">
        <f>SUM(D330)</f>
        <v>0</v>
      </c>
      <c r="E342" s="1669">
        <f>SUM(E330)</f>
        <v>81949</v>
      </c>
      <c r="F342" s="1669">
        <f>SUM(F330)</f>
        <v>0</v>
      </c>
      <c r="G342" s="1669">
        <f>SUM(G330)</f>
        <v>0</v>
      </c>
      <c r="H342" s="1669">
        <f>SUM(H330,H334,H340)</f>
        <v>0</v>
      </c>
      <c r="I342" s="1669">
        <f>SUM(I330)</f>
        <v>0</v>
      </c>
      <c r="J342" s="1669">
        <f>SUM(J330)</f>
        <v>0</v>
      </c>
      <c r="K342" s="1669">
        <f>SUM(K330,K334,K340)</f>
        <v>81949</v>
      </c>
      <c r="L342" s="1676">
        <f>SUM(L330,L334,L340,L341)</f>
        <v>48610</v>
      </c>
    </row>
    <row r="343" spans="1:14" ht="12.75" customHeight="1" thickTop="1" x14ac:dyDescent="0.2">
      <c r="A343" s="2166" t="s">
        <v>996</v>
      </c>
      <c r="B343" s="2167"/>
      <c r="C343" s="616"/>
      <c r="D343" s="616"/>
      <c r="E343" s="616"/>
      <c r="F343" s="616"/>
      <c r="G343" s="616"/>
      <c r="H343" s="616"/>
      <c r="I343" s="616"/>
      <c r="J343" s="616"/>
      <c r="K343" s="1683">
        <f>'Revenues 9-14'!J268-'Expenditures 15-22'!K342</f>
        <v>1190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row>
    <row r="349" spans="1:14" x14ac:dyDescent="0.2">
      <c r="A349" s="1504" t="s">
        <v>197</v>
      </c>
      <c r="B349" s="614">
        <v>2540</v>
      </c>
      <c r="C349" s="466"/>
      <c r="D349" s="466"/>
      <c r="E349" s="466">
        <v>30906</v>
      </c>
      <c r="F349" s="466"/>
      <c r="G349" s="466"/>
      <c r="H349" s="466"/>
      <c r="I349" s="467"/>
      <c r="J349" s="467"/>
      <c r="K349" s="1670">
        <f>SUM(C349:J349)</f>
        <v>30906</v>
      </c>
      <c r="L349" s="466"/>
    </row>
    <row r="350" spans="1:14" ht="12.75" customHeight="1" thickBot="1" x14ac:dyDescent="0.25">
      <c r="A350" s="1667" t="s">
        <v>719</v>
      </c>
      <c r="B350" s="1668" t="s">
        <v>35</v>
      </c>
      <c r="C350" s="1669">
        <f>SUM(C348:C349)</f>
        <v>0</v>
      </c>
      <c r="D350" s="1669">
        <f t="shared" ref="D350:L350" si="26">SUM(D348:D349)</f>
        <v>0</v>
      </c>
      <c r="E350" s="1669">
        <f t="shared" si="26"/>
        <v>30906</v>
      </c>
      <c r="F350" s="1669">
        <f t="shared" si="26"/>
        <v>0</v>
      </c>
      <c r="G350" s="1669">
        <f t="shared" si="26"/>
        <v>0</v>
      </c>
      <c r="H350" s="1669">
        <f t="shared" si="26"/>
        <v>0</v>
      </c>
      <c r="I350" s="1669">
        <f t="shared" si="26"/>
        <v>0</v>
      </c>
      <c r="J350" s="1669">
        <f t="shared" si="26"/>
        <v>0</v>
      </c>
      <c r="K350" s="1669">
        <f t="shared" si="26"/>
        <v>30906</v>
      </c>
      <c r="L350" s="1669">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30906</v>
      </c>
      <c r="F352" s="1669">
        <f t="shared" si="27"/>
        <v>0</v>
      </c>
      <c r="G352" s="1669">
        <f t="shared" si="27"/>
        <v>0</v>
      </c>
      <c r="H352" s="1669">
        <f t="shared" si="27"/>
        <v>0</v>
      </c>
      <c r="I352" s="1669">
        <f t="shared" si="27"/>
        <v>0</v>
      </c>
      <c r="J352" s="1669">
        <f t="shared" si="27"/>
        <v>0</v>
      </c>
      <c r="K352" s="1669">
        <f t="shared" si="27"/>
        <v>30906</v>
      </c>
      <c r="L352" s="1669">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row>
    <row r="355" spans="1:14" ht="12.75" customHeight="1" x14ac:dyDescent="0.2">
      <c r="A355" s="1513" t="s">
        <v>1853</v>
      </c>
      <c r="B355" s="690" t="s">
        <v>1846</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30906</v>
      </c>
      <c r="F367" s="1669">
        <f t="shared" si="28"/>
        <v>0</v>
      </c>
      <c r="G367" s="1669">
        <f t="shared" si="28"/>
        <v>0</v>
      </c>
      <c r="H367" s="1669">
        <f t="shared" si="28"/>
        <v>0</v>
      </c>
      <c r="I367" s="1669">
        <f t="shared" si="28"/>
        <v>0</v>
      </c>
      <c r="J367" s="1669">
        <f t="shared" si="28"/>
        <v>0</v>
      </c>
      <c r="K367" s="1669">
        <f t="shared" si="28"/>
        <v>30906</v>
      </c>
      <c r="L367" s="1669">
        <f t="shared" si="28"/>
        <v>0</v>
      </c>
    </row>
    <row r="368" spans="1:14" ht="13.5" thickTop="1" x14ac:dyDescent="0.2">
      <c r="A368" s="2153" t="s">
        <v>996</v>
      </c>
      <c r="B368" s="2154"/>
      <c r="C368" s="654"/>
      <c r="D368" s="654"/>
      <c r="E368" s="626"/>
      <c r="F368" s="626"/>
      <c r="G368" s="626"/>
      <c r="H368" s="626"/>
      <c r="I368" s="626"/>
      <c r="J368" s="623"/>
      <c r="K368" s="1670">
        <f>'Revenues 9-14'!K268-'Expenditures 15-22'!K367</f>
        <v>-24419</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7" right="0.7" top="0.75" bottom="0.75" header="0.3" footer="0.3"/>
  <pageSetup scale="5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terms/"/>
    <ds:schemaRef ds:uri="http://purl.org/dc/elements/1.1/"/>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4d435f69-8686-490b-bd6d-b153bf22ab50"/>
    <ds:schemaRef ds:uri="http://schemas.microsoft.com/sharepoint/v3"/>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2019-11-08T17:26:33Z</cp:lastPrinted>
  <dcterms:created xsi:type="dcterms:W3CDTF">2003-10-29T19:06:34Z</dcterms:created>
  <dcterms:modified xsi:type="dcterms:W3CDTF">2019-12-26T22:10:47Z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