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C105697-BF83-4D49-B09A-A9CF455E4C8B}" xr6:coauthVersionLast="36" xr6:coauthVersionMax="36" xr10:uidLastSave="{00000000-0000-0000-0000-000000000000}"/>
  <bookViews>
    <workbookView xWindow="0" yWindow="0" windowWidth="19200" windowHeight="1099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 i="29" l="1"/>
  <c r="E5" i="29"/>
  <c r="F5" i="29"/>
  <c r="J33" i="8" l="1"/>
  <c r="L259" i="29"/>
  <c r="D259" i="29"/>
  <c r="E8" i="29"/>
  <c r="L71" i="29"/>
  <c r="L63" i="29"/>
  <c r="L55" i="29"/>
  <c r="D55" i="29"/>
  <c r="C55" i="29"/>
  <c r="L49" i="29"/>
  <c r="L45" i="29"/>
  <c r="L44" i="29"/>
  <c r="F44" i="29"/>
  <c r="E44" i="29"/>
  <c r="L39" i="29"/>
  <c r="L38" i="29"/>
  <c r="L18" i="29"/>
  <c r="L14" i="29"/>
  <c r="L10" i="29"/>
  <c r="D9" i="29"/>
  <c r="L8" i="29"/>
  <c r="D8" i="29" l="1"/>
  <c r="M18" i="3"/>
  <c r="M17"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F20" i="181" s="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G27" i="108"/>
  <c r="F31" i="108"/>
  <c r="G28" i="108"/>
  <c r="G30" i="108"/>
  <c r="D31" i="108"/>
  <c r="E31" i="108"/>
  <c r="G31" i="108"/>
  <c r="E33" i="108"/>
  <c r="E34" i="108"/>
  <c r="E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F50" i="34"/>
  <c r="F42" i="34"/>
  <c r="D6103" i="106"/>
  <c r="B3647" i="106"/>
  <c r="D3647" i="106" s="1"/>
  <c r="K76" i="4"/>
  <c r="B3586" i="106" s="1"/>
  <c r="D3586" i="106" s="1"/>
  <c r="K184" i="29"/>
  <c r="F13" i="4" s="1"/>
  <c r="B2596" i="106" s="1"/>
  <c r="D2596" i="106" s="1"/>
  <c r="G210" i="29"/>
  <c r="E29" i="108"/>
  <c r="L13" i="11"/>
  <c r="B2060" i="106" s="1"/>
  <c r="D2060" i="106" s="1"/>
  <c r="F19" i="7"/>
  <c r="B1807" i="106" s="1"/>
  <c r="D1807" i="106" s="1"/>
  <c r="G29" i="108"/>
  <c r="D36" i="108"/>
  <c r="F36" i="108"/>
  <c r="G35"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65" i="106" l="1"/>
  <c r="D1365" i="106" s="1"/>
  <c r="F65" i="34"/>
  <c r="D41" i="108"/>
  <c r="E43" i="108" s="1"/>
  <c r="L16" i="11"/>
  <c r="B2061" i="106" s="1"/>
  <c r="D2061" i="106" s="1"/>
  <c r="F41" i="108"/>
  <c r="G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<sst xmlns="http://schemas.openxmlformats.org/spreadsheetml/2006/main" count="5067" uniqueCount="2095">
  <si>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</si>
  <si>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</si>
  <si>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</si>
  <si>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</si>
  <si>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</si>
  <si>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</si>
  <si>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</si>
  <si>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</si>
  <si>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</si>
  <si>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</si>
  <si>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</si>
  <si>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</si>
  <si>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</si>
  <si>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</si>
  <si>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</si>
  <si>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</si>
  <si>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</si>
  <si>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</si>
  <si>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</si>
  <si>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</si>
  <si>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</si>
  <si>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</si>
  <si>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</si>
  <si>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</si>
  <si>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</si>
  <si>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</si>
  <si>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</si>
  <si>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</si>
  <si>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</si>
  <si>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</si>
  <si>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</si>
  <si>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</si>
  <si>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</si>
  <si>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</si>
  <si>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</si>
  <si>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</si>
  <si>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</si>
  <si>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</si>
  <si>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</si>
  <si>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</si>
  <si>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</si>
  <si>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</si>
  <si>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</si>
  <si>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</si>
  <si>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</si>
  <si>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</si>
  <si>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</si>
  <si>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</si>
  <si>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</si>
  <si>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</si>
  <si>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</si>
  <si>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</si>
  <si>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</si>
  <si>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</si>
  <si>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</si>
  <si>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</si>
  <si>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</si>
  <si>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</si>
  <si>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</si>
  <si>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</si>
  <si>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</si>
  <si>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</si>
  <si>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</si>
  <si>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</si>
  <si>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</si>
  <si>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</si>
  <si>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</si>
  <si>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</si>
  <si>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</si>
  <si>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</si>
  <si>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</si>
  <si>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</si>
  <si>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</si>
  <si>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</si>
  <si>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</si>
  <si>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</si>
  <si>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</si>
  <si>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</si>
  <si>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</si>
  <si>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</si>
  <si>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</si>
  <si>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</si>
  <si>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</si>
  <si>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</si>
  <si>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</si>
  <si>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</si>
  <si>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</si>
  <si>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</si>
  <si>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</si>
  <si>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</si>
  <si>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</si>
  <si>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</si>
  <si>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</si>
  <si>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</si>
  <si>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</si>
  <si>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</si>
  <si>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</si>
  <si>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</si>
  <si>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</si>
  <si>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</si>
  <si>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</si>
  <si>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</si>
  <si>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</si>
  <si>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</si>
  <si>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</si>
  <si>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</si>
  <si>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</si>
  <si>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</si>
  <si>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</si>
  <si>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</si>
  <si>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</si>
  <si>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</si>
  <si>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</si>
  <si>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</si>
  <si>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</si>
  <si>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</si>
  <si>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</si>
  <si>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</si>
  <si>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</si>
  <si>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</si>
  <si>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</si>
  <si>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</si>
  <si>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</si>
  <si>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</si>
  <si>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</si>
  <si>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</si>
  <si>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</si>
  <si>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</si>
  <si>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</si>
  <si>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</si>
  <si>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</si>
  <si>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</si>
  <si>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</si>
  <si>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</si>
  <si>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</si>
  <si>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</si>
  <si>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</si>
  <si>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</si>
  <si>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</si>
  <si>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</si>
  <si>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</si>
  <si>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</si>
  <si>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</si>
  <si>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</si>
  <si>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</si>
  <si>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</si>
  <si>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</si>
  <si>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</si>
  <si>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</si>
  <si>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</si>
  <si>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</si>
  <si>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</si>
  <si>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</si>
  <si>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</si>
  <si>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</si>
  <si>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</si>
  <si>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</si>
  <si>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</si>
  <si>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</si>
  <si>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</si>
  <si>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</si>
  <si>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</si>
  <si>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</si>
  <si>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</si>
  <si>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</si>
  <si>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</si>
  <si>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</si>
  <si>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</si>
  <si>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</si>
  <si>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</si>
  <si>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</si>
  <si>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</si>
  <si>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</si>
  <si>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</si>
  <si>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</si>
  <si>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</si>
  <si>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</si>
  <si>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</si>
  <si>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</si>
  <si>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</si>
  <si>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</si>
  <si>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</si>
  <si>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</si>
  <si>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</si>
  <si>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</si>
  <si>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</si>
  <si>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</si>
  <si>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</si>
  <si>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</si>
  <si>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</si>
  <si>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</si>
  <si>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</si>
  <si>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</si>
  <si>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</si>
  <si>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</si>
  <si>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</si>
  <si>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</si>
  <si>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</si>
  <si>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</si>
  <si>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</si>
  <si>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</si>
  <si>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</si>
  <si>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</si>
  <si>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</si>
  <si>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</si>
  <si>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</si>
  <si>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</si>
  <si>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</si>
  <si>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</si>
  <si>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</si>
  <si>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</si>
  <si>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</si>
  <si>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</si>
  <si>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</si>
  <si>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</si>
  <si>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</si>
  <si>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</si>
  <si>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</si>
  <si>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</si>
  <si>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</si>
  <si>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</si>
  <si>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</si>
  <si>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</si>
  <si>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</si>
  <si>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</si>
  <si>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</si>
  <si>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</si>
  <si>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</si>
  <si>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</si>
  <si>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</si>
  <si>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</si>
  <si>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</si>
  <si>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</si>
  <si>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</si>
  <si>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</si>
  <si>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</si>
  <si>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</si>
  <si>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</si>
  <si>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</si>
  <si>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</si>
  <si>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</si>
  <si>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</si>
  <si>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</si>
  <si>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</si>
  <si>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</si>
  <si>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</si>
  <si>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</si>
  <si>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</si>
  <si>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</si>
  <si>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</si>
  <si>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</si>
  <si>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</si>
  <si>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</si>
  <si>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</si>
  <si>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</si>
  <si>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</si>
  <si>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</si>
  <si>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</si>
  <si>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</si>
  <si>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</si>
  <si>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</si>
  <si>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</si>
  <si>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</si>
  <si>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</si>
  <si>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</si>
  <si>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</si>
  <si>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</si>
  <si>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</si>
  <si>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</si>
  <si>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</si>
  <si>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</si>
  <si>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</si>
  <si>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</si>
  <si>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</si>
  <si>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</si>
  <si>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</si>
  <si>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</si>
  <si>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</si>
  <si>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</si>
  <si>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</si>
  <si>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</si>
  <si>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</si>
  <si>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</si>
  <si>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</si>
  <si>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</si>
  <si>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</si>
  <si>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</si>
  <si>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</si>
  <si>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</si>
  <si>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</si>
  <si>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</si>
  <si>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</si>
  <si>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</si>
  <si>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</si>
  <si>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</si>
  <si>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</si>
  <si>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</si>
  <si>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</si>
  <si>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</si>
  <si>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</si>
  <si>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</si>
  <si>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</si>
  <si>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</si>
  <si>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</si>
  <si>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</si>
  <si>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</si>
  <si>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</si>
  <si>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</si>
  <si>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</si>
  <si>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</si>
  <si>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</si>
  <si>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</si>
  <si>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</si>
  <si>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</si>
  <si>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</si>
  <si>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</si>
  <si>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</si>
  <si>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</si>
  <si>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</si>
  <si>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</si>
  <si>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</si>
  <si>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</si>
  <si>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</si>
  <si>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</si>
  <si>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</si>
  <si>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</si>
  <si>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</si>
  <si>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</si>
  <si>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</si>
  <si>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</si>
  <si>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</si>
  <si>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</si>
  <si>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</si>
  <si>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</si>
  <si>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</si>
  <si>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</si>
  <si>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</si>
  <si>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</si>
  <si>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</si>
  <si>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</si>
  <si>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</si>
  <si>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</si>
  <si>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</si>
  <si>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</si>
  <si>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</si>
  <si>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</si>
  <si>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</si>
  <si>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</si>
  <si>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</si>
  <si>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</si>
  <si>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</si>
  <si>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</si>
  <si>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</si>
  <si>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</si>
  <si>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</si>
  <si>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</si>
  <si>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</si>
  <si>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</si>
  <si>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</si>
  <si>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</si>
  <si>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</si>
  <si>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</si>
  <si>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</si>
  <si>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</si>
  <si>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</si>
  <si>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</si>
  <si>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</si>
  <si>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</si>
  <si>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</si>
  <si>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</si>
  <si>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</si>
  <si>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</si>
  <si>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</si>
  <si>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</si>
  <si>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</si>
  <si>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</si>
  <si>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</si>
  <si>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</si>
  <si>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</si>
  <si>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</si>
  <si>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</si>
  <si>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</si>
  <si>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</si>
  <si>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</si>
  <si>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</si>
  <si>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</si>
  <si>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</si>
  <si>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</si>
  <si>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</si>
  <si>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</si>
  <si>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</si>
  <si>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</si>
  <si>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</si>
  <si>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</si>
  <si>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</si>
  <si>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</si>
  <si>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</si>
  <si>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</si>
  <si>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</si>
  <si>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</si>
  <si>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</si>
  <si>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</si>
  <si>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</si>
  <si>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</si>
  <si>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</si>
  <si>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</si>
  <si>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</si>
  <si>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</si>
  <si>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</si>
  <si>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</si>
  <si>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</si>
  <si>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</si>
  <si>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</si>
  <si>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</si>
  <si>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</si>
  <si>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</si>
  <si>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</si>
  <si>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</si>
  <si>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</si>
  <si>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</si>
  <si>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</si>
  <si>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</si>
  <si>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</si>
  <si>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</si>
  <si>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</si>
  <si>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</si>
  <si>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</si>
  <si>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</si>
  <si>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</si>
  <si>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</si>
  <si>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</si>
  <si>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</si>
  <si>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</si>
  <si>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</si>
  <si>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</si>
  <si>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</si>
  <si>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</si>
  <si>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</si>
  <si>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</si>
  <si>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</si>
  <si>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</si>
  <si>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</si>
  <si>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</si>
  <si>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</si>
  <si>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</si>
  <si>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</si>
  <si>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</si>
  <si>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</si>
  <si>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</si>
  <si>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</si>
  <si>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</si>
  <si>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</si>
  <si>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</si>
  <si>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</si>
  <si>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</si>
  <si>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</si>
  <si>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</si>
  <si>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</si>
  <si>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</si>
  <si>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</si>
  <si>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</si>
  <si>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</si>
  <si>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</si>
  <si>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</si>
  <si>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</si>
  <si>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</si>
  <si>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</si>
  <si>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</si>
  <si>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</si>
  <si>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</si>
  <si>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</si>
  <si>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</si>
  <si>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</si>
  <si>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</si>
  <si>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</si>
  <si>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</si>
  <si>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</si>
  <si>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</si>
  <si>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</si>
  <si>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</si>
  <si>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</si>
  <si>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</si>
  <si>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</si>
  <si>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</si>
  <si>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</si>
  <si>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</si>
  <si>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</si>
  <si>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</si>
  <si>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</si>
  <si>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</si>
  <si>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</si>
  <si>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</si>
  <si>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</si>
  <si>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</si>
  <si>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</si>
  <si>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</si>
  <si>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</si>
  <si>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</si>
  <si>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</si>
  <si>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</si>
  <si>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</si>
  <si>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</si>
  <si>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</si>
  <si>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</si>
  <si>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</si>
  <si>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</si>
  <si>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</si>
  <si>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</si>
  <si>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</si>
  <si>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</si>
  <si>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</si>
  <si>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</si>
  <si>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</si>
  <si>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</si>
  <si>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</si>
  <si>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</si>
  <si>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</si>
  <si>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</si>
  <si>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</si>
  <si>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</si>
  <si>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</si>
  <si>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</si>
  <si>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</si>
  <si>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</si>
  <si>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</si>
  <si>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</si>
  <si>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</si>
  <si>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</si>
  <si>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</si>
  <si>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</si>
  <si>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</si>
  <si>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</si>
  <si>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</si>
  <si>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</si>
  <si>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</si>
  <si>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</si>
  <si>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</si>
  <si>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</si>
  <si>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</si>
  <si>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</si>
  <si>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</si>
  <si>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</si>
  <si>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</si>
  <si>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</si>
  <si>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</si>
  <si>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</si>
  <si>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</si>
  <si>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</si>
  <si>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</si>
  <si>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</si>
  <si>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</si>
  <si>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</si>
  <si>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</si>
  <si>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</si>
  <si>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</si>
  <si>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</si>
  <si>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</si>
  <si>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</si>
  <si>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</si>
  <si>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</si>
  <si>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</si>
  <si>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</si>
  <si>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</si>
  <si>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</si>
  <si>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</si>
  <si>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</si>
  <si>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</si>
  <si>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</si>
  <si>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</si>
  <si>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</si>
  <si>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</si>
  <si>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</si>
  <si>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</si>
  <si>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</si>
  <si>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</si>
  <si>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</si>
  <si>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</si>
  <si>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</si>
  <si>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</si>
  <si>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</si>
  <si>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</si>
  <si>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</si>
  <si>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</si>
  <si>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</si>
  <si>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</si>
  <si>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</si>
  <si>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</si>
  <si>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</si>
  <si>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</si>
  <si>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</si>
  <si>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</si>
  <si>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</si>
  <si>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</si>
  <si>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</si>
  <si>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</si>
  <si>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</si>
  <si>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</si>
  <si>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</si>
  <si>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</si>
  <si>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</si>
  <si>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</si>
  <si>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</si>
  <si>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</si>
  <si>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</si>
  <si>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</si>
  <si>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</si>
  <si>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</si>
  <si>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</si>
  <si>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</si>
  <si>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</si>
  <si>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</si>
  <si>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</si>
  <si>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</si>
  <si>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</si>
  <si>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</si>
  <si>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</si>
  <si>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</si>
  <si>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</si>
  <si>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</si>
  <si>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</si>
  <si>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</si>
  <si>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</si>
  <si>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</si>
  <si>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</si>
  <si>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</si>
  <si>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</si>
  <si>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</si>
  <si>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</si>
  <si>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</si>
  <si>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</si>
  <si>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</si>
  <si>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</si>
  <si>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</si>
  <si>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</si>
  <si>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</si>
  <si>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</si>
  <si>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</si>
  <si>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</si>
  <si>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</si>
  <si>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</si>
  <si>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</si>
  <si>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</si>
  <si>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</si>
  <si>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</si>
  <si>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</si>
  <si>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</si>
  <si>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</si>
  <si>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</si>
  <si>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</si>
  <si>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</si>
  <si>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</si>
  <si>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</si>
  <si>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</si>
  <si>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</si>
  <si>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</si>
  <si>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</si>
  <si>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</si>
  <si>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</si>
  <si>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</si>
  <si>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</si>
  <si>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</si>
  <si>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</si>
  <si>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</si>
  <si>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</si>
  <si>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</si>
  <si>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</si>
  <si>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</si>
  <si>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</si>
  <si>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</si>
  <si>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</si>
  <si>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</si>
  <si>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</si>
  <si>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</si>
  <si>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</si>
  <si>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</si>
  <si>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</si>
  <si>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</si>
  <si>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</si>
  <si>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</si>
  <si>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</si>
  <si>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</si>
  <si>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</si>
  <si>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</si>
  <si>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</si>
  <si>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</si>
  <si>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</si>
  <si>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</si>
  <si>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</si>
  <si>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</si>
  <si>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</si>
  <si>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</si>
  <si>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</si>
  <si>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</si>
  <si>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</si>
  <si>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</si>
  <si>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</si>
  <si>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</si>
  <si>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</si>
  <si>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</si>
  <si>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</si>
  <si>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</si>
  <si>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</si>
  <si>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</si>
  <si>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</si>
  <si>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</si>
  <si>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</si>
  <si>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</si>
  <si>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</si>
  <si>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</si>
  <si>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</si>
  <si>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</si>
  <si>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</si>
  <si>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</si>
  <si>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</si>
  <si>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</si>
  <si>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</si>
  <si>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</si>
  <si>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</si>
  <si>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</si>
  <si>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</si>
  <si>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</si>
  <si>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</si>
  <si>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</si>
  <si>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</si>
  <si>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</si>
  <si>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</si>
  <si>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</si>
  <si>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</si>
  <si>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</si>
  <si>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</si>
  <si>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</si>
  <si>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</si>
  <si>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</si>
  <si>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</si>
  <si>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</si>
  <si>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</si>
  <si>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</si>
  <si>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</si>
  <si>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</si>
  <si>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</si>
  <si>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</si>
  <si>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</si>
  <si>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</si>
  <si>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</si>
  <si>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</si>
  <si>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</si>
  <si>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</si>
  <si>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</si>
  <si>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</si>
  <si>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</si>
  <si>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</si>
  <si>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</si>
  <si>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</si>
  <si>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</si>
  <si>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</si>
  <si>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</si>
  <si>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</si>
  <si>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</si>
  <si>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</si>
  <si>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</si>
  <si>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</si>
  <si>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</si>
  <si>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</si>
  <si>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</si>
  <si>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</si>
  <si>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</si>
  <si>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</si>
  <si>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</si>
  <si>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</si>
  <si>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</si>
  <si>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</si>
  <si>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</si>
  <si>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</si>
  <si>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</si>
  <si>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</si>
  <si>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</si>
  <si>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</si>
  <si>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</si>
  <si>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</si>
  <si>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</si>
  <si>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</si>
  <si>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</si>
  <si>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</si>
  <si>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</si>
  <si>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</si>
  <si>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</si>
  <si>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</si>
  <si>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</si>
  <si>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</si>
  <si>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</si>
  <si>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</si>
  <si>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</si>
  <si>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</si>
  <si>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</si>
  <si>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</si>
  <si>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</si>
  <si>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</si>
  <si>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</si>
  <si>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</si>
  <si>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</si>
  <si>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</si>
  <si>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</si>
  <si>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</si>
  <si>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</si>
  <si>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</si>
  <si>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</si>
  <si>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</si>
  <si>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</si>
  <si>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</si>
  <si>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</si>
  <si>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</si>
  <si>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</si>
  <si>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</si>
  <si>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</si>
  <si>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</si>
  <si>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</si>
  <si>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</si>
  <si>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</si>
  <si>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</si>
  <si>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</si>
  <si>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</si>
  <si>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</si>
  <si>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</si>
  <si>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</si>
  <si>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</si>
  <si>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</si>
  <si>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</si>
  <si>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</si>
  <si>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</si>
  <si>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</si>
  <si>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</si>
  <si>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</si>
  <si>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</si>
  <si>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</si>
  <si>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</si>
  <si>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</si>
  <si>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</si>
  <si>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</si>
  <si>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</si>
  <si>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</si>
  <si>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</si>
  <si>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</si>
  <si>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</si>
  <si>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</si>
  <si>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</si>
  <si>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</si>
  <si>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</si>
  <si>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</si>
  <si>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</si>
  <si>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</si>
  <si>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</si>
  <si>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</si>
  <si>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</si>
  <si>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</si>
  <si>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</si>
  <si>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</si>
  <si>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</si>
  <si>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</si>
  <si>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</si>
  <si>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</si>
  <si>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</si>
  <si>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</si>
  <si>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</si>
  <si>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</si>
  <si>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</si>
  <si>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</si>
  <si>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</si>
  <si>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</si>
  <si>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</si>
  <si>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</si>
  <si>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</si>
  <si>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</si>
  <si>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</si>
  <si>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</si>
  <si>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</si>
  <si>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</si>
  <si>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</si>
  <si>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</si>
  <si>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</si>
  <si>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</si>
  <si>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</si>
  <si>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</si>
  <si>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</si>
  <si>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</si>
  <si>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</si>
  <si>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</si>
  <si>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</si>
  <si>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</si>
  <si>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</si>
  <si>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</si>
  <si>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</si>
  <si>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</si>
  <si>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</si>
  <si>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</si>
  <si>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</si>
  <si>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</si>
  <si>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</si>
  <si>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</si>
  <si>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</si>
  <si>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</si>
  <si>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</si>
  <si>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</si>
  <si>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</si>
  <si>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</si>
  <si>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</si>
  <si>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</si>
  <si>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</si>
  <si>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</si>
  <si>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</si>
  <si>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</si>
  <si>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</si>
  <si>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</si>
  <si>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</si>
  <si>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</si>
  <si>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</si>
  <si>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</si>
  <si>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</si>
  <si>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</si>
  <si>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</si>
  <si>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</si>
  <si>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</si>
  <si>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</si>
  <si>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</si>
  <si>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</si>
  <si>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</si>
  <si>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</si>
  <si>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</si>
  <si>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</si>
  <si>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</si>
  <si>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</si>
  <si>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</si>
  <si>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</si>
  <si>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</si>
  <si>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</si>
  <si>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</si>
  <si>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</si>
  <si>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</si>
  <si>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</si>
  <si>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</si>
  <si>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</si>
  <si>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</si>
  <si>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</si>
  <si>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</si>
  <si>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</si>
  <si>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</si>
  <si>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</si>
  <si>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</si>
  <si>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</si>
  <si>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</si>
  <si>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</si>
  <si>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</si>
  <si>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</si>
  <si>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</si>
  <si>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</si>
  <si>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</si>
  <si>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</si>
  <si>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</si>
  <si>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</si>
  <si>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</si>
  <si>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</si>
  <si>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</si>
  <si>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</si>
  <si>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</si>
  <si>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</si>
  <si>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</si>
  <si>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</si>
  <si>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</si>
  <si>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</si>
  <si>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</si>
  <si>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</si>
  <si>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</si>
  <si>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</si>
  <si>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</si>
  <si>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</si>
  <si>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</si>
  <si>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</si>
  <si>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</si>
  <si>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</si>
  <si>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</si>
  <si>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</si>
  <si>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</si>
  <si>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</si>
  <si>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</si>
  <si>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</si>
  <si>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</si>
  <si>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</si>
  <si>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</si>
  <si>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</si>
  <si>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</si>
  <si>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</si>
  <si>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</si>
  <si>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</si>
  <si>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</si>
  <si>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</si>
  <si>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</si>
  <si>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</si>
  <si>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</si>
  <si>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</si>
  <si>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</si>
  <si>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</si>
  <si>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</si>
  <si>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</si>
  <si>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</si>
  <si>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</si>
  <si>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</si>
  <si>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</si>
  <si>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</si>
  <si>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</si>
  <si>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</si>
  <si>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</si>
  <si>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</si>
  <si>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</si>
  <si>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</si>
  <si>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</si>
  <si>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</si>
  <si>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</si>
  <si>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</si>
  <si>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</si>
  <si>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</si>
  <si>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</si>
  <si>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</si>
  <si>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</si>
  <si>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</si>
  <si>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</si>
  <si>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</si>
  <si>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</si>
  <si>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</si>
  <si>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</si>
  <si>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</si>
  <si>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</si>
  <si>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</si>
  <si>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</si>
  <si>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</si>
  <si>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</si>
  <si>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</si>
  <si>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</si>
  <si>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</si>
  <si>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</si>
  <si>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</si>
  <si>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</si>
  <si>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</si>
  <si>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</si>
  <si>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</si>
  <si>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</si>
  <si>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</si>
  <si>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</si>
  <si>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</si>
  <si>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</si>
  <si>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</si>
  <si>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</si>
  <si>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</si>
  <si>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</si>
  <si>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</si>
  <si>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</si>
  <si>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</si>
  <si>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</si>
  <si>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</si>
  <si>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</si>
  <si>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</si>
  <si>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</si>
  <si>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</si>
  <si>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</si>
  <si>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</si>
  <si>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</si>
  <si>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</si>
  <si>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</si>
  <si>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</si>
  <si>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</si>
  <si>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</si>
  <si>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</si>
  <si>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</si>
  <si>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</si>
  <si>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</si>
  <si>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</si>
  <si>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</si>
  <si>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</si>
  <si>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</si>
  <si>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</si>
  <si>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</si>
  <si>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</si>
  <si>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</si>
  <si>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</si>
  <si>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</si>
  <si>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</si>
  <si>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</si>
  <si>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</si>
  <si>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</si>
  <si>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</si>
  <si>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</si>
  <si>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</si>
  <si>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</si>
  <si>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</si>
  <si>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</si>
  <si>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</si>
  <si>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</si>
  <si>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</si>
  <si>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</si>
  <si>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</si>
  <si>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</si>
  <si>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</si>
  <si>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</si>
  <si>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</si>
  <si>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</si>
  <si>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</si>
  <si>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</si>
  <si>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</si>
  <si>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</si>
  <si>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</si>
  <si>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</si>
  <si>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</si>
  <si>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</si>
  <si>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</si>
  <si>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</si>
  <si>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</si>
  <si>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</si>
  <si>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</si>
  <si>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</si>
  <si>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</si>
  <si>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</si>
  <si>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</si>
  <si>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</si>
  <si>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</si>
  <si>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</si>
  <si>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</si>
  <si>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</si>
  <si>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</si>
  <si>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</si>
  <si>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</si>
  <si>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</si>
  <si>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</si>
  <si>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</si>
  <si>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</si>
  <si>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</si>
  <si>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</si>
  <si>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</si>
  <si>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</si>
  <si>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</si>
  <si>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</si>
  <si>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</si>
  <si>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</si>
  <si>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</si>
  <si>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</si>
  <si>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</si>
  <si>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</si>
  <si>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</si>
  <si>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</si>
  <si>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</si>
  <si>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</si>
  <si>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</si>
  <si>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</si>
  <si>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</si>
  <si>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</si>
  <si>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</si>
  <si>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</si>
  <si>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</si>
  <si>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</si>
  <si>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</si>
  <si>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</si>
  <si>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</si>
  <si>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</si>
  <si>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</si>
  <si>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</si>
  <si>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</si>
  <si>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</si>
  <si>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</si>
  <si>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</si>
  <si>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</si>
  <si>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</si>
  <si>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</si>
  <si>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</si>
  <si>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</si>
  <si>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</si>
  <si>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</si>
  <si>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</si>
  <si>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</si>
  <si>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</si>
  <si>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</si>
  <si>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</si>
  <si>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</si>
  <si>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</si>
  <si>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</si>
  <si>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</si>
  <si>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</si>
  <si>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</si>
  <si>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</si>
  <si>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</si>
  <si>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</si>
  <si>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</si>
  <si>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</si>
  <si>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</si>
  <si>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</si>
  <si>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</si>
  <si>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</si>
  <si>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</si>
  <si>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</si>
  <si>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</si>
  <si>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</si>
  <si>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</si>
  <si>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</si>
  <si>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</si>
  <si>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</si>
  <si>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</si>
  <si>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</si>
  <si>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</si>
  <si>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</si>
  <si>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</si>
  <si>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</si>
  <si>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</si>
  <si>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</si>
  <si>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</si>
  <si>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</si>
  <si>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</si>
  <si>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</si>
  <si>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</si>
  <si>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</si>
  <si>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</si>
  <si>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</si>
  <si>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</si>
  <si>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</si>
  <si>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</si>
  <si>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</si>
  <si>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</si>
  <si>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</si>
  <si>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</si>
  <si>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</si>
  <si>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</si>
  <si>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</si>
  <si>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</si>
  <si>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</si>
  <si>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</si>
  <si>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</si>
  <si>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</si>
  <si>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</si>
  <si>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</si>
  <si>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</si>
  <si>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</si>
  <si>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</si>
  <si>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</si>
  <si>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</si>
  <si>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</si>
  <si>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</si>
  <si>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</si>
  <si>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</si>
  <si>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</si>
  <si>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</si>
  <si>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</si>
  <si>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</si>
  <si>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</si>
  <si>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</si>
  <si>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</si>
  <si>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</si>
  <si>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</si>
  <si>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</si>
  <si>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</si>
  <si>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</si>
  <si>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</si>
  <si>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</si>
  <si>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</si>
  <si>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</si>
  <si>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</si>
  <si>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</si>
  <si>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</si>
  <si>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</si>
  <si>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</si>
  <si>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</si>
  <si>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</si>
  <si>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</si>
  <si>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</si>
  <si>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</si>
  <si>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</si>
  <si>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</si>
  <si>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</si>
  <si>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</si>
  <si>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</si>
  <si>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</si>
  <si>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</si>
  <si>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</si>
  <si>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</si>
  <si>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</si>
  <si>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</si>
  <si>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</si>
  <si>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</si>
  <si>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</si>
  <si>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</si>
  <si>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</si>
  <si>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</si>
  <si>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</si>
  <si>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</si>
  <si>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</si>
  <si>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</si>
  <si>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</si>
  <si>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</si>
  <si>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</si>
  <si>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</si>
  <si>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</si>
  <si>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</si>
  <si>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</si>
  <si>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</si>
  <si>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</si>
  <si>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</si>
  <si>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</si>
  <si>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</si>
  <si>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</si>
  <si>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</si>
  <si>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</si>
  <si>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</si>
  <si>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</si>
  <si>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</si>
  <si>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</si>
  <si>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</si>
  <si>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</si>
  <si>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</si>
  <si>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</si>
  <si>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</si>
  <si>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</si>
  <si>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</si>
  <si>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</si>
  <si>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</si>
  <si>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</si>
  <si>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</si>
  <si>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</si>
  <si>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</si>
  <si>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</si>
  <si>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</si>
  <si>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</si>
  <si>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</si>
  <si>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</si>
  <si>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</si>
  <si>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</si>
  <si>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</si>
  <si>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</si>
  <si>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</si>
  <si>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</si>
  <si>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</si>
  <si>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</si>
  <si>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</si>
  <si>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</si>
  <si>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</si>
  <si>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</si>
  <si>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</si>
  <si>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</si>
  <si>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</si>
  <si>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</si>
  <si>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</si>
  <si>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</si>
  <si>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</si>
  <si>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</si>
  <si>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</si>
  <si>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</si>
  <si>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</si>
  <si>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</si>
  <si>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</si>
  <si>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</si>
  <si>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</si>
  <si>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</si>
  <si>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</si>
  <si>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</si>
  <si>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</si>
  <si>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</si>
  <si>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</si>
  <si>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</si>
  <si>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</si>
  <si>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</si>
  <si>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</si>
  <si>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</si>
  <si>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</si>
  <si>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</si>
  <si>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</si>
  <si>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</si>
  <si>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</si>
  <si>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</si>
  <si>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</si>
  <si>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</si>
  <si>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</si>
  <si>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</si>
  <si>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</si>
  <si>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</si>
  <si>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</si>
  <si>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</si>
  <si>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</si>
  <si>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</si>
  <si>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</si>
  <si>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</si>
  <si>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</si>
  <si>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</si>
  <si>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</si>
  <si>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</si>
  <si>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</si>
  <si>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</si>
  <si>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</si>
  <si>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</si>
  <si>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</si>
  <si>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</si>
  <si>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</si>
  <si>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</si>
  <si>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</si>
  <si>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</si>
  <si>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</si>
  <si>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</si>
  <si>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</si>
  <si>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</si>
  <si>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</si>
  <si>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</si>
  <si>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</si>
  <si>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</si>
  <si>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</si>
  <si>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</si>
  <si>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</si>
  <si>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</si>
  <si>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</si>
  <si>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</si>
  <si>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</si>
  <si>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</si>
  <si>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</si>
  <si>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</si>
  <si>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</si>
  <si>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</si>
  <si>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</si>
  <si>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</si>
  <si>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</si>
  <si>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</si>
  <si>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</si>
  <si>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</si>
  <si>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</si>
  <si>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</si>
  <si>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</si>
  <si>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</si>
  <si>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</si>
  <si>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</si>
  <si>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</si>
  <si>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</si>
  <si>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</si>
  <si>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</si>
  <si>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</si>
  <si>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</si>
  <si>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</si>
  <si>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</si>
  <si>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</si>
  <si>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</si>
  <si>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</si>
  <si>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</si>
  <si>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</si>
  <si>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</si>
  <si>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</si>
  <si>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</si>
  <si>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</si>
  <si>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</si>
  <si>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</si>
  <si>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</si>
  <si>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</si>
  <si>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</si>
  <si>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</si>
  <si>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</si>
  <si>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</si>
  <si>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</si>
  <si>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</si>
  <si>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</si>
  <si>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</si>
  <si>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</si>
  <si>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</si>
  <si>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</si>
  <si>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</si>
  <si>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</si>
  <si>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</si>
  <si>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</si>
  <si>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</si>
  <si>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</si>
  <si>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</si>
  <si>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</si>
  <si>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</si>
  <si>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</si>
  <si>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</si>
  <si>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</si>
  <si>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</si>
  <si>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</si>
  <si>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</si>
  <si>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</si>
  <si>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</si>
  <si>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</si>
  <si>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</si>
  <si>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</si>
  <si>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</si>
  <si>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</si>
  <si>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</si>
  <si>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</si>
  <si>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</si>
  <si>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</si>
  <si>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</si>
  <si>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</si>
  <si>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</si>
  <si>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</si>
  <si>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</si>
  <si>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</si>
  <si>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</si>
  <si>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</si>
  <si>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</si>
  <si>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</si>
  <si>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</si>
  <si>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</si>
  <si>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</si>
  <si>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</si>
  <si>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</si>
  <si>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</si>
  <si>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</si>
  <si>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</si>
  <si>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</si>
  <si>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</si>
  <si>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</si>
  <si>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</si>
  <si>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</si>
  <si>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</si>
  <si>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</si>
  <si>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</si>
  <si>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</si>
  <si>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</si>
  <si>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</si>
  <si>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</si>
  <si>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</si>
  <si>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</si>
  <si>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</si>
  <si>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</si>
  <si>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</si>
  <si>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</si>
  <si>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</si>
  <si>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</si>
  <si>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</si>
  <si>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</si>
  <si>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</si>
  <si>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</si>
  <si>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</si>
  <si>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</si>
  <si>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</si>
  <si>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</si>
  <si>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</si>
  <si>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</si>
  <si>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</si>
  <si>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</si>
  <si>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</si>
  <si>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</si>
  <si>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</si>
  <si>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</si>
  <si>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</si>
  <si>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</si>
  <si>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</si>
  <si>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</si>
  <si>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</si>
  <si>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</si>
  <si>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</si>
  <si>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</si>
  <si>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</si>
  <si>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</si>
  <si>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</si>
  <si>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</si>
  <si>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</si>
  <si>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</si>
  <si>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</si>
  <si>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</si>
  <si>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</si>
  <si>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</si>
  <si>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</si>
  <si>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</si>
  <si>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</si>
  <si>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</si>
  <si>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</si>
  <si>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</si>
  <si>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</si>
  <si>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</si>
  <si>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</si>
  <si>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</si>
  <si>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</si>
  <si>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</si>
  <si>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</si>
  <si>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</si>
  <si>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</si>
  <si>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</si>
  <si>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</si>
  <si>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</si>
  <si>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</si>
  <si>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</si>
  <si>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</si>
  <si>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</si>
  <si>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</si>
  <si>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</si>
  <si>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</si>
  <si>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</si>
  <si>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</si>
  <si>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</si>
  <si>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</si>
  <si>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</si>
  <si>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</si>
  <si>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</si>
  <si>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</si>
  <si>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</si>
  <si>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</si>
  <si>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</si>
  <si>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</si>
  <si>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</si>
  <si>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</si>
  <si>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</si>
  <si>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</si>
  <si>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</si>
  <si>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</si>
  <si>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</si>
  <si>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</si>
  <si>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</si>
  <si>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</si>
  <si>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</si>
  <si>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</si>
  <si>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</si>
  <si>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</si>
  <si>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</si>
  <si>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</si>
  <si>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</si>
  <si>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</si>
  <si>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</si>
  <si>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</si>
  <si>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</si>
  <si>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</si>
  <si>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</si>
  <si>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</si>
  <si>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</si>
  <si>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</si>
  <si>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</si>
  <si>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</si>
  <si>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</si>
  <si>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</si>
  <si>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</si>
  <si>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</si>
  <si>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</si>
  <si>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</si>
  <si>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</si>
  <si>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</si>
  <si>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</si>
  <si>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</si>
  <si>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</si>
  <si>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</si>
  <si>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</si>
  <si>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</si>
  <si>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</si>
  <si>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</si>
  <si>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</si>
  <si>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</si>
  <si>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</si>
  <si>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</si>
  <si>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</si>
  <si>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</si>
  <si>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</si>
  <si>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</si>
  <si>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</si>
  <si>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</si>
  <si>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</si>
  <si>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</si>
  <si>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</si>
  <si>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</si>
  <si>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</si>
  <si>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</si>
  <si>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</si>
  <si>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</si>
  <si>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</si>
  <si>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</si>
  <si>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</si>
  <si>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</si>
  <si>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</si>
  <si>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</si>
  <si>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</si>
  <si>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</si>
  <si>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</si>
  <si>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</si>
  <si>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</si>
  <si>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</si>
  <si>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</si>
  <si>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</si>
  <si>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</si>
  <si>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</si>
  <si>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</si>
  <si>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</si>
  <si>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</si>
  <si>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</si>
  <si>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</si>
  <si>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</si>
  <si>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</si>
  <si>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</si>
  <si>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</si>
  <si>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</si>
  <si>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</si>
  <si>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</si>
  <si>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</si>
  <si>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</si>
  <si>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</si>
  <si>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</si>
  <si>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</si>
  <si>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</si>
  <si>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</si>
  <si>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</si>
  <si>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</si>
  <si>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</si>
  <si>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</si>
  <si>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</si>
  <si>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</si>
  <si>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</si>
  <si>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</si>
  <si>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</si>
  <si>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</si>
  <si>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</si>
  <si>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</si>
  <si>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</si>
  <si>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</si>
  <si>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</si>
  <si>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</si>
  <si>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</si>
  <si>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</si>
  <si>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</si>
  <si>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</si>
  <si>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</si>
  <si>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</si>
  <si>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</si>
  <si>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</si>
  <si>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</si>
  <si>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</si>
  <si>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</si>
  <si>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</si>
  <si>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</si>
  <si>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</si>
  <si>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</si>
  <si>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</si>
  <si>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</si>
  <si>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</si>
  <si>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</si>
  <si>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</si>
  <si>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</si>
  <si>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</si>
  <si>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</si>
  <si>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</si>
  <si>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</si>
  <si>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</si>
  <si>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</si>
  <si>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</si>
  <si>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</si>
  <si>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</si>
  <si>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</si>
  <si>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</si>
  <si>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</si>
  <si>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</si>
  <si>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</si>
  <si>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</si>
  <si>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</si>
  <si>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</si>
  <si>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</si>
  <si>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</si>
  <si>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</si>
  <si>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</si>
  <si>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</si>
  <si>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</si>
  <si>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</si>
  <si>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</si>
  <si>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</si>
  <si>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</si>
  <si>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</si>
  <si>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</si>
  <si>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</si>
  <si>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</si>
  <si>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</si>
  <si>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</si>
  <si>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</si>
  <si>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</si>
  <si>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</si>
  <si>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</si>
  <si>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</si>
  <si>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</si>
  <si>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</si>
  <si>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</si>
  <si>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</si>
  <si>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</si>
  <si>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</si>
  <si>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</si>
  <si>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</si>
  <si>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</si>
  <si>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</si>
  <si>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</si>
  <si>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</si>
  <si>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</si>
  <si>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</si>
  <si>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</si>
  <si>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</si>
  <si>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</si>
  <si>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</si>
  <si>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</si>
  <si>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</si>
  <si>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</si>
  <si>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</si>
  <si>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</si>
  <si>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</si>
  <si>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</si>
  <si>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</si>
  <si>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</si>
  <si>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</si>
  <si>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</si>
  <si>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</si>
  <si>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</si>
  <si>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</si>
  <si>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</si>
  <si>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</si>
  <si>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</si>
  <si>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</si>
  <si>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</si>
  <si>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</si>
  <si>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</si>
  <si>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</si>
  <si>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</si>
  <si>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</si>
  <si>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</si>
  <si>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</si>
  <si>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</si>
  <si>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</si>
  <si>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</si>
  <si>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</si>
  <si>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</si>
  <si>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</si>
  <si>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</si>
  <si>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</si>
  <si>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</si>
  <si>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</si>
  <si>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</si>
  <si>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</si>
  <si>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</si>
  <si>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</si>
  <si>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</si>
  <si>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</si>
  <si>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</si>
  <si>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</si>
  <si>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</si>
  <si>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</si>
  <si>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</si>
  <si>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</si>
  <si>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</si>
  <si>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</si>
  <si>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</si>
  <si>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</si>
  <si>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</si>
  <si>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</si>
  <si>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</si>
  <si>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</si>
  <si>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</si>
  <si>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</si>
  <si>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</si>
  <si>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</si>
  <si>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</si>
  <si>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</si>
  <si>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</si>
  <si>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</si>
  <si>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</si>
  <si>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</si>
  <si>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</si>
  <si>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</si>
  <si>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</si>
  <si>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</si>
  <si>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</si>
  <si>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</si>
  <si>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</si>
  <si>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</si>
  <si>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</si>
  <si>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</si>
  <si>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</si>
  <si>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</si>
  <si>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</si>
  <si>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</si>
  <si>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</si>
  <si>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</si>
  <si>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</si>
  <si>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</si>
  <si>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</si>
  <si>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</si>
  <si>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</si>
  <si>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</si>
  <si>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</si>
  <si>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</si>
  <si>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</si>
  <si>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</si>
  <si>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</si>
  <si>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</si>
  <si>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</si>
  <si>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</si>
  <si>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</si>
  <si>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</si>
  <si>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</si>
  <si>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</si>
  <si>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</si>
  <si>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</si>
  <si>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</si>
  <si>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</si>
  <si>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</si>
  <si>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</si>
  <si>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</si>
  <si>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</si>
  <si>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</si>
  <si>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</si>
  <si>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</si>
  <si>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</si>
  <si>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</si>
  <si>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</si>
  <si>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</si>
  <si>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</si>
  <si>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</si>
  <si>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</si>
  <si>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</si>
  <si>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</si>
  <si>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</si>
  <si>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</si>
  <si>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</si>
  <si>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</si>
  <si>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</si>
  <si>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</si>
  <si>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</si>
  <si>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</si>
  <si>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</si>
  <si>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</si>
  <si>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</si>
  <si>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</si>
  <si>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</si>
  <si>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</si>
  <si>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</si>
  <si>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</si>
  <si>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</si>
  <si>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</si>
  <si>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</si>
  <si>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</si>
  <si>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</si>
  <si>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</si>
  <si>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</si>
  <si>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</si>
  <si>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</si>
  <si>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</si>
  <si>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</si>
  <si>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</si>
  <si>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</si>
  <si>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</si>
  <si>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</si>
  <si>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</si>
  <si>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</si>
  <si>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</si>
  <si>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</si>
  <si>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</si>
  <si>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</si>
  <si>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</si>
  <si>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</si>
  <si>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</si>
  <si>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</si>
  <si>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</si>
  <si>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</si>
  <si>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</si>
  <si>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</si>
  <si>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</si>
  <si>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</si>
  <si>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</si>
  <si>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</si>
  <si>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</si>
  <si>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</si>
  <si>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</si>
  <si>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</si>
  <si>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</si>
  <si>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</si>
  <si>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</si>
  <si>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</si>
  <si>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</si>
  <si>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</si>
  <si>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</si>
  <si>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</si>
  <si>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</si>
  <si>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</si>
  <si>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</si>
  <si>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</si>
  <si>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</si>
  <si>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</si>
  <si>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</si>
  <si>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</si>
  <si>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</si>
  <si>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</si>
  <si>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</si>
  <si>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</si>
  <si>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</si>
  <si>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</si>
  <si>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</si>
  <si>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</si>
  <si>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</si>
  <si>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</si>
  <si>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</si>
  <si>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</si>
  <si>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</si>
  <si>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</si>
  <si>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</si>
  <si>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</si>
  <si>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</si>
  <si>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</si>
  <si>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</si>
  <si>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</si>
  <si>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</si>
  <si>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</si>
  <si>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</si>
  <si>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</si>
  <si>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</si>
  <si>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</si>
  <si>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</si>
  <si>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</si>
  <si>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</si>
  <si>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</si>
  <si>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</si>
  <si>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</si>
  <si>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</si>
  <si>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</si>
  <si>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</si>
  <si>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</si>
  <si>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</si>
  <si>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</si>
  <si>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</si>
  <si>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</si>
  <si>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</si>
  <si>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</si>
  <si>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</si>
  <si>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</si>
  <si>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</si>
  <si>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</si>
  <si>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</si>
  <si>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</si>
  <si>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</si>
  <si>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</si>
  <si>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</si>
  <si>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</si>
  <si>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</si>
  <si>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</si>
  <si>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</si>
  <si>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</si>
  <si>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</si>
  <si>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</si>
  <si>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</si>
  <si>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</si>
  <si>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</si>
  <si>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</si>
  <si>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</si>
  <si>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</si>
  <si>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</si>
  <si>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</si>
  <si>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</si>
  <si>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</si>
  <si>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</si>
  <si>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</si>
  <si>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</si>
  <si>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</si>
  <si>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</si>
  <si>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</si>
  <si>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</si>
  <si>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</si>
  <si>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</si>
  <si>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</si>
  <si>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</si>
  <si>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</si>
  <si>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</si>
  <si>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</si>
  <si>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</si>
  <si>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</si>
  <si>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</si>
  <si>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</si>
  <si>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</si>
  <si>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</si>
  <si>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</si>
  <si>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</si>
  <si>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</si>
  <si>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Kankakee</t>
  </si>
  <si>
    <t>St. George CCSD 258</t>
  </si>
  <si>
    <t>5200 E Center</t>
  </si>
  <si>
    <t>Bourbonnais</t>
  </si>
  <si>
    <t>Dr. Helen Boehrnsen</t>
  </si>
  <si>
    <t>815-802-3102</t>
  </si>
  <si>
    <t>Burke, Montague &amp; Associates, LLC</t>
  </si>
  <si>
    <t>Ray Raymond</t>
  </si>
  <si>
    <t>263 W. Broadway</t>
  </si>
  <si>
    <t>Bradley</t>
  </si>
  <si>
    <t>IL</t>
  </si>
  <si>
    <t>815-933-5641</t>
  </si>
  <si>
    <t>815-939-0016</t>
  </si>
  <si>
    <t>066-003660</t>
  </si>
  <si>
    <t>rraymond@mybmacpa.com</t>
  </si>
  <si>
    <t>WCF Bonds</t>
  </si>
  <si>
    <t>Refunding Bonds</t>
  </si>
  <si>
    <t>Debt Service Certificates</t>
  </si>
  <si>
    <t>IKAN ROE</t>
  </si>
  <si>
    <t>Kankakee County Sp Ed</t>
  </si>
  <si>
    <t>InHouse CIO</t>
  </si>
  <si>
    <t>10-2660-300</t>
  </si>
  <si>
    <t>ED-Support Services-Central</t>
  </si>
  <si>
    <t>O&amp;M-Operation &amp; Maint. Of Plant Services</t>
  </si>
  <si>
    <t>20-2540-300</t>
  </si>
  <si>
    <t>Oosterbann &amp; Sons</t>
  </si>
  <si>
    <t>Trans-Pupil Transportation Serv.-</t>
  </si>
  <si>
    <t>40-2550-300</t>
  </si>
  <si>
    <t>Santander Leasing,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</si>
</sst>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2</xdr:row>
          <xdr:rowOff>8660</xdr:rowOff>
        </xdr:from>
        <xdr:to>
          <xdr:col>1</xdr:col>
          <xdr:colOff>1196686</xdr:colOff>
          <xdr:row>6</xdr:row>
          <xdr:rowOff>132485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7D91AB1-1AAA-444C-BE13-22FDABD69A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2065</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2065</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32046258004</v>
      </c>
      <c r="B13" s="2021"/>
      <c r="C13" s="2021"/>
      <c r="D13" s="2021"/>
      <c r="E13" s="2021"/>
      <c r="F13" s="2021"/>
      <c r="G13" s="2021"/>
      <c r="H13" s="2022"/>
      <c r="I13" s="31"/>
      <c r="J13" s="30"/>
      <c r="K13" s="28"/>
      <c r="L13" s="30"/>
      <c r="M13" s="30"/>
      <c r="N13" s="30"/>
      <c r="O13" s="30"/>
      <c r="P13" s="30"/>
      <c r="Q13" s="30"/>
      <c r="R13" s="30"/>
      <c r="S13" s="30"/>
      <c r="T13" s="2025" t="s">
        <v>2072</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2066</v>
      </c>
      <c r="B15" s="2023"/>
      <c r="C15" s="2023"/>
      <c r="D15" s="2023"/>
      <c r="E15" s="2023"/>
      <c r="F15" s="2023"/>
      <c r="G15" s="2023"/>
      <c r="H15" s="2024"/>
      <c r="T15" s="2029" t="s">
        <v>2073</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2067</v>
      </c>
      <c r="B17" s="1980"/>
      <c r="C17" s="1980"/>
      <c r="D17" s="1980"/>
      <c r="E17" s="1980"/>
      <c r="F17" s="1980"/>
      <c r="G17" s="1980"/>
      <c r="H17" s="2005"/>
      <c r="T17" s="2036" t="s">
        <v>2074</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2068</v>
      </c>
      <c r="B19" s="1965"/>
      <c r="C19" s="1965"/>
      <c r="D19" s="1965"/>
      <c r="E19" s="1965"/>
      <c r="F19" s="1965"/>
      <c r="G19" s="1965"/>
      <c r="H19" s="1945"/>
      <c r="I19" s="30"/>
      <c r="J19" s="99"/>
      <c r="K19" s="40"/>
      <c r="L19" s="38"/>
      <c r="M19" s="112" t="s">
        <v>315</v>
      </c>
      <c r="P19" s="27"/>
      <c r="Q19" s="27"/>
      <c r="R19" s="27"/>
      <c r="S19" s="31"/>
      <c r="T19" s="2019" t="s">
        <v>2075</v>
      </c>
      <c r="U19" s="1944"/>
      <c r="V19" s="1944"/>
      <c r="W19" s="1945"/>
      <c r="X19" s="2034" t="s">
        <v>2076</v>
      </c>
      <c r="Y19" s="2035"/>
      <c r="Z19" s="2032">
        <v>60915</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2069</v>
      </c>
      <c r="B21" s="1944"/>
      <c r="C21" s="1944"/>
      <c r="D21" s="1944"/>
      <c r="E21" s="1944"/>
      <c r="F21" s="1944"/>
      <c r="G21" s="1944"/>
      <c r="H21" s="1945"/>
      <c r="I21" s="1999" t="s">
        <v>678</v>
      </c>
      <c r="J21" s="1994"/>
      <c r="K21" s="1994"/>
      <c r="L21" s="1994"/>
      <c r="M21" s="1994"/>
      <c r="N21" s="1994"/>
      <c r="O21" s="1994"/>
      <c r="P21" s="1994"/>
      <c r="Q21" s="1994"/>
      <c r="R21" s="1994"/>
      <c r="S21" s="2000"/>
      <c r="T21" s="2043" t="s">
        <v>2077</v>
      </c>
      <c r="U21" s="2044"/>
      <c r="V21" s="2044"/>
      <c r="W21" s="2044"/>
      <c r="X21" s="2049" t="s">
        <v>2078</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c r="B23" s="1997"/>
      <c r="C23" s="1997"/>
      <c r="D23" s="1997"/>
      <c r="E23" s="1997"/>
      <c r="F23" s="1997"/>
      <c r="G23" s="1997"/>
      <c r="H23" s="1998"/>
      <c r="T23" s="1979" t="s">
        <v>2079</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60914</v>
      </c>
      <c r="B25" s="1944"/>
      <c r="C25" s="1944"/>
      <c r="D25" s="1944"/>
      <c r="E25" s="1944"/>
      <c r="F25" s="1944"/>
      <c r="G25" s="1944"/>
      <c r="H25" s="1945"/>
      <c r="I25" s="113"/>
      <c r="J25" s="1968"/>
      <c r="K25" s="1968"/>
      <c r="L25" s="1968"/>
      <c r="M25" s="1968"/>
      <c r="N25" s="1968"/>
      <c r="O25" s="1968"/>
      <c r="P25" s="1968"/>
      <c r="Q25" s="1968"/>
      <c r="R25" s="1968"/>
      <c r="S25" s="1969"/>
      <c r="T25" s="2039" t="s">
        <v>2080</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2070</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2071</v>
      </c>
      <c r="B42" s="1963"/>
      <c r="C42" s="1964"/>
      <c r="D42" s="1962"/>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1812772</v>
      </c>
      <c r="C4" s="1524"/>
      <c r="D4" s="1752">
        <f>B4-C4</f>
        <v>1812772</v>
      </c>
      <c r="E4" s="1524">
        <v>1857298</v>
      </c>
      <c r="F4" s="1752">
        <f>E4-C4</f>
        <v>1857298</v>
      </c>
    </row>
    <row r="5" spans="1:6" ht="13.7" customHeight="1" x14ac:dyDescent="0.2">
      <c r="A5" s="715" t="s">
        <v>870</v>
      </c>
      <c r="B5" s="1750">
        <f>'Revenues 9-14'!D5</f>
        <v>238130</v>
      </c>
      <c r="C5" s="585"/>
      <c r="D5" s="1753">
        <f t="shared" ref="D5:D18" si="0">B5-C5</f>
        <v>238130</v>
      </c>
      <c r="E5" s="585">
        <v>281392</v>
      </c>
      <c r="F5" s="1753">
        <f>E5-C5</f>
        <v>281392</v>
      </c>
    </row>
    <row r="6" spans="1:6" ht="13.7" customHeight="1" x14ac:dyDescent="0.2">
      <c r="A6" s="715" t="s">
        <v>411</v>
      </c>
      <c r="B6" s="1750">
        <f>'Revenues 9-14'!E5</f>
        <v>514567</v>
      </c>
      <c r="C6" s="585"/>
      <c r="D6" s="1753">
        <f t="shared" si="0"/>
        <v>514567</v>
      </c>
      <c r="E6" s="585">
        <v>547120</v>
      </c>
      <c r="F6" s="1753">
        <f t="shared" ref="F6:F18" si="1">E6-C6</f>
        <v>547120</v>
      </c>
    </row>
    <row r="7" spans="1:6" ht="13.7" customHeight="1" x14ac:dyDescent="0.2">
      <c r="A7" s="715" t="s">
        <v>155</v>
      </c>
      <c r="B7" s="1750">
        <f>'Revenues 9-14'!F5</f>
        <v>89050</v>
      </c>
      <c r="C7" s="585"/>
      <c r="D7" s="1753">
        <f t="shared" si="0"/>
        <v>89050</v>
      </c>
      <c r="E7" s="585">
        <v>89988</v>
      </c>
      <c r="F7" s="1753">
        <f t="shared" si="1"/>
        <v>89988</v>
      </c>
    </row>
    <row r="8" spans="1:6" ht="13.7" customHeight="1" x14ac:dyDescent="0.2">
      <c r="A8" s="715" t="s">
        <v>1179</v>
      </c>
      <c r="B8" s="1750">
        <f>'Revenues 9-14'!G5</f>
        <v>40610</v>
      </c>
      <c r="C8" s="585"/>
      <c r="D8" s="1753">
        <f t="shared" si="0"/>
        <v>40610</v>
      </c>
      <c r="E8" s="585">
        <v>40998</v>
      </c>
      <c r="F8" s="1753">
        <f t="shared" si="1"/>
        <v>40998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997</v>
      </c>
      <c r="C10" s="585"/>
      <c r="D10" s="1753">
        <f t="shared" si="0"/>
        <v>997</v>
      </c>
      <c r="E10" s="585">
        <v>799</v>
      </c>
      <c r="F10" s="1753">
        <f t="shared" si="1"/>
        <v>799</v>
      </c>
    </row>
    <row r="11" spans="1:6" x14ac:dyDescent="0.2">
      <c r="A11" s="715" t="s">
        <v>409</v>
      </c>
      <c r="B11" s="1750">
        <f>'Revenues 9-14'!J5</f>
        <v>4914</v>
      </c>
      <c r="C11" s="585"/>
      <c r="D11" s="1753">
        <f t="shared" si="0"/>
        <v>4914</v>
      </c>
      <c r="E11" s="585">
        <v>4955</v>
      </c>
      <c r="F11" s="1753">
        <f t="shared" si="1"/>
        <v>4955</v>
      </c>
    </row>
    <row r="12" spans="1:6" ht="13.7" customHeight="1" x14ac:dyDescent="0.2">
      <c r="A12" s="715" t="s">
        <v>157</v>
      </c>
      <c r="B12" s="1750">
        <f>'Revenues 9-14'!K5</f>
        <v>997</v>
      </c>
      <c r="C12" s="585"/>
      <c r="D12" s="1753">
        <f t="shared" si="0"/>
        <v>997</v>
      </c>
      <c r="E12" s="585">
        <v>799</v>
      </c>
      <c r="F12" s="1753">
        <f t="shared" si="1"/>
        <v>799</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66404</v>
      </c>
      <c r="C16" s="585"/>
      <c r="D16" s="1753">
        <f t="shared" si="0"/>
        <v>66404</v>
      </c>
      <c r="E16" s="585">
        <v>67930</v>
      </c>
      <c r="F16" s="1753">
        <f t="shared" si="1"/>
        <v>67930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2768441</v>
      </c>
      <c r="C19" s="1751">
        <f>SUM(C4:C18)</f>
        <v>0</v>
      </c>
      <c r="D19" s="1751">
        <f>SUM(D4:D18)</f>
        <v>2768441</v>
      </c>
      <c r="E19" s="1751">
        <f>SUM(E4:E18)</f>
        <v>2891279</v>
      </c>
      <c r="F19" s="1751">
        <f>SUM(F4:F18)</f>
        <v>2891279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1802</v>
      </c>
      <c r="B2" s="2213"/>
      <c r="C2" s="1884" t="s">
        <v>1954</v>
      </c>
      <c r="D2" s="723" t="s">
        <v>1955</v>
      </c>
      <c r="E2" s="723" t="s">
        <v>1956</v>
      </c>
      <c r="F2" s="1884" t="s">
        <v>1957</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450</v>
      </c>
      <c r="B31" s="733">
        <v>39722</v>
      </c>
      <c r="C31" s="734">
        <v>180000</v>
      </c>
      <c r="D31" s="735">
        <v>7</v>
      </c>
      <c r="E31" s="734">
        <v>25000</v>
      </c>
      <c r="F31" s="734"/>
      <c r="G31" s="734"/>
      <c r="H31" s="734">
        <v>25000</v>
      </c>
      <c r="I31" s="1756">
        <f>((E31+F31)-H31)+G31</f>
        <v>0</v>
      </c>
      <c r="J31" s="734">
        <v>0</v>
      </c>
      <c r="K31" s="736"/>
    </row>
    <row r="32" spans="1:11" ht="12" customHeight="1" x14ac:dyDescent="0.2">
      <c r="A32" s="732" t="s">
        <v>2081</v>
      </c>
      <c r="B32" s="733">
        <v>41091</v>
      </c>
      <c r="C32" s="734">
        <v>150000</v>
      </c>
      <c r="D32" s="735">
        <v>1</v>
      </c>
      <c r="E32" s="734">
        <v>100000</v>
      </c>
      <c r="F32" s="734"/>
      <c r="G32" s="734"/>
      <c r="H32" s="734">
        <v>13000</v>
      </c>
      <c r="I32" s="1756">
        <f>((E32+F32)-H32)+G32</f>
        <v>87000</v>
      </c>
      <c r="J32" s="734">
        <v>87000</v>
      </c>
      <c r="K32" s="736"/>
    </row>
    <row r="33" spans="1:11" ht="12" customHeight="1" x14ac:dyDescent="0.2">
      <c r="A33" s="732" t="s">
        <v>2082</v>
      </c>
      <c r="B33" s="733">
        <v>41456</v>
      </c>
      <c r="C33" s="734">
        <v>3775000</v>
      </c>
      <c r="D33" s="735">
        <v>3</v>
      </c>
      <c r="E33" s="734">
        <v>2195000</v>
      </c>
      <c r="F33" s="734"/>
      <c r="G33" s="734"/>
      <c r="H33" s="734">
        <v>420000</v>
      </c>
      <c r="I33" s="1756">
        <f t="shared" ref="I33:I48" si="1">((E33+F33)-H33)+G33</f>
        <v>1775000</v>
      </c>
      <c r="J33" s="734">
        <f>1861990-87000</f>
        <v>1774990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4105000</v>
      </c>
      <c r="D49" s="745"/>
      <c r="E49" s="1756">
        <f t="shared" ref="E49:J49" si="2">SUM(E31:E48)</f>
        <v>2320000</v>
      </c>
      <c r="F49" s="1756">
        <f t="shared" si="2"/>
        <v>0</v>
      </c>
      <c r="G49" s="1756">
        <f t="shared" si="2"/>
        <v>0</v>
      </c>
      <c r="H49" s="1756">
        <f t="shared" si="2"/>
        <v>458000</v>
      </c>
      <c r="I49" s="1756">
        <f t="shared" si="2"/>
        <v>1862000</v>
      </c>
      <c r="J49" s="1756">
        <f t="shared" si="2"/>
        <v>1861990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t="s">
        <v>2083</v>
      </c>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1812</v>
      </c>
      <c r="K2" s="762" t="s">
        <v>138</v>
      </c>
    </row>
    <row r="3" spans="1:11" x14ac:dyDescent="0.2">
      <c r="A3" s="2238" t="s">
        <v>1962</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1813</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0</v>
      </c>
      <c r="I12" s="1758">
        <f>SUM(I5:I11)</f>
        <v>0</v>
      </c>
      <c r="J12" s="1758">
        <f>SUM(J5:J11)</f>
        <v>0</v>
      </c>
      <c r="K12" s="1758">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1809</v>
      </c>
      <c r="B19" s="2228"/>
      <c r="C19" s="2228"/>
      <c r="D19" s="2228"/>
      <c r="E19" s="2229"/>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1815</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0</v>
      </c>
      <c r="I23" s="1758">
        <f>SUM(I14:I16,I21,I22)</f>
        <v>0</v>
      </c>
      <c r="J23" s="1758">
        <f>SUM(J14:J16,J21,J22)</f>
        <v>0</v>
      </c>
      <c r="K23" s="1758">
        <f>SUM(K14:K16,K21,K22)</f>
        <v>0</v>
      </c>
    </row>
    <row r="24" spans="1:11" ht="14.25" thickTop="1" thickBot="1" x14ac:dyDescent="0.25">
      <c r="A24" s="2250" t="s">
        <v>1963</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L9" sqref="L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671408</v>
      </c>
      <c r="D5" s="841"/>
      <c r="E5" s="841"/>
      <c r="F5" s="1760">
        <f>(C5+D5)-E5</f>
        <v>671408</v>
      </c>
      <c r="G5" s="837"/>
      <c r="H5" s="842"/>
      <c r="I5" s="842"/>
      <c r="J5" s="842"/>
      <c r="K5" s="793"/>
      <c r="L5" s="1769">
        <f>F5-K5</f>
        <v>671408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8206086</v>
      </c>
      <c r="D8" s="844"/>
      <c r="E8" s="844"/>
      <c r="F8" s="1760">
        <f>(C8+D8)-E8</f>
        <v>8206086</v>
      </c>
      <c r="G8" s="843">
        <v>50</v>
      </c>
      <c r="H8" s="765">
        <v>2471512</v>
      </c>
      <c r="I8" s="765">
        <v>164610</v>
      </c>
      <c r="J8" s="765"/>
      <c r="K8" s="1769">
        <f>(H8+I8)-J8</f>
        <v>2636122</v>
      </c>
      <c r="L8" s="1769">
        <f>F8-K8</f>
        <v>5569964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70850</v>
      </c>
      <c r="D10" s="846"/>
      <c r="E10" s="846"/>
      <c r="F10" s="1764">
        <f>(C10+D10)-E10</f>
        <v>70850</v>
      </c>
      <c r="G10" s="843">
        <v>20</v>
      </c>
      <c r="H10" s="847">
        <v>23633</v>
      </c>
      <c r="I10" s="847">
        <v>3581</v>
      </c>
      <c r="J10" s="847"/>
      <c r="K10" s="1769">
        <f>(H10+I10)-J10</f>
        <v>27214</v>
      </c>
      <c r="L10" s="1769">
        <f>F10-K10</f>
        <v>43636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1003103</v>
      </c>
      <c r="D12" s="844"/>
      <c r="E12" s="844"/>
      <c r="F12" s="1760">
        <f>(C12+D12)-E12</f>
        <v>1003103</v>
      </c>
      <c r="G12" s="843">
        <v>10</v>
      </c>
      <c r="H12" s="765">
        <v>817819</v>
      </c>
      <c r="I12" s="765">
        <v>32719</v>
      </c>
      <c r="J12" s="765"/>
      <c r="K12" s="1769">
        <f>(H12+I12)-J12</f>
        <v>850538</v>
      </c>
      <c r="L12" s="1769">
        <f>F12-K12</f>
        <v>152565</v>
      </c>
    </row>
    <row r="13" spans="1:14" ht="14.25" thickTop="1" thickBot="1" x14ac:dyDescent="0.25">
      <c r="A13" s="848" t="s">
        <v>1122</v>
      </c>
      <c r="B13" s="840">
        <v>252</v>
      </c>
      <c r="C13" s="844">
        <v>390722</v>
      </c>
      <c r="D13" s="844"/>
      <c r="E13" s="844"/>
      <c r="F13" s="1760">
        <f>(C13+D13)-E13</f>
        <v>390722</v>
      </c>
      <c r="G13" s="843">
        <v>5</v>
      </c>
      <c r="H13" s="765">
        <v>334963</v>
      </c>
      <c r="I13" s="765">
        <v>33518</v>
      </c>
      <c r="J13" s="765"/>
      <c r="K13" s="1769">
        <f>(H13+I13)-J13</f>
        <v>368481</v>
      </c>
      <c r="L13" s="1769">
        <f>F13-K13</f>
        <v>22241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10342169</v>
      </c>
      <c r="D16" s="1760">
        <f>SUM(D3,D5:D6,D8:D10,D12:D15)</f>
        <v>0</v>
      </c>
      <c r="E16" s="1760">
        <f>SUM(E3,E5:E6,E8:E10,E12:E15)</f>
        <v>0</v>
      </c>
      <c r="F16" s="1760">
        <f>SUM(F3,F5:F6,F8:F10,F12:F15)</f>
        <v>10342169</v>
      </c>
      <c r="G16" s="843"/>
      <c r="H16" s="1760">
        <f>SUM(H3,H6,H8:H10,H12:H14,)</f>
        <v>3647927</v>
      </c>
      <c r="I16" s="1760">
        <f>SUM(I3,I6,I8:I10,I12:I14,)</f>
        <v>234428</v>
      </c>
      <c r="J16" s="1760">
        <f>SUM(J3,J6,J8:J10,J12:J14,)</f>
        <v>0</v>
      </c>
      <c r="K16" s="1760">
        <f>(H16+I16)-J16</f>
        <v>3882355</v>
      </c>
      <c r="L16" s="1760">
        <f>F16-K16</f>
        <v>6459814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234428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3220916</v>
      </c>
      <c r="G8" s="865"/>
    </row>
    <row r="9" spans="1:7" x14ac:dyDescent="0.2">
      <c r="A9" s="869" t="s">
        <v>460</v>
      </c>
      <c r="B9" s="870" t="s">
        <v>1876</v>
      </c>
      <c r="C9" s="871"/>
      <c r="D9" s="869" t="s">
        <v>501</v>
      </c>
      <c r="E9" s="868"/>
      <c r="F9" s="1909">
        <f>'Expenditures 15-22'!K151</f>
        <v>517962</v>
      </c>
      <c r="G9" s="872"/>
    </row>
    <row r="10" spans="1:7" x14ac:dyDescent="0.2">
      <c r="A10" s="869" t="s">
        <v>499</v>
      </c>
      <c r="B10" s="870" t="s">
        <v>1877</v>
      </c>
      <c r="C10" s="871"/>
      <c r="D10" s="869" t="s">
        <v>501</v>
      </c>
      <c r="E10" s="868"/>
      <c r="F10" s="1909">
        <f>'Expenditures 15-22'!K174</f>
        <v>545748</v>
      </c>
      <c r="G10" s="872"/>
    </row>
    <row r="11" spans="1:7" x14ac:dyDescent="0.2">
      <c r="A11" s="869" t="s">
        <v>461</v>
      </c>
      <c r="B11" s="870" t="s">
        <v>1878</v>
      </c>
      <c r="C11" s="871"/>
      <c r="D11" s="869" t="s">
        <v>501</v>
      </c>
      <c r="E11" s="868"/>
      <c r="F11" s="1909">
        <f>'Expenditures 15-22'!K210</f>
        <v>241774</v>
      </c>
      <c r="G11" s="872"/>
    </row>
    <row r="12" spans="1:7" x14ac:dyDescent="0.2">
      <c r="A12" s="869" t="s">
        <v>462</v>
      </c>
      <c r="B12" s="870" t="s">
        <v>1879</v>
      </c>
      <c r="C12" s="871"/>
      <c r="D12" s="869" t="s">
        <v>501</v>
      </c>
      <c r="E12" s="868"/>
      <c r="F12" s="1909">
        <f>'Expenditures 15-22'!K295</f>
        <v>104690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4631090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32040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41930</v>
      </c>
      <c r="G53" s="865"/>
    </row>
    <row r="54" spans="1:7" x14ac:dyDescent="0.2">
      <c r="A54" s="869" t="s">
        <v>459</v>
      </c>
      <c r="B54" s="869" t="s">
        <v>1476</v>
      </c>
      <c r="C54" s="889" t="s">
        <v>982</v>
      </c>
      <c r="D54" s="885" t="s">
        <v>1095</v>
      </c>
      <c r="E54" s="868"/>
      <c r="F54" s="1913">
        <f>'Expenditures 15-22'!G114</f>
        <v>18024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458000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1107</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551101</v>
      </c>
      <c r="G76" s="865"/>
    </row>
    <row r="77" spans="1:8" s="893" customFormat="1" ht="12" customHeight="1" thickTop="1" thickBot="1" x14ac:dyDescent="0.25">
      <c r="A77" s="1779"/>
      <c r="B77" s="1776"/>
      <c r="C77" s="1772"/>
      <c r="D77" s="1777" t="s">
        <v>1899</v>
      </c>
      <c r="E77" s="1774"/>
      <c r="F77" s="1780">
        <f>(F14-F76)</f>
        <v>4079989</v>
      </c>
      <c r="G77" s="869"/>
    </row>
    <row r="78" spans="1:8" s="893" customFormat="1" ht="12" customHeight="1" thickTop="1" x14ac:dyDescent="0.2">
      <c r="A78" s="1781"/>
      <c r="B78" s="1776"/>
      <c r="C78" s="1772"/>
      <c r="D78" s="1777" t="s">
        <v>2060</v>
      </c>
      <c r="E78" s="1774"/>
      <c r="F78" s="898">
        <v>418.82</v>
      </c>
      <c r="G78" s="899"/>
      <c r="H78" s="869"/>
    </row>
    <row r="79" spans="1:8" s="893" customFormat="1" ht="12" customHeight="1" thickBot="1" x14ac:dyDescent="0.25">
      <c r="A79" s="1782"/>
      <c r="B79" s="1776"/>
      <c r="C79" s="1772"/>
      <c r="D79" s="1777" t="s">
        <v>1900</v>
      </c>
      <c r="E79" s="1774" t="s">
        <v>958</v>
      </c>
      <c r="F79" s="1783">
        <f>IF(F78&gt;0,F77/F78," Complete Line 78")</f>
        <v>9741.6288620409723</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1683</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60044</v>
      </c>
      <c r="G94" s="912"/>
    </row>
    <row r="95" spans="1:7" x14ac:dyDescent="0.2">
      <c r="A95" s="908" t="s">
        <v>140</v>
      </c>
      <c r="B95" s="908" t="s">
        <v>175</v>
      </c>
      <c r="C95" s="910">
        <v>1700</v>
      </c>
      <c r="D95" s="918" t="str">
        <f>'Revenues 9-14'!A82</f>
        <v>Total District/School Activity Income</v>
      </c>
      <c r="E95" s="906"/>
      <c r="F95" s="1789">
        <f>SUM('Revenues 9-14'!C82,'Revenues 9-14'!D82)</f>
        <v>17294</v>
      </c>
      <c r="G95" s="912"/>
    </row>
    <row r="96" spans="1:7" x14ac:dyDescent="0.2">
      <c r="A96" s="908" t="s">
        <v>459</v>
      </c>
      <c r="B96" s="908" t="s">
        <v>176</v>
      </c>
      <c r="C96" s="910">
        <f>'Revenues 9-14'!B84</f>
        <v>1811</v>
      </c>
      <c r="D96" s="911" t="str">
        <f>'Revenues 9-14'!A84</f>
        <v>Rentals - Regular Textbooks</v>
      </c>
      <c r="E96" s="906"/>
      <c r="F96" s="1789">
        <f>'Revenues 9-14'!C84</f>
        <v>35300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73</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11500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47764</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21110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806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134222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66434</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53814</v>
      </c>
      <c r="G125" s="930"/>
    </row>
    <row r="126" spans="1:7" x14ac:dyDescent="0.2">
      <c r="A126" s="927" t="s">
        <v>668</v>
      </c>
      <c r="B126" s="927" t="s">
        <v>2022</v>
      </c>
      <c r="C126" s="932">
        <v>4300</v>
      </c>
      <c r="D126" s="933" t="str">
        <f>'Revenues 9-14'!A204</f>
        <v>Total Title I</v>
      </c>
      <c r="E126" s="906"/>
      <c r="F126" s="1789">
        <f>SUM('Revenues 9-14'!C204,'Revenues 9-14'!D204,'Revenues 9-14'!F204,'Revenues 9-14'!G204)</f>
        <v>55083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4826</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67582</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6063</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3700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11957</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599255</v>
      </c>
    </row>
    <row r="175" spans="1:7" ht="12" customHeight="1" x14ac:dyDescent="0.2">
      <c r="A175" s="1770"/>
      <c r="B175" s="1784"/>
      <c r="C175" s="1785"/>
      <c r="D175" s="1786" t="s">
        <v>2055</v>
      </c>
      <c r="E175" s="1787"/>
      <c r="F175" s="1789">
        <f>'PCTC-OEPP 27-28'!F77-F174</f>
        <v>3480734</v>
      </c>
    </row>
    <row r="176" spans="1:7" ht="12" customHeight="1" x14ac:dyDescent="0.2">
      <c r="A176" s="1770"/>
      <c r="B176" s="1784"/>
      <c r="C176" s="1785"/>
      <c r="D176" s="1786" t="s">
        <v>1817</v>
      </c>
      <c r="E176" s="1787"/>
      <c r="F176" s="1789">
        <f>'Cap Outlay Deprec 26'!I18</f>
        <v>234428</v>
      </c>
    </row>
    <row r="177" spans="1:7" ht="12" customHeight="1" x14ac:dyDescent="0.2">
      <c r="A177" s="1770"/>
      <c r="B177" s="1784"/>
      <c r="C177" s="1785"/>
      <c r="D177" s="1786" t="s">
        <v>2056</v>
      </c>
      <c r="E177" s="1787"/>
      <c r="F177" s="1789">
        <f>F175+F176</f>
        <v>3715162</v>
      </c>
    </row>
    <row r="178" spans="1:7" ht="12" customHeight="1" x14ac:dyDescent="0.2">
      <c r="A178" s="1770"/>
      <c r="B178" s="1790"/>
      <c r="C178" s="1785"/>
      <c r="D178" s="1786" t="str">
        <f>D78</f>
        <v>9 Month ADA from District Average Daily Attendance/Prior General State Aid Inquiry 2018-2019</v>
      </c>
      <c r="E178" s="1787"/>
      <c r="F178" s="1791">
        <f>'PCTC-OEPP 27-28'!F78</f>
        <v>418.82</v>
      </c>
      <c r="G178" s="930"/>
    </row>
    <row r="179" spans="1:7" ht="12" customHeight="1" thickBot="1" x14ac:dyDescent="0.25">
      <c r="A179" s="1770"/>
      <c r="B179" s="1790"/>
      <c r="C179" s="1785"/>
      <c r="D179" s="1786" t="s">
        <v>2057</v>
      </c>
      <c r="E179" s="1787" t="s">
        <v>1545</v>
      </c>
      <c r="F179" s="1792">
        <f>F177/F178</f>
        <v>8870.5458192063415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4" zoomScaleNormal="100" workbookViewId="0">
      <selection activeCell="F20" sqref="F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2088</v>
      </c>
      <c r="B18" s="1941" t="s">
        <v>2087</v>
      </c>
      <c r="C18" s="1942" t="s">
        <v>2086</v>
      </c>
      <c r="D18" s="1844">
        <v>50501.25</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25501.25</v>
      </c>
      <c r="H18" s="1647"/>
    </row>
    <row r="19" spans="1:8" x14ac:dyDescent="0.25">
      <c r="A19" s="1940" t="s">
        <v>2089</v>
      </c>
      <c r="B19" s="1941" t="s">
        <v>2090</v>
      </c>
      <c r="C19" s="1942" t="s">
        <v>2091</v>
      </c>
      <c r="D19" s="1844">
        <v>78180</v>
      </c>
      <c r="E19" s="1540">
        <f t="shared" ref="E19:E141" si="2">IF(D19&lt;=25000,D19,IF(D19&gt;25000,25000,0))</f>
        <v>25000</v>
      </c>
      <c r="F19" s="1936">
        <f t="shared" si="1"/>
        <v>25000</v>
      </c>
      <c r="G19" s="1793">
        <f t="shared" ref="G19:G141" si="3">IF(F19=0,0,D19-F19)</f>
        <v>53180</v>
      </c>
    </row>
    <row r="20" spans="1:8" x14ac:dyDescent="0.25">
      <c r="A20" s="1940" t="s">
        <v>2092</v>
      </c>
      <c r="B20" s="1941" t="s">
        <v>2093</v>
      </c>
      <c r="C20" s="1942" t="s">
        <v>2094</v>
      </c>
      <c r="D20" s="1844">
        <v>86155</v>
      </c>
      <c r="E20" s="1540">
        <f t="shared" si="2"/>
        <v>25000</v>
      </c>
      <c r="F20" s="1936">
        <f t="shared" si="1"/>
        <v>25000</v>
      </c>
      <c r="G20" s="1793">
        <f t="shared" si="3"/>
        <v>61155</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214836.25</v>
      </c>
      <c r="E142" s="1541">
        <f t="shared" si="0"/>
        <v>25000</v>
      </c>
      <c r="F142" s="1932">
        <f>SUM(F18:F141)</f>
        <v>75000</v>
      </c>
      <c r="G142" s="1795">
        <f>SUM(G18:G141)</f>
        <v>139836.25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1949003</v>
      </c>
      <c r="F19" s="1799"/>
      <c r="G19" s="1801">
        <f>'Expenditures 15-22'!K33-SUM('Expenditures 15-22'!G33,'Expenditures 15-22'!I33)+'Expenditures 15-22'!D229</f>
        <v>1949003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202146</v>
      </c>
      <c r="F21" s="1802"/>
      <c r="G21" s="1805">
        <f>'Expenditures 15-22'!K42-SUM('Expenditures 15-22'!G42,'Expenditures 15-22'!I42)+'Expenditures 15-22'!K120-SUM('Expenditures 15-22'!G120,'Expenditures 15-22'!I120)+'Expenditures 15-22'!K180-SUM('Expenditures 15-22'!G180,'Expenditures 15-22'!I180)+'Expenditures 15-22'!D238</f>
        <v>202146</v>
      </c>
      <c r="H21" s="987"/>
      <c r="I21" s="162"/>
    </row>
    <row r="22" spans="1:9" s="668" customFormat="1" ht="12" customHeight="1" x14ac:dyDescent="0.2">
      <c r="A22" s="994" t="s">
        <v>564</v>
      </c>
      <c r="B22" s="995"/>
      <c r="C22" s="993">
        <v>2200</v>
      </c>
      <c r="D22" s="1802"/>
      <c r="E22" s="1804">
        <f>'Expenditures 15-22'!K47-SUM('Expenditures 15-22'!G47,'Expenditures 15-22'!I47)+'Expenditures 15-22'!D243</f>
        <v>32985</v>
      </c>
      <c r="F22" s="1802"/>
      <c r="G22" s="1805">
        <f>'Expenditures 15-22'!K47-SUM('Expenditures 15-22'!G47,'Expenditures 15-22'!I47)+'Expenditures 15-22'!D243</f>
        <v>32985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409316</v>
      </c>
      <c r="F23" s="1802"/>
      <c r="G23" s="1804">
        <f>'Expenditures 15-22'!K53-SUM('Expenditures 15-22'!G53,'Expenditures 15-22'!I53)+'Expenditures 15-22'!D257+'Expenditures 15-22'!K330-SUM('Expenditures 15-22'!G330,'Expenditures 15-22'!I330)</f>
        <v>409316</v>
      </c>
      <c r="H23" s="987"/>
      <c r="I23" s="162"/>
    </row>
    <row r="24" spans="1:9" s="668" customFormat="1" ht="12" customHeight="1" x14ac:dyDescent="0.2">
      <c r="A24" s="994" t="s">
        <v>566</v>
      </c>
      <c r="B24" s="995"/>
      <c r="C24" s="993">
        <v>2400</v>
      </c>
      <c r="D24" s="1802"/>
      <c r="E24" s="1804">
        <f>'Expenditures 15-22'!K57-SUM('Expenditures 15-22'!G57,'Expenditures 15-22'!I57)+'Expenditures 15-22'!D261</f>
        <v>270987</v>
      </c>
      <c r="F24" s="1802"/>
      <c r="G24" s="1805">
        <f>'Expenditures 15-22'!K57-SUM('Expenditures 15-22'!G57,'Expenditures 15-22'!I57)+'Expenditures 15-22'!D261</f>
        <v>270987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106569</v>
      </c>
      <c r="E27" s="1804">
        <f>E8</f>
        <v>0</v>
      </c>
      <c r="F27" s="1804">
        <f>'Expenditures 15-22'!K60-SUM('Expenditures 15-22'!G60,'Expenditures 15-22'!I60)+'Expenditures 15-22'!D264-E8</f>
        <v>106569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568951</v>
      </c>
      <c r="F28" s="1806">
        <f>'Expenditures 15-22'!K61-SUM('Expenditures 15-22'!G61,'Expenditures 15-22'!I61)+'Expenditures 15-22'!K124-SUM('Expenditures 15-22'!G124,'Expenditures 15-22'!I124)+'Expenditures 15-22'!D266-E9</f>
        <v>568951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252777</v>
      </c>
      <c r="F29" s="1802"/>
      <c r="G29" s="1805">
        <f>'Expenditures 15-22'!K62-SUM('Expenditures 15-22'!G62,'Expenditures 15-22'!I62)+'Expenditures 15-22'!K125-SUM('Expenditures 15-22'!G125,'Expenditures 15-22'!I125)+'Expenditures 15-22'!K182-SUM('Expenditures 15-22'!G182,'Expenditures 15-22'!I182)+'Expenditures 15-22'!D267</f>
        <v>252777</v>
      </c>
      <c r="H29" s="985"/>
    </row>
    <row r="30" spans="1:9" ht="12" customHeight="1" x14ac:dyDescent="0.2">
      <c r="A30" s="994" t="s">
        <v>100</v>
      </c>
      <c r="B30" s="997"/>
      <c r="C30" s="993">
        <v>2560</v>
      </c>
      <c r="D30" s="1802"/>
      <c r="E30" s="1804">
        <f>'Expenditures 15-22'!K63-SUM('Expenditures 15-22'!G63,'Expenditures 15-22'!I63)+'Expenditures 15-22'!D268-E10</f>
        <v>137733</v>
      </c>
      <c r="F30" s="1802"/>
      <c r="G30" s="1804">
        <f>'Expenditures 15-22'!K63-SUM('Expenditures 15-22'!G63,'Expenditures 15-22'!I63)+'Expenditures 15-22'!D268-E10</f>
        <v>137733</v>
      </c>
    </row>
    <row r="31" spans="1:9" ht="12" customHeight="1" x14ac:dyDescent="0.2">
      <c r="A31" s="994" t="s">
        <v>101</v>
      </c>
      <c r="B31" s="997"/>
      <c r="C31" s="993">
        <v>2570</v>
      </c>
      <c r="D31" s="1804">
        <f>'Expenditures 15-22'!K64-SUM('Expenditures 15-22'!G64,'Expenditures 15-22'!I64)+'Expenditures 15-22'!D269-E12</f>
        <v>713</v>
      </c>
      <c r="E31" s="1804">
        <f>E12</f>
        <v>0</v>
      </c>
      <c r="F31" s="1804">
        <f>'Expenditures 15-22'!K64-SUM('Expenditures 15-22'!G64,'Expenditures 15-22'!I64)+'Expenditures 15-22'!D269-E12</f>
        <v>713</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3427</v>
      </c>
      <c r="F35" s="1802"/>
      <c r="G35" s="1804">
        <f>'Expenditures 15-22'!K69-SUM('Expenditures 15-22'!G69,'Expenditures 15-22'!I69)+'Expenditures 15-22'!D274</f>
        <v>3427</v>
      </c>
    </row>
    <row r="36" spans="1:7" ht="12" customHeight="1" x14ac:dyDescent="0.2">
      <c r="A36" s="994" t="s">
        <v>403</v>
      </c>
      <c r="B36" s="997"/>
      <c r="C36" s="993">
        <v>2640</v>
      </c>
      <c r="D36" s="1804">
        <f>'Expenditures 15-22'!K70-SUM('Expenditures 15-22'!G70,'Expenditures 15-22'!I70)+'Expenditures 15-22'!D275-E13</f>
        <v>13093</v>
      </c>
      <c r="E36" s="1804">
        <f>E13</f>
        <v>0</v>
      </c>
      <c r="F36" s="1804">
        <f>'Expenditures 15-22'!K70-SUM('Expenditures 15-22'!G70,'Expenditures 15-22'!I70)+'Expenditures 15-22'!D275-E13</f>
        <v>13093</v>
      </c>
      <c r="G36" s="1804">
        <f>E13</f>
        <v>0</v>
      </c>
    </row>
    <row r="37" spans="1:7" ht="12" customHeight="1" x14ac:dyDescent="0.2">
      <c r="A37" s="994" t="s">
        <v>404</v>
      </c>
      <c r="B37" s="997"/>
      <c r="C37" s="993">
        <v>2660</v>
      </c>
      <c r="D37" s="1804">
        <f>'Expenditures 15-22'!K71-SUM('Expenditures 15-22'!G71,'Expenditures 15-22'!I71)+'Expenditures 15-22'!D276-E14</f>
        <v>77688</v>
      </c>
      <c r="E37" s="1804">
        <f>E14</f>
        <v>0</v>
      </c>
      <c r="F37" s="1804">
        <f>'Expenditures 15-22'!K71-SUM('Expenditures 15-22'!G71,'Expenditures 15-22'!I71)+'Expenditures 15-22'!D276-E14</f>
        <v>77688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-139836.25</v>
      </c>
      <c r="F40" s="1802"/>
      <c r="G40" s="1806">
        <f>-'Contracts Paid in CY 29'!G142</f>
        <v>-139836.25</v>
      </c>
    </row>
    <row r="41" spans="1:7" ht="12" customHeight="1" x14ac:dyDescent="0.2">
      <c r="A41" s="998" t="s">
        <v>156</v>
      </c>
      <c r="B41" s="999"/>
      <c r="C41" s="1000"/>
      <c r="D41" s="1806">
        <f>SUM(D19:D39)</f>
        <v>198063</v>
      </c>
      <c r="E41" s="1806">
        <f>SUM(E19:E40)</f>
        <v>3687488.75</v>
      </c>
      <c r="F41" s="1806">
        <f>SUM(F19:F39)</f>
        <v>767014</v>
      </c>
      <c r="G41" s="1806">
        <f>SUM(G19:G40)</f>
        <v>3118537.75</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198063</v>
      </c>
      <c r="F43" s="1807" t="s">
        <v>473</v>
      </c>
      <c r="G43" s="1808">
        <f>F41</f>
        <v>767014</v>
      </c>
    </row>
    <row r="44" spans="1:7" ht="12" customHeight="1" x14ac:dyDescent="0.2">
      <c r="A44" s="987"/>
      <c r="B44" s="162"/>
      <c r="C44" s="1001"/>
      <c r="D44" s="1807" t="s">
        <v>474</v>
      </c>
      <c r="E44" s="1808">
        <f>E41</f>
        <v>3687488.75</v>
      </c>
      <c r="F44" s="1807" t="s">
        <v>474</v>
      </c>
      <c r="G44" s="1808">
        <f>G41</f>
        <v>3118537.75</v>
      </c>
    </row>
    <row r="45" spans="1:7" ht="12" customHeight="1" x14ac:dyDescent="0.2">
      <c r="A45" s="987"/>
      <c r="B45" s="162"/>
      <c r="C45" s="162"/>
      <c r="D45" s="1809" t="s">
        <v>1006</v>
      </c>
      <c r="E45" s="1810">
        <f>(E43/E44)</f>
        <v>5.3712163867618581E-2</v>
      </c>
      <c r="F45" s="1809" t="s">
        <v>1006</v>
      </c>
      <c r="G45" s="1810">
        <f>(G43/G44)</f>
        <v>0.2459530913165954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E21" sqref="E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St. George CCSD 258</v>
      </c>
      <c r="D6" s="2310"/>
      <c r="E6" s="2310"/>
      <c r="F6" s="1852"/>
    </row>
    <row r="7" spans="1:10" ht="11.25" customHeight="1" thickBot="1" x14ac:dyDescent="0.3">
      <c r="A7" s="1850"/>
      <c r="B7" s="1851"/>
      <c r="C7" s="2311">
        <f>COVER!A13</f>
        <v>32046258004</v>
      </c>
      <c r="D7" s="2311"/>
      <c r="E7" s="231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2065</v>
      </c>
      <c r="D23" s="1865" t="s">
        <v>2065</v>
      </c>
      <c r="E23" s="1868" t="s">
        <v>2065</v>
      </c>
      <c r="F23" s="1867" t="s">
        <v>2084</v>
      </c>
      <c r="H23" s="1878">
        <f t="shared" si="0"/>
        <v>5</v>
      </c>
      <c r="I23" s="1878">
        <f t="shared" si="1"/>
        <v>5</v>
      </c>
      <c r="J23" s="1878">
        <f t="shared" si="2"/>
        <v>5</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St. George CCSD 258</v>
      </c>
      <c r="J6" s="2320"/>
      <c r="Q6" s="1664"/>
    </row>
    <row r="7" spans="1:17" x14ac:dyDescent="0.2">
      <c r="A7" s="2321" t="s">
        <v>869</v>
      </c>
      <c r="B7" s="2322"/>
      <c r="C7" s="2322"/>
      <c r="D7" s="2322"/>
      <c r="E7" s="2323"/>
      <c r="F7" s="1017"/>
      <c r="G7" s="1009"/>
      <c r="H7" s="1016" t="s">
        <v>372</v>
      </c>
      <c r="I7" s="2324">
        <f>COVER!A13</f>
        <v>32046258004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236621</v>
      </c>
      <c r="F12" s="1039"/>
      <c r="G12" s="1811">
        <f t="shared" ref="G12:G18" si="0">SUM(E12:F12)</f>
        <v>236621</v>
      </c>
      <c r="H12" s="1040">
        <v>247859</v>
      </c>
      <c r="I12" s="1039"/>
      <c r="J12" s="1811">
        <f t="shared" ref="J12:J18" si="1">SUM(H12:I12)</f>
        <v>247859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236621</v>
      </c>
      <c r="F19" s="1813">
        <f t="shared" si="2"/>
        <v>0</v>
      </c>
      <c r="G19" s="1813">
        <f t="shared" si="2"/>
        <v>236621</v>
      </c>
      <c r="H19" s="1813">
        <f t="shared" si="2"/>
        <v>247859</v>
      </c>
      <c r="I19" s="1813">
        <f t="shared" si="2"/>
        <v>0</v>
      </c>
      <c r="J19" s="1813">
        <f t="shared" si="2"/>
        <v>247859</v>
      </c>
    </row>
    <row r="20" spans="1:10" ht="13.5" thickTop="1" x14ac:dyDescent="0.2">
      <c r="A20" s="1035">
        <v>9</v>
      </c>
      <c r="B20" s="2331" t="s">
        <v>1979</v>
      </c>
      <c r="C20" s="2331"/>
      <c r="D20" s="2332"/>
      <c r="E20" s="1046"/>
      <c r="F20" s="1046"/>
      <c r="G20" s="1046"/>
      <c r="H20" s="1046"/>
      <c r="I20" s="1046"/>
      <c r="J20" s="1814">
        <f>IF(AND(G19&gt;0,J19&gt;0),(((J19-G19)/G19)),"Enter Budget Data")</f>
        <v>4.7493671314042286E-2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St. George CCSD 258</v>
      </c>
    </row>
    <row r="65" spans="2:2" x14ac:dyDescent="0.2">
      <c r="B65" s="1070">
        <f>COVER!A13</f>
        <v>32046258004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6" sqref="C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285750</xdr:colOff>
                <xdr:row>2</xdr:row>
                <xdr:rowOff>9525</xdr:rowOff>
              </from>
              <to>
                <xdr:col>1</xdr:col>
                <xdr:colOff>1200150</xdr:colOff>
                <xdr:row>6</xdr:row>
                <xdr:rowOff>133350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3544612</v>
      </c>
      <c r="C8" s="1815">
        <f>'Acct Summary 7-8'!D8</f>
        <v>393273</v>
      </c>
      <c r="D8" s="1815">
        <f>'Acct Summary 7-8'!F8</f>
        <v>224955</v>
      </c>
      <c r="E8" s="1815">
        <f>'Acct Summary 7-8'!I8</f>
        <v>997</v>
      </c>
      <c r="F8" s="1815">
        <f>SUM(B8:E8)</f>
        <v>4163837</v>
      </c>
    </row>
    <row r="9" spans="1:8" s="1079" customFormat="1" ht="14.25" customHeight="1" thickBot="1" x14ac:dyDescent="0.25">
      <c r="A9" s="1078" t="s">
        <v>1369</v>
      </c>
      <c r="B9" s="1816">
        <f>'Acct Summary 7-8'!C17</f>
        <v>3220916</v>
      </c>
      <c r="C9" s="1816">
        <f>'Acct Summary 7-8'!D17</f>
        <v>517962</v>
      </c>
      <c r="D9" s="1816">
        <f>'Acct Summary 7-8'!F17</f>
        <v>241774</v>
      </c>
      <c r="E9" s="1815"/>
      <c r="F9" s="1815">
        <f>SUM(B9:E9)</f>
        <v>3980652</v>
      </c>
    </row>
    <row r="10" spans="1:8" s="1079" customFormat="1" ht="14.25" thickTop="1" thickBot="1" x14ac:dyDescent="0.25">
      <c r="A10" s="1080" t="s">
        <v>1370</v>
      </c>
      <c r="B10" s="1817">
        <f>(B8-B9)</f>
        <v>323696</v>
      </c>
      <c r="C10" s="1817">
        <f>(C8-C9)</f>
        <v>-124689</v>
      </c>
      <c r="D10" s="1817">
        <f>(D8-D9)</f>
        <v>-16819</v>
      </c>
      <c r="E10" s="1816">
        <f>(E8-E9)</f>
        <v>997</v>
      </c>
      <c r="F10" s="1818">
        <f>SUM(F8-F9)</f>
        <v>183185</v>
      </c>
    </row>
    <row r="11" spans="1:8" s="1079" customFormat="1" ht="14.25" thickTop="1" thickBot="1" x14ac:dyDescent="0.25">
      <c r="A11" s="1081" t="s">
        <v>1983</v>
      </c>
      <c r="B11" s="1819">
        <f>'Acct Summary 7-8'!C81</f>
        <v>2263667</v>
      </c>
      <c r="C11" s="1819">
        <f>'Acct Summary 7-8'!D81</f>
        <v>147355</v>
      </c>
      <c r="D11" s="1819">
        <f>'Acct Summary 7-8'!F81</f>
        <v>138374</v>
      </c>
      <c r="E11" s="1819">
        <f>'Acct Summary 7-8'!I81</f>
        <v>43666</v>
      </c>
      <c r="F11" s="1820">
        <f>SUM(B11:E11)</f>
        <v>2593062</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63" sqref="D6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32046258004</v>
      </c>
    </row>
    <row r="3" spans="1:2" x14ac:dyDescent="0.2">
      <c r="A3" t="s">
        <v>956</v>
      </c>
      <c r="B3" s="138" t="str">
        <f>COVER!A15</f>
        <v>Kankakee</v>
      </c>
    </row>
    <row r="4" spans="1:2" x14ac:dyDescent="0.2">
      <c r="A4" t="s">
        <v>1007</v>
      </c>
      <c r="B4" s="138" t="str">
        <f>COVER!A17</f>
        <v>St. George CCSD 258</v>
      </c>
    </row>
    <row r="5" spans="1:2" x14ac:dyDescent="0.2">
      <c r="A5" t="s">
        <v>704</v>
      </c>
      <c r="B5" s="138" t="str">
        <f>COVER!A38</f>
        <v>Dr. Helen Boehrnsen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066-003660</v>
      </c>
    </row>
    <row r="16" spans="1:2" x14ac:dyDescent="0.2">
      <c r="A16" t="s">
        <v>422</v>
      </c>
      <c r="B16" s="138" t="str">
        <f>COVER!T13</f>
        <v>Burke, Montague &amp; Associates, LLC</v>
      </c>
    </row>
    <row r="17" spans="1:2" x14ac:dyDescent="0.2">
      <c r="A17" t="s">
        <v>884</v>
      </c>
      <c r="B17" s="138" t="str">
        <f>COVER!T15</f>
        <v>Ray Raymond</v>
      </c>
    </row>
    <row r="18" spans="1:2" x14ac:dyDescent="0.2">
      <c r="A18" t="s">
        <v>1150</v>
      </c>
      <c r="B18" s="138" t="str">
        <f>COVER!T17</f>
        <v>263 W. Broadway</v>
      </c>
    </row>
    <row r="19" spans="1:2" x14ac:dyDescent="0.2">
      <c r="A19" t="s">
        <v>886</v>
      </c>
      <c r="B19" s="138" t="str">
        <f>COVER!T25</f>
        <v>rraymond@mybmacpa.com</v>
      </c>
    </row>
    <row r="20" spans="1:2" x14ac:dyDescent="0.2">
      <c r="A20" t="s">
        <v>887</v>
      </c>
      <c r="B20" s="138" t="str">
        <f>COVER!T19</f>
        <v>Bradley</v>
      </c>
    </row>
    <row r="21" spans="1:2" x14ac:dyDescent="0.2">
      <c r="A21" t="s">
        <v>479</v>
      </c>
      <c r="B21" s="138" t="str">
        <f>COVER!X19</f>
        <v>IL</v>
      </c>
    </row>
    <row r="22" spans="1:2" x14ac:dyDescent="0.2">
      <c r="A22" t="s">
        <v>888</v>
      </c>
      <c r="B22" s="138">
        <f>COVER!Z19</f>
        <v>60915</v>
      </c>
    </row>
    <row r="23" spans="1:2" x14ac:dyDescent="0.2">
      <c r="A23" t="s">
        <v>1152</v>
      </c>
      <c r="B23" s="138" t="str">
        <f>COVER!T21</f>
        <v>815-933-5641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2263667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2263667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2263667</v>
      </c>
      <c r="D92" s="2" t="str">
        <f t="shared" si="0"/>
        <v>Error?</v>
      </c>
    </row>
    <row r="93" spans="1:4" x14ac:dyDescent="0.2">
      <c r="A93" s="5">
        <v>32</v>
      </c>
      <c r="B93" s="138">
        <f>'Assets-Liab 5-6'!C41</f>
        <v>2263667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147355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147355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147355</v>
      </c>
      <c r="D123" s="2" t="str">
        <f t="shared" si="0"/>
        <v>Error?</v>
      </c>
    </row>
    <row r="124" spans="1:4" x14ac:dyDescent="0.2">
      <c r="A124" s="5">
        <v>63</v>
      </c>
      <c r="B124" s="138">
        <f>'Assets-Liab 5-6'!D41</f>
        <v>147355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v>
      </c>
      <c r="D129" s="2" t="str">
        <f t="shared" si="1"/>
        <v>Error?</v>
      </c>
    </row>
    <row r="130" spans="1:4" x14ac:dyDescent="0.2">
      <c r="A130" s="5">
        <v>69</v>
      </c>
      <c r="B130" s="138">
        <f>'Assets-Liab 5-6'!E12</f>
        <v>0</v>
      </c>
      <c r="D130" s="2" t="str">
        <f t="shared" si="1"/>
        <v>Error?</v>
      </c>
    </row>
    <row r="131" spans="1:4" x14ac:dyDescent="0.2">
      <c r="A131" s="5">
        <v>70</v>
      </c>
      <c r="B131" s="138">
        <f>'Assets-Liab 5-6'!E13</f>
        <v>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v>
      </c>
      <c r="D140" s="2" t="str">
        <f t="shared" si="1"/>
        <v>Error?</v>
      </c>
    </row>
    <row r="141" spans="1:4" x14ac:dyDescent="0.2">
      <c r="A141" s="5">
        <v>80</v>
      </c>
      <c r="B141" s="138">
        <f>'Assets-Liab 5-6'!E41</f>
        <v>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138374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138374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138374</v>
      </c>
      <c r="D170" s="2" t="str">
        <f t="shared" si="1"/>
        <v>Error?</v>
      </c>
    </row>
    <row r="171" spans="1:4" x14ac:dyDescent="0.2">
      <c r="A171" s="5">
        <v>110</v>
      </c>
      <c r="B171" s="138">
        <f>'Assets-Liab 5-6'!F41</f>
        <v>138374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40586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40586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40586</v>
      </c>
      <c r="D189" s="2" t="str">
        <f t="shared" si="1"/>
        <v>Error?</v>
      </c>
    </row>
    <row r="190" spans="1:4" x14ac:dyDescent="0.2">
      <c r="A190" s="5">
        <v>129</v>
      </c>
      <c r="B190" s="138">
        <f>'Assets-Liab 5-6'!G41</f>
        <v>40586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260379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260379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260379</v>
      </c>
      <c r="D212" s="2" t="str">
        <f t="shared" si="2"/>
        <v>Error?</v>
      </c>
    </row>
    <row r="213" spans="1:4" x14ac:dyDescent="0.2">
      <c r="A213" s="12">
        <v>152</v>
      </c>
      <c r="B213" s="138">
        <f>'Assets-Liab 5-6'!H41</f>
        <v>260379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671408</v>
      </c>
      <c r="D273" s="2" t="str">
        <f t="shared" si="3"/>
        <v>Error?</v>
      </c>
    </row>
    <row r="274" spans="1:4" x14ac:dyDescent="0.2">
      <c r="A274" s="5">
        <v>213</v>
      </c>
      <c r="B274" s="138">
        <f>'Assets-Liab 5-6'!M17</f>
        <v>5613599</v>
      </c>
      <c r="D274" s="2" t="str">
        <f t="shared" si="3"/>
        <v>Error?</v>
      </c>
    </row>
    <row r="275" spans="1:4" x14ac:dyDescent="0.2">
      <c r="A275" s="5">
        <v>214</v>
      </c>
      <c r="B275" s="138">
        <f>'Assets-Liab 5-6'!M18</f>
        <v>174807</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6459814</v>
      </c>
      <c r="C279" s="2" t="s">
        <v>573</v>
      </c>
      <c r="D279" s="2" t="str">
        <f t="shared" si="3"/>
        <v>Error?</v>
      </c>
    </row>
    <row r="280" spans="1:4" x14ac:dyDescent="0.2">
      <c r="A280" s="5">
        <v>219</v>
      </c>
      <c r="B280" s="138">
        <f>'Assets-Liab 5-6'!M40</f>
        <v>6459814</v>
      </c>
      <c r="D280" s="2" t="str">
        <f t="shared" si="3"/>
        <v>Error?</v>
      </c>
    </row>
    <row r="281" spans="1:4" x14ac:dyDescent="0.2">
      <c r="A281" s="5">
        <v>220</v>
      </c>
      <c r="B281" s="138">
        <f>'Assets-Liab 5-6'!M41</f>
        <v>6459814</v>
      </c>
      <c r="C281" s="2" t="s">
        <v>573</v>
      </c>
      <c r="D281" s="2" t="str">
        <f t="shared" si="3"/>
        <v>Error?</v>
      </c>
    </row>
    <row r="282" spans="1:4" x14ac:dyDescent="0.2">
      <c r="A282" s="5">
        <v>221</v>
      </c>
      <c r="B282" s="138">
        <f>'Assets-Liab 5-6'!N21</f>
        <v>10</v>
      </c>
      <c r="D282" s="2" t="str">
        <f t="shared" si="3"/>
        <v>Error?</v>
      </c>
    </row>
    <row r="283" spans="1:4" x14ac:dyDescent="0.2">
      <c r="A283" s="5">
        <v>222</v>
      </c>
      <c r="B283" s="138">
        <f>'Assets-Liab 5-6'!N22</f>
        <v>1861990</v>
      </c>
      <c r="D283" s="2" t="str">
        <f t="shared" si="3"/>
        <v>Error?</v>
      </c>
    </row>
    <row r="284" spans="1:4" x14ac:dyDescent="0.2">
      <c r="A284" s="5">
        <v>223</v>
      </c>
      <c r="B284" s="138">
        <f>'Assets-Liab 5-6'!N23</f>
        <v>1862000</v>
      </c>
      <c r="C284" s="2" t="s">
        <v>573</v>
      </c>
      <c r="D284" s="2" t="str">
        <f t="shared" si="3"/>
        <v>Error?</v>
      </c>
    </row>
    <row r="285" spans="1:4" x14ac:dyDescent="0.2">
      <c r="A285" s="5">
        <v>224</v>
      </c>
      <c r="B285" s="138">
        <f>'Assets-Liab 5-6'!N36</f>
        <v>1862000</v>
      </c>
      <c r="D285" s="2" t="str">
        <f t="shared" si="3"/>
        <v>Error?</v>
      </c>
    </row>
    <row r="286" spans="1:4" x14ac:dyDescent="0.2">
      <c r="A286" s="10">
        <v>225</v>
      </c>
      <c r="D286" s="2" t="str">
        <f t="shared" si="3"/>
        <v>OK</v>
      </c>
    </row>
    <row r="287" spans="1:4" x14ac:dyDescent="0.2">
      <c r="A287" s="5">
        <v>226</v>
      </c>
      <c r="B287" s="138">
        <f>'Assets-Liab 5-6'!N37</f>
        <v>1862000</v>
      </c>
      <c r="C287" s="2" t="s">
        <v>573</v>
      </c>
      <c r="D287" s="2" t="str">
        <f t="shared" si="3"/>
        <v>Error?</v>
      </c>
    </row>
    <row r="288" spans="1:4" x14ac:dyDescent="0.2">
      <c r="A288" s="5">
        <v>227</v>
      </c>
      <c r="B288" s="138">
        <f>'Assets-Liab 5-6'!N41</f>
        <v>1862000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908306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44133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29411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1432720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39955</v>
      </c>
      <c r="D722" s="2" t="str">
        <f t="shared" si="10"/>
        <v>Error?</v>
      </c>
    </row>
    <row r="723" spans="1:4" x14ac:dyDescent="0.2">
      <c r="A723" s="5">
        <v>662</v>
      </c>
      <c r="B723" s="138">
        <f>'Expenditures 15-22'!C38</f>
        <v>40</v>
      </c>
      <c r="D723" s="2" t="str">
        <f t="shared" si="10"/>
        <v>Error?</v>
      </c>
    </row>
    <row r="724" spans="1:4" x14ac:dyDescent="0.2">
      <c r="A724" s="5">
        <v>663</v>
      </c>
      <c r="B724" s="138">
        <f>'Expenditures 15-22'!C39</f>
        <v>28253</v>
      </c>
      <c r="D724" s="2" t="str">
        <f t="shared" si="10"/>
        <v>Error?</v>
      </c>
    </row>
    <row r="725" spans="1:4" x14ac:dyDescent="0.2">
      <c r="A725" s="5">
        <v>664</v>
      </c>
      <c r="B725" s="138">
        <f>'Expenditures 15-22'!C40</f>
        <v>64242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132490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196813</v>
      </c>
      <c r="D733" s="2" t="str">
        <f t="shared" si="10"/>
        <v>Error?</v>
      </c>
    </row>
    <row r="734" spans="1:4" x14ac:dyDescent="0.2">
      <c r="A734" s="5">
        <v>673</v>
      </c>
      <c r="B734" s="138">
        <f>'Expenditures 15-22'!C53</f>
        <v>196813</v>
      </c>
      <c r="C734" s="2" t="s">
        <v>573</v>
      </c>
      <c r="D734" s="2" t="str">
        <f t="shared" si="10"/>
        <v>Error?</v>
      </c>
    </row>
    <row r="735" spans="1:4" x14ac:dyDescent="0.2">
      <c r="A735" s="5">
        <v>674</v>
      </c>
      <c r="B735" s="138">
        <f>'Expenditures 15-22'!C55</f>
        <v>212961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212961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69993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53521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123514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5030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5030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671395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2104115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221621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11580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326685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12119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1097</v>
      </c>
      <c r="D782" s="2" t="str">
        <f t="shared" si="11"/>
        <v>Error?</v>
      </c>
    </row>
    <row r="783" spans="1:4" x14ac:dyDescent="0.2">
      <c r="A783" s="5">
        <v>722</v>
      </c>
      <c r="B783" s="138">
        <f>'Expenditures 15-22'!D40</f>
        <v>13593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26809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33195</v>
      </c>
      <c r="D791" s="2" t="str">
        <f t="shared" si="11"/>
        <v>Error?</v>
      </c>
    </row>
    <row r="792" spans="1:4" x14ac:dyDescent="0.2">
      <c r="A792" s="5">
        <v>731</v>
      </c>
      <c r="B792" s="138">
        <f>'Expenditures 15-22'!D53</f>
        <v>33195</v>
      </c>
      <c r="C792" s="2" t="s">
        <v>573</v>
      </c>
      <c r="D792" s="2" t="str">
        <f t="shared" si="11"/>
        <v>Error?</v>
      </c>
    </row>
    <row r="793" spans="1:4" x14ac:dyDescent="0.2">
      <c r="A793" s="5">
        <v>732</v>
      </c>
      <c r="B793" s="138">
        <f>'Expenditures 15-22'!D55</f>
        <v>41941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41941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6450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13447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1119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1119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116511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443196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217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8860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55256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2671</v>
      </c>
      <c r="D841" s="2" t="str">
        <f t="shared" si="12"/>
        <v>Error?</v>
      </c>
    </row>
    <row r="842" spans="1:4" x14ac:dyDescent="0.2">
      <c r="A842" s="5">
        <v>781</v>
      </c>
      <c r="B842" s="138">
        <f>'Expenditures 15-22'!E41</f>
        <v>35508</v>
      </c>
      <c r="D842" s="2" t="str">
        <f t="shared" si="12"/>
        <v>Error?</v>
      </c>
    </row>
    <row r="843" spans="1:4" x14ac:dyDescent="0.2">
      <c r="A843" s="5">
        <v>782</v>
      </c>
      <c r="B843" s="138">
        <f>'Expenditures 15-22'!E42</f>
        <v>38223</v>
      </c>
      <c r="C843" s="2" t="s">
        <v>573</v>
      </c>
      <c r="D843" s="2" t="str">
        <f t="shared" si="12"/>
        <v>Error?</v>
      </c>
    </row>
    <row r="844" spans="1:4" x14ac:dyDescent="0.2">
      <c r="A844" s="5">
        <v>783</v>
      </c>
      <c r="B844" s="138">
        <f>'Expenditures 15-22'!E44</f>
        <v>17135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17135</v>
      </c>
      <c r="C847" s="2" t="s">
        <v>573</v>
      </c>
      <c r="D847" s="2" t="str">
        <f t="shared" si="12"/>
        <v>Error?</v>
      </c>
    </row>
    <row r="848" spans="1:4" x14ac:dyDescent="0.2">
      <c r="A848" s="5">
        <v>787</v>
      </c>
      <c r="B848" s="138">
        <f>'Expenditures 15-22'!E49</f>
        <v>139978</v>
      </c>
      <c r="D848" s="2" t="str">
        <f t="shared" si="12"/>
        <v>Error?</v>
      </c>
    </row>
    <row r="849" spans="1:4" x14ac:dyDescent="0.2">
      <c r="A849" s="5">
        <v>788</v>
      </c>
      <c r="B849" s="138">
        <f>'Expenditures 15-22'!E50</f>
        <v>2881</v>
      </c>
      <c r="D849" s="2" t="str">
        <f t="shared" si="12"/>
        <v>Error?</v>
      </c>
    </row>
    <row r="850" spans="1:4" x14ac:dyDescent="0.2">
      <c r="A850" s="5">
        <v>789</v>
      </c>
      <c r="B850" s="138">
        <f>'Expenditures 15-22'!E53</f>
        <v>165382</v>
      </c>
      <c r="C850" s="2" t="s">
        <v>573</v>
      </c>
      <c r="D850" s="2" t="str">
        <f t="shared" si="12"/>
        <v>Error?</v>
      </c>
    </row>
    <row r="851" spans="1:4" x14ac:dyDescent="0.2">
      <c r="A851" s="5">
        <v>790</v>
      </c>
      <c r="B851" s="138">
        <f>'Expenditures 15-22'!E55</f>
        <v>1783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13232</v>
      </c>
      <c r="D855" s="2" t="str">
        <f t="shared" si="12"/>
        <v>Error?</v>
      </c>
    </row>
    <row r="856" spans="1:4" x14ac:dyDescent="0.2">
      <c r="A856" s="5">
        <v>795</v>
      </c>
      <c r="B856" s="138">
        <f>'Expenditures 15-22'!E61</f>
        <v>34100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56260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660</v>
      </c>
      <c r="D864" s="2" t="str">
        <f t="shared" si="12"/>
        <v>Error?</v>
      </c>
    </row>
    <row r="865" spans="1:4" x14ac:dyDescent="0.2">
      <c r="A865" s="5">
        <v>804</v>
      </c>
      <c r="B865" s="138">
        <f>'Expenditures 15-22'!E70</f>
        <v>7644</v>
      </c>
      <c r="D865" s="2" t="str">
        <f t="shared" si="12"/>
        <v>Error?</v>
      </c>
    </row>
    <row r="866" spans="1:4" x14ac:dyDescent="0.2">
      <c r="A866" s="10">
        <v>805</v>
      </c>
      <c r="D866" s="2" t="str">
        <f t="shared" si="12"/>
        <v>OK</v>
      </c>
    </row>
    <row r="867" spans="1:4" x14ac:dyDescent="0.2">
      <c r="A867" s="5">
        <v>806</v>
      </c>
      <c r="B867" s="138">
        <f>'Expenditures 15-22'!E71</f>
        <v>70153</v>
      </c>
      <c r="D867" s="2" t="str">
        <f t="shared" si="12"/>
        <v>Error?</v>
      </c>
    </row>
    <row r="868" spans="1:4" x14ac:dyDescent="0.2">
      <c r="A868" s="10">
        <v>807</v>
      </c>
      <c r="D868" s="2" t="str">
        <f t="shared" si="12"/>
        <v>OK</v>
      </c>
    </row>
    <row r="869" spans="1:4" x14ac:dyDescent="0.2">
      <c r="A869" s="5">
        <v>808</v>
      </c>
      <c r="B869" s="138">
        <f>'Expenditures 15-22'!E72</f>
        <v>78457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357240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412496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69633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93755</v>
      </c>
      <c r="C894" s="2" t="s">
        <v>573</v>
      </c>
      <c r="D894" s="2" t="str">
        <f t="shared" si="12"/>
        <v>Error?</v>
      </c>
    </row>
    <row r="895" spans="1:4" x14ac:dyDescent="0.2">
      <c r="A895" s="5">
        <v>834</v>
      </c>
      <c r="B895" s="138">
        <f>'Expenditures 15-22'!F36</f>
        <v>291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381</v>
      </c>
      <c r="D897" s="2" t="str">
        <f t="shared" si="13"/>
        <v>Error?</v>
      </c>
    </row>
    <row r="898" spans="1:4" x14ac:dyDescent="0.2">
      <c r="A898" s="5">
        <v>837</v>
      </c>
      <c r="B898" s="138">
        <f>'Expenditures 15-22'!F39</f>
        <v>348</v>
      </c>
      <c r="D898" s="2" t="str">
        <f t="shared" si="13"/>
        <v>Error?</v>
      </c>
    </row>
    <row r="899" spans="1:4" x14ac:dyDescent="0.2">
      <c r="A899" s="5">
        <v>838</v>
      </c>
      <c r="B899" s="138">
        <f>'Expenditures 15-22'!F40</f>
        <v>1714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2734</v>
      </c>
      <c r="C901" s="2" t="s">
        <v>573</v>
      </c>
      <c r="D901" s="2" t="str">
        <f t="shared" si="13"/>
        <v>Error?</v>
      </c>
    </row>
    <row r="902" spans="1:4" x14ac:dyDescent="0.2">
      <c r="A902" s="5">
        <v>841</v>
      </c>
      <c r="B902" s="138">
        <f>'Expenditures 15-22'!F44</f>
        <v>4574</v>
      </c>
      <c r="D902" s="2" t="str">
        <f t="shared" si="13"/>
        <v>Error?</v>
      </c>
    </row>
    <row r="903" spans="1:4" x14ac:dyDescent="0.2">
      <c r="A903" s="5">
        <v>842</v>
      </c>
      <c r="B903" s="138">
        <f>'Expenditures 15-22'!F45</f>
        <v>1100</v>
      </c>
      <c r="D903" s="2" t="str">
        <f t="shared" si="13"/>
        <v>Error?</v>
      </c>
    </row>
    <row r="904" spans="1:4" x14ac:dyDescent="0.2">
      <c r="A904" s="5">
        <v>843</v>
      </c>
      <c r="B904" s="138">
        <f>'Expenditures 15-22'!F46</f>
        <v>9511</v>
      </c>
      <c r="D904" s="2" t="str">
        <f t="shared" si="13"/>
        <v>Error?</v>
      </c>
    </row>
    <row r="905" spans="1:4" x14ac:dyDescent="0.2">
      <c r="A905" s="5">
        <v>844</v>
      </c>
      <c r="B905" s="138">
        <f>'Expenditures 15-22'!F47</f>
        <v>15185</v>
      </c>
      <c r="C905" s="2" t="s">
        <v>573</v>
      </c>
      <c r="D905" s="2" t="str">
        <f t="shared" si="13"/>
        <v>Error?</v>
      </c>
    </row>
    <row r="906" spans="1:4" x14ac:dyDescent="0.2">
      <c r="A906" s="5">
        <v>845</v>
      </c>
      <c r="B906" s="138">
        <f>'Expenditures 15-22'!F49</f>
        <v>566</v>
      </c>
      <c r="D906" s="2" t="str">
        <f t="shared" si="13"/>
        <v>Error?</v>
      </c>
    </row>
    <row r="907" spans="1:4" x14ac:dyDescent="0.2">
      <c r="A907" s="5">
        <v>846</v>
      </c>
      <c r="B907" s="138">
        <f>'Expenditures 15-22'!F50</f>
        <v>1134</v>
      </c>
      <c r="D907" s="2" t="str">
        <f t="shared" si="13"/>
        <v>Error?</v>
      </c>
    </row>
    <row r="908" spans="1:4" x14ac:dyDescent="0.2">
      <c r="A908" s="5">
        <v>847</v>
      </c>
      <c r="B908" s="138">
        <f>'Expenditures 15-22'!F53</f>
        <v>1700</v>
      </c>
      <c r="C908" s="2" t="s">
        <v>573</v>
      </c>
      <c r="D908" s="2" t="str">
        <f t="shared" si="13"/>
        <v>Error?</v>
      </c>
    </row>
    <row r="909" spans="1:4" x14ac:dyDescent="0.2">
      <c r="A909" s="5">
        <v>848</v>
      </c>
      <c r="B909" s="138">
        <f>'Expenditures 15-22'!F55</f>
        <v>2098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6042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60755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66797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1648</v>
      </c>
      <c r="D922" s="2" t="str">
        <f t="shared" si="13"/>
        <v>Error?</v>
      </c>
    </row>
    <row r="923" spans="1:4" x14ac:dyDescent="0.2">
      <c r="A923" s="5">
        <v>862</v>
      </c>
      <c r="B923" s="138">
        <f>'Expenditures 15-22'!F70</f>
        <v>419</v>
      </c>
      <c r="D923" s="2" t="str">
        <f t="shared" si="13"/>
        <v>Error?</v>
      </c>
    </row>
    <row r="924" spans="1:4" x14ac:dyDescent="0.2">
      <c r="A924" s="10">
        <v>863</v>
      </c>
      <c r="D924" s="2" t="str">
        <f t="shared" si="13"/>
        <v>OK</v>
      </c>
    </row>
    <row r="925" spans="1:4" x14ac:dyDescent="0.2">
      <c r="A925" s="5">
        <v>864</v>
      </c>
      <c r="B925" s="138">
        <f>'Expenditures 15-22'!F71</f>
        <v>7535</v>
      </c>
      <c r="D925" s="2" t="str">
        <f t="shared" si="13"/>
        <v>Error?</v>
      </c>
    </row>
    <row r="926" spans="1:4" x14ac:dyDescent="0.2">
      <c r="A926" s="10">
        <v>865</v>
      </c>
      <c r="D926" s="2" t="str">
        <f t="shared" si="13"/>
        <v>OK</v>
      </c>
    </row>
    <row r="927" spans="1:4" x14ac:dyDescent="0.2">
      <c r="A927" s="5">
        <v>866</v>
      </c>
      <c r="B927" s="138">
        <f>'Expenditures 15-22'!F72</f>
        <v>9602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98116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191871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1909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11674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6350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6350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6350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3741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2598</v>
      </c>
      <c r="D1023" s="2" t="str">
        <f t="shared" ref="D1023:D1086" si="15">IF(ISBLANK(B1023),"OK",IF(A1023-B1023=0,"OK","Error?"))</f>
        <v>Error?</v>
      </c>
    </row>
    <row r="1024" spans="1:4" x14ac:dyDescent="0.2">
      <c r="A1024" s="5">
        <v>963</v>
      </c>
      <c r="B1024" s="138">
        <f>'Expenditures 15-22'!H53</f>
        <v>2598</v>
      </c>
      <c r="C1024" s="2" t="s">
        <v>573</v>
      </c>
      <c r="D1024" s="2" t="str">
        <f t="shared" si="15"/>
        <v>Error?</v>
      </c>
    </row>
    <row r="1025" spans="1:4" x14ac:dyDescent="0.2">
      <c r="A1025" s="5">
        <v>964</v>
      </c>
      <c r="B1025" s="138">
        <f>'Expenditures 15-22'!H55</f>
        <v>1611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1611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1334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5543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41930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51214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1209435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55930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53221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1923831</v>
      </c>
      <c r="C1108" s="2" t="s">
        <v>573</v>
      </c>
      <c r="D1108" s="2" t="str">
        <f t="shared" si="16"/>
        <v>Error?</v>
      </c>
    </row>
    <row r="1109" spans="1:4" x14ac:dyDescent="0.2">
      <c r="A1109" s="5">
        <v>1048</v>
      </c>
      <c r="B1109" s="138">
        <f>'Expenditures 15-22'!K36</f>
        <v>291</v>
      </c>
      <c r="C1109" s="2" t="s">
        <v>573</v>
      </c>
      <c r="D1109" s="2" t="str">
        <f t="shared" si="16"/>
        <v>Error?</v>
      </c>
    </row>
    <row r="1110" spans="1:4" x14ac:dyDescent="0.2">
      <c r="A1110" s="5">
        <v>1049</v>
      </c>
      <c r="B1110" s="138">
        <f>'Expenditures 15-22'!K37</f>
        <v>52074</v>
      </c>
      <c r="C1110" s="2" t="s">
        <v>573</v>
      </c>
      <c r="D1110" s="2" t="str">
        <f t="shared" si="16"/>
        <v>Error?</v>
      </c>
    </row>
    <row r="1111" spans="1:4" x14ac:dyDescent="0.2">
      <c r="A1111" s="5">
        <v>1050</v>
      </c>
      <c r="B1111" s="138">
        <f>'Expenditures 15-22'!K38</f>
        <v>465</v>
      </c>
      <c r="C1111" s="2" t="s">
        <v>573</v>
      </c>
      <c r="D1111" s="2" t="str">
        <f t="shared" si="16"/>
        <v>Error?</v>
      </c>
    </row>
    <row r="1112" spans="1:4" x14ac:dyDescent="0.2">
      <c r="A1112" s="5">
        <v>1051</v>
      </c>
      <c r="B1112" s="138">
        <f>'Expenditures 15-22'!K39</f>
        <v>29698</v>
      </c>
      <c r="C1112" s="2" t="s">
        <v>573</v>
      </c>
      <c r="D1112" s="2" t="str">
        <f t="shared" si="16"/>
        <v>Error?</v>
      </c>
    </row>
    <row r="1113" spans="1:4" x14ac:dyDescent="0.2">
      <c r="A1113" s="5">
        <v>1052</v>
      </c>
      <c r="B1113" s="138">
        <f>'Expenditures 15-22'!K40</f>
        <v>82220</v>
      </c>
      <c r="C1113" s="2" t="s">
        <v>573</v>
      </c>
      <c r="D1113" s="2" t="str">
        <f t="shared" si="16"/>
        <v>Error?</v>
      </c>
    </row>
    <row r="1114" spans="1:4" x14ac:dyDescent="0.2">
      <c r="A1114" s="5">
        <v>1053</v>
      </c>
      <c r="B1114" s="138">
        <f>'Expenditures 15-22'!K41</f>
        <v>35508</v>
      </c>
      <c r="C1114" s="2" t="s">
        <v>573</v>
      </c>
      <c r="D1114" s="2" t="str">
        <f t="shared" si="16"/>
        <v>Error?</v>
      </c>
    </row>
    <row r="1115" spans="1:4" x14ac:dyDescent="0.2">
      <c r="A1115" s="5">
        <v>1054</v>
      </c>
      <c r="B1115" s="138">
        <f>'Expenditures 15-22'!K42</f>
        <v>200256</v>
      </c>
      <c r="C1115" s="2" t="s">
        <v>573</v>
      </c>
      <c r="D1115" s="2" t="str">
        <f t="shared" si="16"/>
        <v>Error?</v>
      </c>
    </row>
    <row r="1116" spans="1:4" x14ac:dyDescent="0.2">
      <c r="A1116" s="5">
        <v>1055</v>
      </c>
      <c r="B1116" s="138">
        <f>'Expenditures 15-22'!K44</f>
        <v>21709</v>
      </c>
      <c r="C1116" s="2" t="s">
        <v>573</v>
      </c>
      <c r="D1116" s="2" t="str">
        <f t="shared" si="16"/>
        <v>Error?</v>
      </c>
    </row>
    <row r="1117" spans="1:4" x14ac:dyDescent="0.2">
      <c r="A1117" s="5">
        <v>1056</v>
      </c>
      <c r="B1117" s="138">
        <f>'Expenditures 15-22'!K45</f>
        <v>1687</v>
      </c>
      <c r="C1117" s="2" t="s">
        <v>573</v>
      </c>
      <c r="D1117" s="2" t="str">
        <f t="shared" si="16"/>
        <v>Error?</v>
      </c>
    </row>
    <row r="1118" spans="1:4" x14ac:dyDescent="0.2">
      <c r="A1118" s="5">
        <v>1057</v>
      </c>
      <c r="B1118" s="138">
        <f>'Expenditures 15-22'!K46</f>
        <v>9511</v>
      </c>
      <c r="C1118" s="2" t="s">
        <v>573</v>
      </c>
      <c r="D1118" s="2" t="str">
        <f t="shared" si="16"/>
        <v>Error?</v>
      </c>
    </row>
    <row r="1119" spans="1:4" x14ac:dyDescent="0.2">
      <c r="A1119" s="5">
        <v>1058</v>
      </c>
      <c r="B1119" s="138">
        <f>'Expenditures 15-22'!K47</f>
        <v>32907</v>
      </c>
      <c r="C1119" s="2" t="s">
        <v>573</v>
      </c>
      <c r="D1119" s="2" t="str">
        <f t="shared" si="16"/>
        <v>Error?</v>
      </c>
    </row>
    <row r="1120" spans="1:4" x14ac:dyDescent="0.2">
      <c r="A1120" s="5">
        <v>1059</v>
      </c>
      <c r="B1120" s="138">
        <f>'Expenditures 15-22'!K49</f>
        <v>146894</v>
      </c>
      <c r="C1120" s="2" t="s">
        <v>573</v>
      </c>
      <c r="D1120" s="2" t="str">
        <f t="shared" si="16"/>
        <v>Error?</v>
      </c>
    </row>
    <row r="1121" spans="1:4" x14ac:dyDescent="0.2">
      <c r="A1121" s="5">
        <v>1060</v>
      </c>
      <c r="B1121" s="138">
        <f>'Expenditures 15-22'!K50</f>
        <v>236621</v>
      </c>
      <c r="C1121" s="2" t="s">
        <v>573</v>
      </c>
      <c r="D1121" s="2" t="str">
        <f t="shared" si="16"/>
        <v>Error?</v>
      </c>
    </row>
    <row r="1122" spans="1:4" x14ac:dyDescent="0.2">
      <c r="A1122" s="5">
        <v>1061</v>
      </c>
      <c r="B1122" s="138">
        <f>'Expenditures 15-22'!K53</f>
        <v>406038</v>
      </c>
      <c r="C1122" s="2" t="s">
        <v>573</v>
      </c>
      <c r="D1122" s="2" t="str">
        <f t="shared" si="16"/>
        <v>Error?</v>
      </c>
    </row>
    <row r="1123" spans="1:4" x14ac:dyDescent="0.2">
      <c r="A1123" s="5">
        <v>1062</v>
      </c>
      <c r="B1123" s="138">
        <f>'Expenditures 15-22'!K55</f>
        <v>260394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260394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96326</v>
      </c>
      <c r="C1127" s="2" t="s">
        <v>573</v>
      </c>
      <c r="D1127" s="2" t="str">
        <f t="shared" si="16"/>
        <v>Error?</v>
      </c>
    </row>
    <row r="1128" spans="1:4" x14ac:dyDescent="0.2">
      <c r="A1128" s="5">
        <v>1067</v>
      </c>
      <c r="B1128" s="138">
        <f>'Expenditures 15-22'!K61</f>
        <v>34100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130926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261352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3427</v>
      </c>
      <c r="C1136" s="2" t="s">
        <v>573</v>
      </c>
      <c r="D1136" s="2" t="str">
        <f t="shared" si="16"/>
        <v>Error?</v>
      </c>
    </row>
    <row r="1137" spans="1:4" x14ac:dyDescent="0.2">
      <c r="A1137" s="5">
        <v>1076</v>
      </c>
      <c r="B1137" s="138">
        <f>'Expenditures 15-22'!K70</f>
        <v>13093</v>
      </c>
      <c r="C1137" s="2" t="s">
        <v>573</v>
      </c>
      <c r="D1137" s="2" t="str">
        <f t="shared" si="16"/>
        <v>Error?</v>
      </c>
    </row>
    <row r="1138" spans="1:4" x14ac:dyDescent="0.2">
      <c r="A1138" s="10">
        <v>1077</v>
      </c>
      <c r="D1138" s="2" t="str">
        <f t="shared" si="16"/>
        <v>OK</v>
      </c>
    </row>
    <row r="1139" spans="1:4" x14ac:dyDescent="0.2">
      <c r="A1139" s="5">
        <v>1078</v>
      </c>
      <c r="B1139" s="138">
        <f>'Expenditures 15-22'!K71</f>
        <v>77688</v>
      </c>
      <c r="C1139" s="2" t="s">
        <v>573</v>
      </c>
      <c r="D1139" s="2" t="str">
        <f t="shared" si="16"/>
        <v>Error?</v>
      </c>
    </row>
    <row r="1140" spans="1:4" x14ac:dyDescent="0.2">
      <c r="A1140" s="10">
        <v>1079</v>
      </c>
      <c r="D1140" s="2" t="str">
        <f t="shared" si="16"/>
        <v>OK</v>
      </c>
    </row>
    <row r="1141" spans="1:4" x14ac:dyDescent="0.2">
      <c r="A1141" s="5">
        <v>1080</v>
      </c>
      <c r="B1141" s="138">
        <f>'Expenditures 15-22'!K72</f>
        <v>94208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1255155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41930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3220916</v>
      </c>
      <c r="C1152" s="2" t="s">
        <v>573</v>
      </c>
      <c r="D1152" s="2" t="str">
        <f t="shared" si="17"/>
        <v>Error?</v>
      </c>
    </row>
    <row r="1153" spans="1:4" x14ac:dyDescent="0.2">
      <c r="A1153" s="5">
        <v>1092</v>
      </c>
      <c r="B1153" s="138">
        <f>'Expenditures 15-22'!K115</f>
        <v>323696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119140</v>
      </c>
      <c r="D1221" s="2" t="str">
        <f t="shared" si="18"/>
        <v>Error?</v>
      </c>
    </row>
    <row r="1222" spans="1:4" x14ac:dyDescent="0.2">
      <c r="A1222" s="10">
        <v>1161</v>
      </c>
      <c r="D1222" s="2" t="str">
        <f t="shared" si="18"/>
        <v>OK</v>
      </c>
    </row>
    <row r="1223" spans="1:4" x14ac:dyDescent="0.2">
      <c r="A1223" s="5">
        <v>1162</v>
      </c>
      <c r="B1223" s="138">
        <f>'Expenditures 15-22'!C127</f>
        <v>119140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119140</v>
      </c>
      <c r="C1225" s="2" t="s">
        <v>573</v>
      </c>
      <c r="D1225" s="2" t="str">
        <f t="shared" si="18"/>
        <v>Error?</v>
      </c>
    </row>
    <row r="1226" spans="1:4" x14ac:dyDescent="0.2">
      <c r="A1226" s="5">
        <v>1165</v>
      </c>
      <c r="B1226" s="138">
        <f>'Expenditures 15-22'!C151</f>
        <v>119140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18279</v>
      </c>
      <c r="D1229" s="2" t="str">
        <f t="shared" si="18"/>
        <v>Error?</v>
      </c>
    </row>
    <row r="1230" spans="1:4" x14ac:dyDescent="0.2">
      <c r="A1230" s="10">
        <v>1169</v>
      </c>
      <c r="D1230" s="2" t="str">
        <f t="shared" si="18"/>
        <v>OK</v>
      </c>
    </row>
    <row r="1231" spans="1:4" x14ac:dyDescent="0.2">
      <c r="A1231" s="5">
        <v>1170</v>
      </c>
      <c r="B1231" s="138">
        <f>'Expenditures 15-22'!D127</f>
        <v>18279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18279</v>
      </c>
      <c r="C1233" s="2" t="s">
        <v>573</v>
      </c>
      <c r="D1233" s="2" t="str">
        <f t="shared" si="18"/>
        <v>Error?</v>
      </c>
    </row>
    <row r="1234" spans="1:4" x14ac:dyDescent="0.2">
      <c r="A1234" s="5">
        <v>1173</v>
      </c>
      <c r="B1234" s="138">
        <f>'Expenditures 15-22'!D151</f>
        <v>18279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277948</v>
      </c>
      <c r="D1237" s="2" t="str">
        <f t="shared" si="18"/>
        <v>Error?</v>
      </c>
    </row>
    <row r="1238" spans="1:4" x14ac:dyDescent="0.2">
      <c r="A1238" s="10">
        <v>1177</v>
      </c>
      <c r="D1238" s="2" t="str">
        <f t="shared" si="18"/>
        <v>OK</v>
      </c>
    </row>
    <row r="1239" spans="1:4" x14ac:dyDescent="0.2">
      <c r="A1239" s="5">
        <v>1178</v>
      </c>
      <c r="B1239" s="138">
        <f>'Expenditures 15-22'!E127</f>
        <v>277948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277948</v>
      </c>
      <c r="C1241" s="2" t="s">
        <v>573</v>
      </c>
      <c r="D1241" s="2" t="str">
        <f t="shared" si="18"/>
        <v>Error?</v>
      </c>
    </row>
    <row r="1242" spans="1:4" x14ac:dyDescent="0.2">
      <c r="A1242" s="5">
        <v>1181</v>
      </c>
      <c r="B1242" s="138">
        <f>'Expenditures 15-22'!E151</f>
        <v>277948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101551</v>
      </c>
      <c r="D1245" s="2" t="str">
        <f t="shared" si="18"/>
        <v>Error?</v>
      </c>
    </row>
    <row r="1246" spans="1:4" x14ac:dyDescent="0.2">
      <c r="A1246" s="10">
        <v>1185</v>
      </c>
      <c r="D1246" s="2" t="str">
        <f t="shared" si="18"/>
        <v>OK</v>
      </c>
    </row>
    <row r="1247" spans="1:4" x14ac:dyDescent="0.2">
      <c r="A1247" s="5">
        <v>1186</v>
      </c>
      <c r="B1247" s="138">
        <f>'Expenditures 15-22'!F127</f>
        <v>101551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101551</v>
      </c>
      <c r="C1249" s="2" t="s">
        <v>573</v>
      </c>
      <c r="D1249" s="2" t="str">
        <f t="shared" si="18"/>
        <v>Error?</v>
      </c>
    </row>
    <row r="1250" spans="1:4" x14ac:dyDescent="0.2">
      <c r="A1250" s="5">
        <v>1189</v>
      </c>
      <c r="B1250" s="138">
        <f>'Expenditures 15-22'!F151</f>
        <v>101551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1044</v>
      </c>
      <c r="D1262" s="2" t="str">
        <f t="shared" si="18"/>
        <v>Error?</v>
      </c>
    </row>
    <row r="1263" spans="1:4" x14ac:dyDescent="0.2">
      <c r="A1263" s="10">
        <v>1202</v>
      </c>
      <c r="D1263" s="2" t="str">
        <f t="shared" si="18"/>
        <v>OK</v>
      </c>
    </row>
    <row r="1264" spans="1:4" x14ac:dyDescent="0.2">
      <c r="A1264" s="5">
        <v>1203</v>
      </c>
      <c r="B1264" s="138">
        <f>'Expenditures 15-22'!H127</f>
        <v>1044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1044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1044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517962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517962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517962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517962</v>
      </c>
      <c r="C1288" s="2" t="s">
        <v>573</v>
      </c>
      <c r="D1288" s="2" t="str">
        <f t="shared" si="19"/>
        <v>Error?</v>
      </c>
    </row>
    <row r="1289" spans="1:4" x14ac:dyDescent="0.2">
      <c r="A1289" s="5">
        <v>1228</v>
      </c>
      <c r="B1289" s="138">
        <f>'Expenditures 15-22'!K152</f>
        <v>-124689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573</v>
      </c>
      <c r="D1308" s="2" t="str">
        <f t="shared" si="19"/>
        <v>Error?</v>
      </c>
    </row>
    <row r="1309" spans="1:4" x14ac:dyDescent="0.2">
      <c r="A1309" s="5">
        <v>1248</v>
      </c>
      <c r="B1309" s="138">
        <f>'Expenditures 15-22'!E174</f>
        <v>1500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86248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458000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544248</v>
      </c>
      <c r="C1317" s="2" t="s">
        <v>573</v>
      </c>
      <c r="D1317" s="2" t="str">
        <f t="shared" si="19"/>
        <v>Error?</v>
      </c>
    </row>
    <row r="1318" spans="1:4" x14ac:dyDescent="0.2">
      <c r="A1318" s="5">
        <v>1257</v>
      </c>
      <c r="B1318" s="138">
        <f>'Expenditures 15-22'!H174</f>
        <v>544248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86248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458000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545748</v>
      </c>
      <c r="C1331" s="2" t="s">
        <v>573</v>
      </c>
      <c r="D1331" s="2" t="str">
        <f t="shared" si="19"/>
        <v>Error?</v>
      </c>
    </row>
    <row r="1332" spans="1:4" x14ac:dyDescent="0.2">
      <c r="A1332" s="5">
        <v>1271</v>
      </c>
      <c r="B1332" s="138">
        <f>'Expenditures 15-22'!K174</f>
        <v>545748</v>
      </c>
      <c r="C1332" s="2" t="s">
        <v>573</v>
      </c>
      <c r="D1332" s="2" t="str">
        <f t="shared" si="19"/>
        <v>Error?</v>
      </c>
    </row>
    <row r="1333" spans="1:4" x14ac:dyDescent="0.2">
      <c r="A1333" s="5">
        <v>1272</v>
      </c>
      <c r="B1333" s="138">
        <f>'Expenditures 15-22'!K175</f>
        <v>-63</v>
      </c>
      <c r="C1333" s="2" t="s">
        <v>573</v>
      </c>
      <c r="D1333" s="2" t="str">
        <f t="shared" si="19"/>
        <v>Error?</v>
      </c>
    </row>
    <row r="1334" spans="1:4" x14ac:dyDescent="0.2">
      <c r="A1334" s="10">
        <v>1273</v>
      </c>
      <c r="D1334" s="2" t="str">
        <f t="shared" si="19"/>
        <v>OK</v>
      </c>
    </row>
    <row r="1335" spans="1:4" x14ac:dyDescent="0.2">
      <c r="A1335" s="5">
        <v>1274</v>
      </c>
      <c r="B1335" s="138">
        <f>'Expenditures 15-22'!C182</f>
        <v>113425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113425</v>
      </c>
      <c r="C1339" s="2" t="s">
        <v>573</v>
      </c>
      <c r="D1339" s="2" t="str">
        <f t="shared" si="19"/>
        <v>Error?</v>
      </c>
    </row>
    <row r="1340" spans="1:4" x14ac:dyDescent="0.2">
      <c r="A1340" s="5">
        <v>1279</v>
      </c>
      <c r="B1340" s="138">
        <f>'Expenditures 15-22'!C210</f>
        <v>113425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100972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100972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100972</v>
      </c>
      <c r="C1353" s="2" t="s">
        <v>573</v>
      </c>
      <c r="D1353" s="2" t="str">
        <f t="shared" si="20"/>
        <v>Error?</v>
      </c>
    </row>
    <row r="1354" spans="1:4" x14ac:dyDescent="0.2">
      <c r="A1354" s="5">
        <v>1293</v>
      </c>
      <c r="B1354" s="138">
        <f>'Expenditures 15-22'!F182</f>
        <v>27377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27377</v>
      </c>
      <c r="C1358" s="2" t="s">
        <v>573</v>
      </c>
      <c r="D1358" s="2" t="str">
        <f t="shared" si="20"/>
        <v>Error?</v>
      </c>
    </row>
    <row r="1359" spans="1:4" x14ac:dyDescent="0.2">
      <c r="A1359" s="5">
        <v>1298</v>
      </c>
      <c r="B1359" s="138">
        <f>'Expenditures 15-22'!F210</f>
        <v>27377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241774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241774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241774</v>
      </c>
      <c r="C1388" s="2" t="s">
        <v>573</v>
      </c>
      <c r="D1388" s="2" t="str">
        <f t="shared" si="20"/>
        <v>Error?</v>
      </c>
    </row>
    <row r="1389" spans="1:4" x14ac:dyDescent="0.2">
      <c r="A1389" s="5">
        <v>1328</v>
      </c>
      <c r="B1389" s="138">
        <f>'Expenditures 15-22'!K211</f>
        <v>-16819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640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36846</v>
      </c>
      <c r="C1410" s="2" t="s">
        <v>573</v>
      </c>
      <c r="D1410" s="2" t="str">
        <f t="shared" si="21"/>
        <v>Error?</v>
      </c>
    </row>
    <row r="1411" spans="1:4" x14ac:dyDescent="0.2">
      <c r="A1411" s="5">
        <v>1350</v>
      </c>
      <c r="B1411" s="138">
        <f>'Expenditures 15-22'!D232</f>
        <v>413</v>
      </c>
      <c r="D1411" s="2" t="str">
        <f t="shared" si="21"/>
        <v>Error?</v>
      </c>
    </row>
    <row r="1412" spans="1:4" x14ac:dyDescent="0.2">
      <c r="A1412" s="5">
        <v>1351</v>
      </c>
      <c r="B1412" s="138">
        <f>'Expenditures 15-22'!D233</f>
        <v>579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1890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9628</v>
      </c>
      <c r="D1423" s="2" t="str">
        <f t="shared" si="21"/>
        <v>Error?</v>
      </c>
    </row>
    <row r="1424" spans="1:4" x14ac:dyDescent="0.2">
      <c r="A1424" s="5">
        <v>1363</v>
      </c>
      <c r="B1424" s="138">
        <f>'Expenditures 15-22'!D257</f>
        <v>9628</v>
      </c>
      <c r="C1424" s="2" t="s">
        <v>573</v>
      </c>
      <c r="D1424" s="2" t="str">
        <f t="shared" si="21"/>
        <v>Error?</v>
      </c>
    </row>
    <row r="1425" spans="1:4" x14ac:dyDescent="0.2">
      <c r="A1425" s="5">
        <v>1364</v>
      </c>
      <c r="B1425" s="138">
        <f>'Expenditures 15-22'!D259</f>
        <v>10593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10593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10243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16889</v>
      </c>
      <c r="D1431" s="2" t="str">
        <f t="shared" si="21"/>
        <v>Error?</v>
      </c>
    </row>
    <row r="1432" spans="1:4" x14ac:dyDescent="0.2">
      <c r="A1432" s="5">
        <v>1371</v>
      </c>
      <c r="B1432" s="138">
        <f>'Expenditures 15-22'!D267</f>
        <v>11003</v>
      </c>
      <c r="D1432" s="2" t="str">
        <f t="shared" si="21"/>
        <v>Error?</v>
      </c>
    </row>
    <row r="1433" spans="1:4" x14ac:dyDescent="0.2">
      <c r="A1433" s="5">
        <v>1372</v>
      </c>
      <c r="B1433" s="138">
        <f>'Expenditures 15-22'!D268</f>
        <v>6807</v>
      </c>
      <c r="D1433" s="2" t="str">
        <f t="shared" si="21"/>
        <v>Error?</v>
      </c>
    </row>
    <row r="1434" spans="1:4" x14ac:dyDescent="0.2">
      <c r="A1434" s="5">
        <v>1373</v>
      </c>
      <c r="B1434" s="138">
        <f>'Expenditures 15-22'!D269</f>
        <v>713</v>
      </c>
      <c r="D1434" s="2" t="str">
        <f t="shared" si="21"/>
        <v>Error?</v>
      </c>
    </row>
    <row r="1435" spans="1:4" x14ac:dyDescent="0.2">
      <c r="A1435" s="10">
        <v>1374</v>
      </c>
      <c r="D1435" s="2" t="str">
        <f t="shared" si="21"/>
        <v>OK</v>
      </c>
    </row>
    <row r="1436" spans="1:4" x14ac:dyDescent="0.2">
      <c r="A1436" s="5">
        <v>1375</v>
      </c>
      <c r="B1436" s="138">
        <f>'Expenditures 15-22'!D270</f>
        <v>45655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67844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104690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640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1472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36846</v>
      </c>
      <c r="C1474" s="2" t="s">
        <v>573</v>
      </c>
      <c r="D1474" s="2" t="str">
        <f t="shared" si="22"/>
        <v>Error?</v>
      </c>
    </row>
    <row r="1475" spans="1:4" x14ac:dyDescent="0.2">
      <c r="A1475" s="5">
        <v>1414</v>
      </c>
      <c r="B1475" s="138">
        <f>'Expenditures 15-22'!K232</f>
        <v>413</v>
      </c>
      <c r="C1475" s="2" t="s">
        <v>573</v>
      </c>
      <c r="D1475" s="2" t="str">
        <f t="shared" si="22"/>
        <v>Error?</v>
      </c>
    </row>
    <row r="1476" spans="1:4" x14ac:dyDescent="0.2">
      <c r="A1476" s="5">
        <v>1415</v>
      </c>
      <c r="B1476" s="138">
        <f>'Expenditures 15-22'!K233</f>
        <v>579</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898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1890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9628</v>
      </c>
      <c r="C1487" s="2" t="s">
        <v>573</v>
      </c>
      <c r="D1487" s="2" t="str">
        <f t="shared" si="22"/>
        <v>Error?</v>
      </c>
    </row>
    <row r="1488" spans="1:4" x14ac:dyDescent="0.2">
      <c r="A1488" s="5">
        <v>1427</v>
      </c>
      <c r="B1488" s="138">
        <f>'Expenditures 15-22'!K257</f>
        <v>9628</v>
      </c>
      <c r="C1488" s="2" t="s">
        <v>573</v>
      </c>
      <c r="D1488" s="2" t="str">
        <f t="shared" si="22"/>
        <v>Error?</v>
      </c>
    </row>
    <row r="1489" spans="1:4" x14ac:dyDescent="0.2">
      <c r="A1489" s="5">
        <v>1428</v>
      </c>
      <c r="B1489" s="138">
        <f>'Expenditures 15-22'!K259</f>
        <v>10593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10593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10243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16889</v>
      </c>
      <c r="C1495" s="2" t="s">
        <v>573</v>
      </c>
      <c r="D1495" s="2" t="str">
        <f t="shared" si="22"/>
        <v>Error?</v>
      </c>
    </row>
    <row r="1496" spans="1:4" x14ac:dyDescent="0.2">
      <c r="A1496" s="5">
        <v>1435</v>
      </c>
      <c r="B1496" s="138">
        <f>'Expenditures 15-22'!K267</f>
        <v>11003</v>
      </c>
      <c r="C1496" s="2" t="s">
        <v>573</v>
      </c>
      <c r="D1496" s="2" t="str">
        <f t="shared" si="22"/>
        <v>Error?</v>
      </c>
    </row>
    <row r="1497" spans="1:4" x14ac:dyDescent="0.2">
      <c r="A1497" s="5">
        <v>1436</v>
      </c>
      <c r="B1497" s="138">
        <f>'Expenditures 15-22'!K268</f>
        <v>6807</v>
      </c>
      <c r="C1497" s="2" t="s">
        <v>573</v>
      </c>
      <c r="D1497" s="2" t="str">
        <f t="shared" si="22"/>
        <v>Error?</v>
      </c>
    </row>
    <row r="1498" spans="1:4" x14ac:dyDescent="0.2">
      <c r="A1498" s="5">
        <v>1437</v>
      </c>
      <c r="B1498" s="138">
        <f>'Expenditures 15-22'!K269</f>
        <v>713</v>
      </c>
      <c r="C1498" s="2" t="s">
        <v>573</v>
      </c>
      <c r="D1498" s="2" t="str">
        <f t="shared" si="22"/>
        <v>Error?</v>
      </c>
    </row>
    <row r="1499" spans="1:4" x14ac:dyDescent="0.2">
      <c r="A1499" s="10">
        <v>1438</v>
      </c>
      <c r="D1499" s="2" t="str">
        <f t="shared" si="22"/>
        <v>OK</v>
      </c>
    </row>
    <row r="1500" spans="1:4" x14ac:dyDescent="0.2">
      <c r="A1500" s="5">
        <v>1439</v>
      </c>
      <c r="B1500" s="138">
        <f>'Expenditures 15-22'!K270</f>
        <v>45655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67844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104690</v>
      </c>
      <c r="C1517" s="2" t="s">
        <v>573</v>
      </c>
      <c r="D1517" s="2" t="str">
        <f t="shared" si="22"/>
        <v>Error?</v>
      </c>
    </row>
    <row r="1518" spans="1:4" x14ac:dyDescent="0.2">
      <c r="A1518" s="5">
        <v>1457</v>
      </c>
      <c r="B1518" s="138">
        <f>'Expenditures 15-22'!K296</f>
        <v>2324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849</v>
      </c>
      <c r="D1552" s="2" t="str">
        <f t="shared" si="23"/>
        <v>Error?</v>
      </c>
    </row>
    <row r="1553" spans="1:4" x14ac:dyDescent="0.2">
      <c r="A1553" s="5">
        <v>1492</v>
      </c>
      <c r="B1553" s="138">
        <f>'Expenditures 15-22'!H303</f>
        <v>849</v>
      </c>
      <c r="C1553" s="2" t="s">
        <v>573</v>
      </c>
      <c r="D1553" s="2" t="str">
        <f t="shared" si="23"/>
        <v>Error?</v>
      </c>
    </row>
    <row r="1554" spans="1:4" x14ac:dyDescent="0.2">
      <c r="A1554" s="5">
        <v>1493</v>
      </c>
      <c r="B1554" s="138">
        <f>'Expenditures 15-22'!H312</f>
        <v>849</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849</v>
      </c>
      <c r="C1558" s="2" t="s">
        <v>573</v>
      </c>
      <c r="D1558" s="2" t="str">
        <f t="shared" si="23"/>
        <v>Error?</v>
      </c>
    </row>
    <row r="1559" spans="1:4" x14ac:dyDescent="0.2">
      <c r="A1559" s="5">
        <v>1498</v>
      </c>
      <c r="B1559" s="138">
        <f>'Expenditures 15-22'!K303</f>
        <v>849</v>
      </c>
      <c r="C1559" s="2" t="s">
        <v>573</v>
      </c>
      <c r="D1559" s="2" t="str">
        <f t="shared" si="23"/>
        <v>Error?</v>
      </c>
    </row>
    <row r="1560" spans="1:4" x14ac:dyDescent="0.2">
      <c r="A1560" s="5">
        <v>1499</v>
      </c>
      <c r="B1560" s="138">
        <f>'Expenditures 15-22'!K312</f>
        <v>849</v>
      </c>
      <c r="C1560" s="2" t="s">
        <v>573</v>
      </c>
      <c r="D1560" s="2" t="str">
        <f t="shared" si="23"/>
        <v>Error?</v>
      </c>
    </row>
    <row r="1561" spans="1:4" x14ac:dyDescent="0.2">
      <c r="A1561" s="5">
        <v>1500</v>
      </c>
      <c r="B1561" s="138">
        <f>'Expenditures 15-22'!K313</f>
        <v>42823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1939971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2263667</v>
      </c>
      <c r="C1630" s="2" t="s">
        <v>573</v>
      </c>
      <c r="D1630" s="2" t="str">
        <f t="shared" si="24"/>
        <v>Error?</v>
      </c>
    </row>
    <row r="1631" spans="1:4" x14ac:dyDescent="0.2">
      <c r="A1631" s="5">
        <v>1570</v>
      </c>
      <c r="B1631" s="138">
        <f>'Acct Summary 7-8'!D79</f>
        <v>272044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147355</v>
      </c>
      <c r="C1644" s="2" t="s">
        <v>573</v>
      </c>
      <c r="D1644" s="2" t="str">
        <f t="shared" si="24"/>
        <v>Error?</v>
      </c>
    </row>
    <row r="1645" spans="1:4" x14ac:dyDescent="0.2">
      <c r="A1645" s="5">
        <v>1584</v>
      </c>
      <c r="B1645" s="138">
        <f>'Acct Summary 7-8'!E79</f>
        <v>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v>
      </c>
      <c r="C1658" s="2" t="s">
        <v>573</v>
      </c>
      <c r="D1658" s="2" t="str">
        <f t="shared" si="24"/>
        <v>Error?</v>
      </c>
    </row>
    <row r="1659" spans="1:4" x14ac:dyDescent="0.2">
      <c r="A1659" s="5">
        <v>1598</v>
      </c>
      <c r="B1659" s="138">
        <f>'Acct Summary 7-8'!F79</f>
        <v>155193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138374</v>
      </c>
      <c r="C1672" s="2" t="s">
        <v>573</v>
      </c>
      <c r="D1672" s="2" t="str">
        <f t="shared" si="25"/>
        <v>Error?</v>
      </c>
    </row>
    <row r="1673" spans="1:4" x14ac:dyDescent="0.2">
      <c r="A1673" s="5">
        <v>1612</v>
      </c>
      <c r="B1673" s="138">
        <f>'Acct Summary 7-8'!G79</f>
        <v>38262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40586</v>
      </c>
      <c r="C1686" s="2" t="s">
        <v>573</v>
      </c>
      <c r="D1686" s="2" t="str">
        <f t="shared" si="25"/>
        <v>Error?</v>
      </c>
    </row>
    <row r="1687" spans="1:4" x14ac:dyDescent="0.2">
      <c r="A1687" s="5">
        <v>1626</v>
      </c>
      <c r="B1687" s="138">
        <f>'Acct Summary 7-8'!H79</f>
        <v>217556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260379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1812772</v>
      </c>
      <c r="C1744" s="2" t="s">
        <v>573</v>
      </c>
      <c r="D1744" s="2" t="str">
        <f t="shared" si="26"/>
        <v>Error?</v>
      </c>
    </row>
    <row r="1745" spans="1:5" x14ac:dyDescent="0.2">
      <c r="A1745" s="5">
        <v>1684</v>
      </c>
      <c r="B1745" s="138">
        <f>'Tax Sched 23'!B5</f>
        <v>238130</v>
      </c>
      <c r="C1745" s="2" t="s">
        <v>573</v>
      </c>
      <c r="D1745" s="2" t="str">
        <f t="shared" si="26"/>
        <v>Error?</v>
      </c>
    </row>
    <row r="1746" spans="1:5" x14ac:dyDescent="0.2">
      <c r="A1746" s="5">
        <v>1685</v>
      </c>
      <c r="B1746" s="138">
        <f>'Tax Sched 23'!B6</f>
        <v>514567</v>
      </c>
      <c r="C1746" s="2" t="s">
        <v>573</v>
      </c>
      <c r="D1746" s="2" t="str">
        <f t="shared" si="26"/>
        <v>Error?</v>
      </c>
    </row>
    <row r="1747" spans="1:5" x14ac:dyDescent="0.2">
      <c r="A1747" s="5">
        <v>1686</v>
      </c>
      <c r="B1747" s="138">
        <f>'Tax Sched 23'!B7</f>
        <v>89050</v>
      </c>
      <c r="C1747" s="2" t="s">
        <v>573</v>
      </c>
      <c r="D1747" s="2" t="str">
        <f t="shared" si="26"/>
        <v>Error?</v>
      </c>
    </row>
    <row r="1748" spans="1:5" x14ac:dyDescent="0.2">
      <c r="A1748" s="5">
        <v>1687</v>
      </c>
      <c r="B1748" s="138">
        <f>'Tax Sched 23'!B8</f>
        <v>40610</v>
      </c>
      <c r="C1748" s="2" t="s">
        <v>573</v>
      </c>
      <c r="D1748" s="2" t="str">
        <f t="shared" si="26"/>
        <v>Error?</v>
      </c>
    </row>
    <row r="1749" spans="1:5" x14ac:dyDescent="0.2">
      <c r="A1749" s="5">
        <v>1688</v>
      </c>
      <c r="B1749" s="138">
        <f>'Tax Sched 23'!B10</f>
        <v>997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4914</v>
      </c>
      <c r="C1752" s="2" t="s">
        <v>573</v>
      </c>
      <c r="D1752" s="2" t="str">
        <f t="shared" si="26"/>
        <v>Error?</v>
      </c>
    </row>
    <row r="1753" spans="1:5" x14ac:dyDescent="0.2">
      <c r="A1753" s="5">
        <v>1692</v>
      </c>
      <c r="B1753" s="138">
        <f>'Tax Sched 23'!B12</f>
        <v>997</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2768441</v>
      </c>
      <c r="C1759" s="2" t="s">
        <v>573</v>
      </c>
      <c r="D1759" s="2" t="str">
        <f t="shared" si="26"/>
        <v>Error?</v>
      </c>
    </row>
    <row r="1760" spans="1:5" x14ac:dyDescent="0.2">
      <c r="A1760" s="5">
        <v>1699</v>
      </c>
      <c r="B1760" s="138">
        <f>'Tax Sched 23'!D4</f>
        <v>1812772</v>
      </c>
      <c r="C1760" s="2" t="s">
        <v>573</v>
      </c>
      <c r="D1760" s="2" t="str">
        <f t="shared" si="26"/>
        <v>Error?</v>
      </c>
    </row>
    <row r="1761" spans="1:5" x14ac:dyDescent="0.2">
      <c r="A1761" s="5">
        <v>1700</v>
      </c>
      <c r="B1761" s="138">
        <f>'Tax Sched 23'!D5</f>
        <v>238130</v>
      </c>
      <c r="C1761" s="2" t="s">
        <v>573</v>
      </c>
      <c r="D1761" s="2" t="str">
        <f t="shared" si="26"/>
        <v>Error?</v>
      </c>
    </row>
    <row r="1762" spans="1:5" s="8" customFormat="1" x14ac:dyDescent="0.2">
      <c r="A1762" s="5">
        <v>1701</v>
      </c>
      <c r="B1762" s="138">
        <f>'Tax Sched 23'!D6</f>
        <v>514567</v>
      </c>
      <c r="C1762" s="2" t="s">
        <v>573</v>
      </c>
      <c r="D1762" s="2" t="str">
        <f t="shared" si="26"/>
        <v>Error?</v>
      </c>
      <c r="E1762" s="9"/>
    </row>
    <row r="1763" spans="1:5" x14ac:dyDescent="0.2">
      <c r="A1763" s="5">
        <v>1702</v>
      </c>
      <c r="B1763" s="138">
        <f>'Tax Sched 23'!D7</f>
        <v>89050</v>
      </c>
      <c r="C1763" s="2" t="s">
        <v>573</v>
      </c>
      <c r="D1763" s="2" t="str">
        <f t="shared" si="26"/>
        <v>Error?</v>
      </c>
    </row>
    <row r="1764" spans="1:5" x14ac:dyDescent="0.2">
      <c r="A1764" s="5">
        <v>1703</v>
      </c>
      <c r="B1764" s="138">
        <f>'Tax Sched 23'!D8</f>
        <v>40610</v>
      </c>
      <c r="C1764" s="2" t="s">
        <v>573</v>
      </c>
      <c r="D1764" s="2" t="str">
        <f t="shared" si="26"/>
        <v>Error?</v>
      </c>
    </row>
    <row r="1765" spans="1:5" x14ac:dyDescent="0.2">
      <c r="A1765" s="5">
        <v>1704</v>
      </c>
      <c r="B1765" s="138">
        <f>'Tax Sched 23'!D10</f>
        <v>997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4914</v>
      </c>
      <c r="C1768" s="2" t="s">
        <v>573</v>
      </c>
      <c r="D1768" s="2" t="str">
        <f t="shared" si="26"/>
        <v>Error?</v>
      </c>
    </row>
    <row r="1769" spans="1:5" x14ac:dyDescent="0.2">
      <c r="A1769" s="5">
        <v>1708</v>
      </c>
      <c r="B1769" s="138">
        <f>'Tax Sched 23'!D12</f>
        <v>997</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2768441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1857298</v>
      </c>
      <c r="C1792" s="2" t="s">
        <v>573</v>
      </c>
      <c r="D1792" s="2" t="str">
        <f t="shared" si="27"/>
        <v>Error?</v>
      </c>
    </row>
    <row r="1793" spans="1:4" x14ac:dyDescent="0.2">
      <c r="A1793" s="5">
        <v>1732</v>
      </c>
      <c r="B1793" s="138">
        <f>'Tax Sched 23'!F5</f>
        <v>281392</v>
      </c>
      <c r="C1793" s="2" t="s">
        <v>573</v>
      </c>
      <c r="D1793" s="2" t="str">
        <f t="shared" si="27"/>
        <v>Error?</v>
      </c>
    </row>
    <row r="1794" spans="1:4" x14ac:dyDescent="0.2">
      <c r="A1794" s="5">
        <v>1733</v>
      </c>
      <c r="B1794" s="138">
        <f>'Tax Sched 23'!F6</f>
        <v>547120</v>
      </c>
      <c r="C1794" s="2" t="s">
        <v>573</v>
      </c>
      <c r="D1794" s="2" t="str">
        <f t="shared" si="27"/>
        <v>Error?</v>
      </c>
    </row>
    <row r="1795" spans="1:4" x14ac:dyDescent="0.2">
      <c r="A1795" s="5">
        <v>1734</v>
      </c>
      <c r="B1795" s="138">
        <f>'Tax Sched 23'!F7</f>
        <v>89988</v>
      </c>
      <c r="C1795" s="2" t="s">
        <v>573</v>
      </c>
      <c r="D1795" s="2" t="str">
        <f t="shared" si="27"/>
        <v>Error?</v>
      </c>
    </row>
    <row r="1796" spans="1:4" x14ac:dyDescent="0.2">
      <c r="A1796" s="5">
        <v>1735</v>
      </c>
      <c r="B1796" s="138">
        <f>'Tax Sched 23'!F8</f>
        <v>40998</v>
      </c>
      <c r="C1796" s="2" t="s">
        <v>573</v>
      </c>
      <c r="D1796" s="2" t="str">
        <f t="shared" si="27"/>
        <v>Error?</v>
      </c>
    </row>
    <row r="1797" spans="1:4" x14ac:dyDescent="0.2">
      <c r="A1797" s="5">
        <v>1736</v>
      </c>
      <c r="B1797" s="138">
        <f>'Tax Sched 23'!F10</f>
        <v>799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4955</v>
      </c>
      <c r="C1800" s="2" t="s">
        <v>573</v>
      </c>
      <c r="D1800" s="2" t="str">
        <f t="shared" si="27"/>
        <v>Error?</v>
      </c>
    </row>
    <row r="1801" spans="1:4" x14ac:dyDescent="0.2">
      <c r="A1801" s="5">
        <v>1740</v>
      </c>
      <c r="B1801" s="138">
        <f>'Tax Sched 23'!F12</f>
        <v>799</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2891279</v>
      </c>
      <c r="C1807" s="2" t="s">
        <v>573</v>
      </c>
      <c r="D1807" s="2" t="str">
        <f t="shared" si="27"/>
        <v>Error?</v>
      </c>
    </row>
    <row r="1808" spans="1:4" x14ac:dyDescent="0.2">
      <c r="A1808" s="5">
        <v>1747</v>
      </c>
      <c r="B1808" s="138">
        <f>'Tax Sched 23'!E4</f>
        <v>1857298</v>
      </c>
      <c r="D1808" s="2" t="str">
        <f t="shared" si="27"/>
        <v>Error?</v>
      </c>
    </row>
    <row r="1809" spans="1:4" x14ac:dyDescent="0.2">
      <c r="A1809" s="5">
        <v>1748</v>
      </c>
      <c r="B1809" s="138">
        <f>'Tax Sched 23'!E5</f>
        <v>281392</v>
      </c>
      <c r="D1809" s="2" t="str">
        <f t="shared" si="27"/>
        <v>Error?</v>
      </c>
    </row>
    <row r="1810" spans="1:4" x14ac:dyDescent="0.2">
      <c r="A1810" s="5">
        <v>1749</v>
      </c>
      <c r="B1810" s="138">
        <f>'Tax Sched 23'!E6</f>
        <v>547120</v>
      </c>
      <c r="D1810" s="2" t="str">
        <f t="shared" si="27"/>
        <v>Error?</v>
      </c>
    </row>
    <row r="1811" spans="1:4" x14ac:dyDescent="0.2">
      <c r="A1811" s="5">
        <v>1750</v>
      </c>
      <c r="B1811" s="138">
        <f>'Tax Sched 23'!E7</f>
        <v>89988</v>
      </c>
      <c r="D1811" s="2" t="str">
        <f t="shared" si="27"/>
        <v>Error?</v>
      </c>
    </row>
    <row r="1812" spans="1:4" x14ac:dyDescent="0.2">
      <c r="A1812" s="5">
        <v>1751</v>
      </c>
      <c r="B1812" s="138">
        <f>'Tax Sched 23'!E8</f>
        <v>40998</v>
      </c>
      <c r="D1812" s="2" t="str">
        <f t="shared" si="27"/>
        <v>Error?</v>
      </c>
    </row>
    <row r="1813" spans="1:4" x14ac:dyDescent="0.2">
      <c r="A1813" s="5">
        <v>1752</v>
      </c>
      <c r="B1813" s="138">
        <f>'Tax Sched 23'!E10</f>
        <v>799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4955</v>
      </c>
      <c r="D1816" s="2" t="str">
        <f t="shared" si="27"/>
        <v>Error?</v>
      </c>
    </row>
    <row r="1817" spans="1:4" x14ac:dyDescent="0.2">
      <c r="A1817" s="5">
        <v>1756</v>
      </c>
      <c r="B1817" s="138">
        <f>'Tax Sched 23'!E12</f>
        <v>799</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2891279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2320000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671408</v>
      </c>
      <c r="D2008" s="2" t="str">
        <f t="shared" si="30"/>
        <v>Error?</v>
      </c>
    </row>
    <row r="2009" spans="1:4" x14ac:dyDescent="0.2">
      <c r="A2009" s="5">
        <v>1948</v>
      </c>
      <c r="B2009" s="138">
        <f>'Cap Outlay Deprec 26'!C8</f>
        <v>8206086</v>
      </c>
      <c r="D2009" s="2" t="str">
        <f t="shared" si="30"/>
        <v>Error?</v>
      </c>
    </row>
    <row r="2010" spans="1:4" x14ac:dyDescent="0.2">
      <c r="A2010" s="5">
        <v>1949</v>
      </c>
      <c r="B2010" s="138">
        <f>'Cap Outlay Deprec 26'!C10</f>
        <v>70850</v>
      </c>
      <c r="D2010" s="2" t="str">
        <f t="shared" si="30"/>
        <v>Error?</v>
      </c>
    </row>
    <row r="2011" spans="1:4" x14ac:dyDescent="0.2">
      <c r="A2011" s="5">
        <v>1950</v>
      </c>
      <c r="B2011" s="138">
        <f>'Cap Outlay Deprec 26'!C12</f>
        <v>1003103</v>
      </c>
      <c r="D2011" s="2" t="str">
        <f t="shared" si="30"/>
        <v>Error?</v>
      </c>
    </row>
    <row r="2012" spans="1:4" x14ac:dyDescent="0.2">
      <c r="A2012" s="5">
        <v>1951</v>
      </c>
      <c r="B2012" s="138">
        <f>'Cap Outlay Deprec 26'!C13</f>
        <v>390722</v>
      </c>
      <c r="D2012" s="2" t="str">
        <f t="shared" si="30"/>
        <v>Error?</v>
      </c>
    </row>
    <row r="2013" spans="1:4" x14ac:dyDescent="0.2">
      <c r="A2013" s="5">
        <v>1952</v>
      </c>
      <c r="B2013" s="138">
        <f>'Cap Outlay Deprec 26'!C16</f>
        <v>10342169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671408</v>
      </c>
      <c r="C2026" s="2" t="s">
        <v>573</v>
      </c>
      <c r="D2026" s="2" t="str">
        <f t="shared" si="30"/>
        <v>Error?</v>
      </c>
    </row>
    <row r="2027" spans="1:4" x14ac:dyDescent="0.2">
      <c r="A2027" s="5">
        <v>1966</v>
      </c>
      <c r="B2027" s="138">
        <f>'Cap Outlay Deprec 26'!F8</f>
        <v>8206086</v>
      </c>
      <c r="C2027" s="2" t="s">
        <v>573</v>
      </c>
      <c r="D2027" s="2" t="str">
        <f t="shared" si="30"/>
        <v>Error?</v>
      </c>
    </row>
    <row r="2028" spans="1:4" x14ac:dyDescent="0.2">
      <c r="A2028" s="5">
        <v>1967</v>
      </c>
      <c r="B2028" s="138">
        <f>'Cap Outlay Deprec 26'!F10</f>
        <v>70850</v>
      </c>
      <c r="C2028" s="2" t="s">
        <v>573</v>
      </c>
      <c r="D2028" s="2" t="str">
        <f t="shared" si="30"/>
        <v>Error?</v>
      </c>
    </row>
    <row r="2029" spans="1:4" x14ac:dyDescent="0.2">
      <c r="A2029" s="5">
        <v>1968</v>
      </c>
      <c r="B2029" s="138">
        <f>'Cap Outlay Deprec 26'!F12</f>
        <v>1003103</v>
      </c>
      <c r="C2029" s="2" t="s">
        <v>573</v>
      </c>
      <c r="D2029" s="2" t="str">
        <f t="shared" si="30"/>
        <v>Error?</v>
      </c>
    </row>
    <row r="2030" spans="1:4" x14ac:dyDescent="0.2">
      <c r="A2030" s="5">
        <v>1969</v>
      </c>
      <c r="B2030" s="138">
        <f>'Cap Outlay Deprec 26'!F13</f>
        <v>390722</v>
      </c>
      <c r="C2030" s="2" t="s">
        <v>573</v>
      </c>
      <c r="D2030" s="2" t="str">
        <f t="shared" si="30"/>
        <v>Error?</v>
      </c>
    </row>
    <row r="2031" spans="1:4" x14ac:dyDescent="0.2">
      <c r="A2031" s="5">
        <v>1970</v>
      </c>
      <c r="B2031" s="138">
        <f>'Cap Outlay Deprec 26'!F16</f>
        <v>10342169</v>
      </c>
      <c r="C2031" s="2" t="s">
        <v>573</v>
      </c>
      <c r="D2031" s="2" t="str">
        <f t="shared" si="30"/>
        <v>Error?</v>
      </c>
    </row>
    <row r="2032" spans="1:4" x14ac:dyDescent="0.2">
      <c r="A2032" s="10">
        <v>1971</v>
      </c>
      <c r="D2032" s="2" t="str">
        <f t="shared" si="30"/>
        <v>OK</v>
      </c>
    </row>
    <row r="2033" spans="1:4" x14ac:dyDescent="0.2">
      <c r="A2033" s="5">
        <v>1972</v>
      </c>
      <c r="B2033" s="138">
        <f>'Cap Outlay Deprec 26'!H8</f>
        <v>2471512</v>
      </c>
      <c r="D2033" s="2" t="str">
        <f t="shared" si="30"/>
        <v>Error?</v>
      </c>
    </row>
    <row r="2034" spans="1:4" x14ac:dyDescent="0.2">
      <c r="A2034" s="5">
        <v>1973</v>
      </c>
      <c r="B2034" s="138">
        <f>'Cap Outlay Deprec 26'!H10</f>
        <v>23633</v>
      </c>
      <c r="D2034" s="2" t="str">
        <f t="shared" si="30"/>
        <v>Error?</v>
      </c>
    </row>
    <row r="2035" spans="1:4" x14ac:dyDescent="0.2">
      <c r="A2035" s="5">
        <v>1974</v>
      </c>
      <c r="B2035" s="138">
        <f>'Cap Outlay Deprec 26'!H12</f>
        <v>817819</v>
      </c>
      <c r="D2035" s="2" t="str">
        <f t="shared" si="30"/>
        <v>Error?</v>
      </c>
    </row>
    <row r="2036" spans="1:4" x14ac:dyDescent="0.2">
      <c r="A2036" s="5">
        <v>1975</v>
      </c>
      <c r="B2036" s="138">
        <f>'Cap Outlay Deprec 26'!H13</f>
        <v>334963</v>
      </c>
      <c r="D2036" s="2" t="str">
        <f t="shared" si="30"/>
        <v>Error?</v>
      </c>
    </row>
    <row r="2037" spans="1:4" x14ac:dyDescent="0.2">
      <c r="A2037" s="5">
        <v>1976</v>
      </c>
      <c r="B2037" s="138">
        <f>'Cap Outlay Deprec 26'!H16</f>
        <v>3647927</v>
      </c>
      <c r="C2037" s="2" t="s">
        <v>573</v>
      </c>
      <c r="D2037" s="2" t="str">
        <f t="shared" si="30"/>
        <v>Error?</v>
      </c>
    </row>
    <row r="2038" spans="1:4" x14ac:dyDescent="0.2">
      <c r="A2038" s="10">
        <v>1977</v>
      </c>
      <c r="D2038" s="2" t="str">
        <f t="shared" si="30"/>
        <v>OK</v>
      </c>
    </row>
    <row r="2039" spans="1:4" x14ac:dyDescent="0.2">
      <c r="A2039" s="5">
        <v>1978</v>
      </c>
      <c r="B2039" s="138">
        <f>'Cap Outlay Deprec 26'!I8</f>
        <v>164610</v>
      </c>
      <c r="D2039" s="2" t="str">
        <f t="shared" si="30"/>
        <v>Error?</v>
      </c>
    </row>
    <row r="2040" spans="1:4" x14ac:dyDescent="0.2">
      <c r="A2040" s="5">
        <v>1979</v>
      </c>
      <c r="B2040" s="138">
        <f>'Cap Outlay Deprec 26'!I10</f>
        <v>3581</v>
      </c>
      <c r="D2040" s="2" t="str">
        <f t="shared" si="30"/>
        <v>Error?</v>
      </c>
    </row>
    <row r="2041" spans="1:4" x14ac:dyDescent="0.2">
      <c r="A2041" s="5">
        <v>1980</v>
      </c>
      <c r="B2041" s="138">
        <f>'Cap Outlay Deprec 26'!I12</f>
        <v>32719</v>
      </c>
      <c r="D2041" s="2" t="str">
        <f t="shared" si="30"/>
        <v>Error?</v>
      </c>
    </row>
    <row r="2042" spans="1:4" x14ac:dyDescent="0.2">
      <c r="A2042" s="5">
        <v>1981</v>
      </c>
      <c r="B2042" s="138">
        <f>'Cap Outlay Deprec 26'!I13</f>
        <v>33518</v>
      </c>
      <c r="D2042" s="2" t="str">
        <f t="shared" si="30"/>
        <v>Error?</v>
      </c>
    </row>
    <row r="2043" spans="1:4" x14ac:dyDescent="0.2">
      <c r="A2043" s="5">
        <v>1982</v>
      </c>
      <c r="B2043" s="138">
        <f>'Cap Outlay Deprec 26'!I16</f>
        <v>234428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2636122</v>
      </c>
      <c r="C2051" s="2" t="s">
        <v>573</v>
      </c>
      <c r="D2051" s="2" t="str">
        <f t="shared" si="31"/>
        <v>Error?</v>
      </c>
    </row>
    <row r="2052" spans="1:4" x14ac:dyDescent="0.2">
      <c r="A2052" s="5">
        <v>1991</v>
      </c>
      <c r="B2052" s="138">
        <f>'Cap Outlay Deprec 26'!K10</f>
        <v>27214</v>
      </c>
      <c r="C2052" s="2" t="s">
        <v>573</v>
      </c>
      <c r="D2052" s="2" t="str">
        <f t="shared" si="31"/>
        <v>Error?</v>
      </c>
    </row>
    <row r="2053" spans="1:4" x14ac:dyDescent="0.2">
      <c r="A2053" s="5">
        <v>1992</v>
      </c>
      <c r="B2053" s="138">
        <f>'Cap Outlay Deprec 26'!K12</f>
        <v>850538</v>
      </c>
      <c r="C2053" s="2" t="s">
        <v>573</v>
      </c>
      <c r="D2053" s="2" t="str">
        <f t="shared" si="31"/>
        <v>Error?</v>
      </c>
    </row>
    <row r="2054" spans="1:4" x14ac:dyDescent="0.2">
      <c r="A2054" s="5">
        <v>1993</v>
      </c>
      <c r="B2054" s="138">
        <f>'Cap Outlay Deprec 26'!K13</f>
        <v>368481</v>
      </c>
      <c r="C2054" s="2" t="s">
        <v>573</v>
      </c>
      <c r="D2054" s="2" t="str">
        <f t="shared" si="31"/>
        <v>Error?</v>
      </c>
    </row>
    <row r="2055" spans="1:4" x14ac:dyDescent="0.2">
      <c r="A2055" s="5">
        <v>1994</v>
      </c>
      <c r="B2055" s="138">
        <f>'Cap Outlay Deprec 26'!K16</f>
        <v>3882355</v>
      </c>
      <c r="C2055" s="2" t="s">
        <v>573</v>
      </c>
      <c r="D2055" s="2" t="str">
        <f t="shared" si="31"/>
        <v>Error?</v>
      </c>
    </row>
    <row r="2056" spans="1:4" x14ac:dyDescent="0.2">
      <c r="A2056" s="5">
        <v>1995</v>
      </c>
      <c r="B2056" s="138">
        <f>'Cap Outlay Deprec 26'!L5</f>
        <v>671408</v>
      </c>
      <c r="C2056" s="2" t="s">
        <v>573</v>
      </c>
      <c r="D2056" s="2" t="str">
        <f t="shared" si="31"/>
        <v>Error?</v>
      </c>
    </row>
    <row r="2057" spans="1:4" x14ac:dyDescent="0.2">
      <c r="A2057" s="5">
        <v>1996</v>
      </c>
      <c r="B2057" s="138">
        <f>'Cap Outlay Deprec 26'!L8</f>
        <v>5569964</v>
      </c>
      <c r="C2057" s="2" t="s">
        <v>573</v>
      </c>
      <c r="D2057" s="2" t="str">
        <f t="shared" si="31"/>
        <v>Error?</v>
      </c>
    </row>
    <row r="2058" spans="1:4" x14ac:dyDescent="0.2">
      <c r="A2058" s="5">
        <v>1997</v>
      </c>
      <c r="B2058" s="138">
        <f>'Cap Outlay Deprec 26'!L10</f>
        <v>43636</v>
      </c>
      <c r="C2058" s="2" t="s">
        <v>573</v>
      </c>
      <c r="D2058" s="2" t="str">
        <f t="shared" si="31"/>
        <v>Error?</v>
      </c>
    </row>
    <row r="2059" spans="1:4" x14ac:dyDescent="0.2">
      <c r="A2059" s="5">
        <v>1998</v>
      </c>
      <c r="B2059" s="138">
        <f>'Cap Outlay Deprec 26'!L12</f>
        <v>152565</v>
      </c>
      <c r="C2059" s="2" t="s">
        <v>573</v>
      </c>
      <c r="D2059" s="2" t="str">
        <f t="shared" si="31"/>
        <v>Error?</v>
      </c>
    </row>
    <row r="2060" spans="1:4" x14ac:dyDescent="0.2">
      <c r="A2060" s="5">
        <v>1999</v>
      </c>
      <c r="B2060" s="138">
        <f>'Cap Outlay Deprec 26'!L13</f>
        <v>22241</v>
      </c>
      <c r="C2060" s="2" t="s">
        <v>573</v>
      </c>
      <c r="D2060" s="2" t="str">
        <f t="shared" si="31"/>
        <v>Error?</v>
      </c>
    </row>
    <row r="2061" spans="1:4" x14ac:dyDescent="0.2">
      <c r="A2061" s="5">
        <v>2000</v>
      </c>
      <c r="B2061" s="138">
        <f>'Cap Outlay Deprec 26'!L16</f>
        <v>6459814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41930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41930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2077518</v>
      </c>
      <c r="C2551" s="2" t="s">
        <v>573</v>
      </c>
      <c r="D2551" s="2" t="str">
        <f t="shared" si="38"/>
        <v>Error?</v>
      </c>
    </row>
    <row r="2552" spans="1:4" x14ac:dyDescent="0.2">
      <c r="A2552" s="10">
        <v>2491</v>
      </c>
      <c r="D2552" s="2" t="str">
        <f t="shared" si="38"/>
        <v>OK</v>
      </c>
    </row>
    <row r="2553" spans="1:4" x14ac:dyDescent="0.2">
      <c r="A2553" s="5">
        <v>2492</v>
      </c>
      <c r="B2553" s="138">
        <f>'Acct Summary 7-8'!C6</f>
        <v>1197503</v>
      </c>
      <c r="C2553" s="2" t="s">
        <v>573</v>
      </c>
      <c r="D2553" s="2" t="str">
        <f t="shared" si="38"/>
        <v>Error?</v>
      </c>
    </row>
    <row r="2554" spans="1:4" x14ac:dyDescent="0.2">
      <c r="A2554" s="5">
        <v>2493</v>
      </c>
      <c r="B2554" s="138">
        <f>'Acct Summary 7-8'!C7</f>
        <v>269591</v>
      </c>
      <c r="C2554" s="2" t="s">
        <v>573</v>
      </c>
      <c r="D2554" s="2" t="str">
        <f t="shared" si="38"/>
        <v>Error?</v>
      </c>
    </row>
    <row r="2555" spans="1:4" x14ac:dyDescent="0.2">
      <c r="A2555" s="5">
        <v>2494</v>
      </c>
      <c r="B2555" s="138">
        <f>'Acct Summary 7-8'!C8</f>
        <v>3544612</v>
      </c>
      <c r="C2555" s="2" t="s">
        <v>573</v>
      </c>
      <c r="D2555" s="2" t="str">
        <f t="shared" si="38"/>
        <v>Error?</v>
      </c>
    </row>
    <row r="2556" spans="1:4" x14ac:dyDescent="0.2">
      <c r="A2556" s="5">
        <v>2495</v>
      </c>
      <c r="B2556" s="138">
        <f>'Acct Summary 7-8'!C12</f>
        <v>1923831</v>
      </c>
      <c r="C2556" s="2" t="s">
        <v>573</v>
      </c>
      <c r="D2556" s="2" t="str">
        <f t="shared" si="38"/>
        <v>Error?</v>
      </c>
    </row>
    <row r="2557" spans="1:4" x14ac:dyDescent="0.2">
      <c r="A2557" s="5">
        <v>2496</v>
      </c>
      <c r="B2557" s="138">
        <f>'Acct Summary 7-8'!C13</f>
        <v>1255155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41930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3220916</v>
      </c>
      <c r="C2561" s="2" t="s">
        <v>573</v>
      </c>
      <c r="D2561" s="2" t="str">
        <f t="shared" si="39"/>
        <v>Error?</v>
      </c>
    </row>
    <row r="2562" spans="1:4" x14ac:dyDescent="0.2">
      <c r="A2562" s="5">
        <v>2501</v>
      </c>
      <c r="B2562" s="138">
        <f>'Acct Summary 7-8'!C20</f>
        <v>323696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243185</v>
      </c>
      <c r="C2564" s="2" t="s">
        <v>573</v>
      </c>
      <c r="D2564" s="2" t="str">
        <f t="shared" si="39"/>
        <v>Error?</v>
      </c>
    </row>
    <row r="2565" spans="1:4" x14ac:dyDescent="0.2">
      <c r="A2565" s="10">
        <v>2504</v>
      </c>
      <c r="D2565" s="2" t="str">
        <f t="shared" si="39"/>
        <v>OK</v>
      </c>
    </row>
    <row r="2566" spans="1:4" x14ac:dyDescent="0.2">
      <c r="A2566" s="5">
        <v>2505</v>
      </c>
      <c r="B2566" s="138">
        <f>'Acct Summary 7-8'!D6</f>
        <v>150088</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393273</v>
      </c>
      <c r="C2568" s="2" t="s">
        <v>573</v>
      </c>
      <c r="D2568" s="2" t="str">
        <f t="shared" si="39"/>
        <v>Error?</v>
      </c>
    </row>
    <row r="2569" spans="1:4" x14ac:dyDescent="0.2">
      <c r="A2569" s="5">
        <v>2508</v>
      </c>
      <c r="B2569" s="138">
        <f>'Acct Summary 7-8'!D13</f>
        <v>517962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517962</v>
      </c>
      <c r="C2573" s="2" t="s">
        <v>573</v>
      </c>
      <c r="D2573" s="2" t="str">
        <f t="shared" si="39"/>
        <v>Error?</v>
      </c>
    </row>
    <row r="2574" spans="1:4" x14ac:dyDescent="0.2">
      <c r="A2574" s="5">
        <v>2513</v>
      </c>
      <c r="B2574" s="138">
        <f>'Acct Summary 7-8'!D20</f>
        <v>-124689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90733</v>
      </c>
      <c r="C2591" s="2" t="s">
        <v>573</v>
      </c>
      <c r="D2591" s="2" t="str">
        <f t="shared" si="39"/>
        <v>Error?</v>
      </c>
    </row>
    <row r="2592" spans="1:4" x14ac:dyDescent="0.2">
      <c r="A2592" s="10">
        <v>2531</v>
      </c>
      <c r="D2592" s="2" t="str">
        <f t="shared" si="39"/>
        <v>OK</v>
      </c>
    </row>
    <row r="2593" spans="1:4" x14ac:dyDescent="0.2">
      <c r="A2593" s="5">
        <v>2532</v>
      </c>
      <c r="B2593" s="138">
        <f>'Acct Summary 7-8'!F6</f>
        <v>134222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224955</v>
      </c>
      <c r="C2595" s="2" t="s">
        <v>573</v>
      </c>
      <c r="D2595" s="2" t="str">
        <f t="shared" si="39"/>
        <v>Error?</v>
      </c>
    </row>
    <row r="2596" spans="1:4" x14ac:dyDescent="0.2">
      <c r="A2596" s="5">
        <v>2535</v>
      </c>
      <c r="B2596" s="138">
        <f>'Acct Summary 7-8'!F13</f>
        <v>241774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241774</v>
      </c>
      <c r="C2600" s="2" t="s">
        <v>573</v>
      </c>
      <c r="D2600" s="2" t="str">
        <f t="shared" si="39"/>
        <v>Error?</v>
      </c>
    </row>
    <row r="2601" spans="1:4" x14ac:dyDescent="0.2">
      <c r="A2601" s="5">
        <v>2540</v>
      </c>
      <c r="B2601" s="138">
        <f>'Acct Summary 7-8'!F20</f>
        <v>-16819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107014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107014</v>
      </c>
      <c r="C2606" s="2" t="s">
        <v>573</v>
      </c>
      <c r="D2606" s="2" t="str">
        <f t="shared" si="39"/>
        <v>Error?</v>
      </c>
    </row>
    <row r="2607" spans="1:4" x14ac:dyDescent="0.2">
      <c r="A2607" s="5">
        <v>2546</v>
      </c>
      <c r="B2607" s="138">
        <f>'Acct Summary 7-8'!G12</f>
        <v>36846</v>
      </c>
      <c r="C2607" s="2" t="s">
        <v>573</v>
      </c>
      <c r="D2607" s="2" t="str">
        <f t="shared" si="39"/>
        <v>Error?</v>
      </c>
    </row>
    <row r="2608" spans="1:4" x14ac:dyDescent="0.2">
      <c r="A2608" s="5">
        <v>2547</v>
      </c>
      <c r="B2608" s="138">
        <f>'Acct Summary 7-8'!G13</f>
        <v>67844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104690</v>
      </c>
      <c r="C2612" s="2" t="s">
        <v>573</v>
      </c>
      <c r="D2612" s="2" t="str">
        <f t="shared" si="39"/>
        <v>Error?</v>
      </c>
    </row>
    <row r="2613" spans="1:4" x14ac:dyDescent="0.2">
      <c r="A2613" s="5">
        <v>2552</v>
      </c>
      <c r="B2613" s="138">
        <f>'Acct Summary 7-8'!G20</f>
        <v>2324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514567</v>
      </c>
      <c r="C2630" s="2" t="s">
        <v>573</v>
      </c>
      <c r="D2630" s="2" t="str">
        <f t="shared" si="40"/>
        <v>Error?</v>
      </c>
    </row>
    <row r="2631" spans="1:4" x14ac:dyDescent="0.2">
      <c r="A2631" s="5">
        <v>2570</v>
      </c>
      <c r="B2631" s="138">
        <f>'Acct Summary 7-8'!E6</f>
        <v>31118</v>
      </c>
      <c r="C2631" s="2" t="s">
        <v>573</v>
      </c>
      <c r="D2631" s="2" t="str">
        <f t="shared" si="40"/>
        <v>Error?</v>
      </c>
    </row>
    <row r="2632" spans="1:4" x14ac:dyDescent="0.2">
      <c r="A2632" s="5">
        <v>2571</v>
      </c>
      <c r="B2632" s="138">
        <f>'Acct Summary 7-8'!E8</f>
        <v>545685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545748</v>
      </c>
      <c r="C2634" s="2" t="s">
        <v>573</v>
      </c>
      <c r="D2634" s="2" t="str">
        <f t="shared" si="40"/>
        <v>Error?</v>
      </c>
    </row>
    <row r="2635" spans="1:4" x14ac:dyDescent="0.2">
      <c r="A2635" s="5">
        <v>2574</v>
      </c>
      <c r="B2635" s="138">
        <f>'Acct Summary 7-8'!E17</f>
        <v>545748</v>
      </c>
      <c r="C2635" s="2" t="s">
        <v>573</v>
      </c>
      <c r="D2635" s="2" t="str">
        <f t="shared" si="40"/>
        <v>Error?</v>
      </c>
    </row>
    <row r="2636" spans="1:4" x14ac:dyDescent="0.2">
      <c r="A2636" s="5">
        <v>2575</v>
      </c>
      <c r="B2636" s="138">
        <f>'Acct Summary 7-8'!E20</f>
        <v>-63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43672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43672</v>
      </c>
      <c r="C2658" s="2" t="s">
        <v>573</v>
      </c>
      <c r="D2658" s="2" t="str">
        <f t="shared" si="40"/>
        <v>Error?</v>
      </c>
    </row>
    <row r="2659" spans="1:4" x14ac:dyDescent="0.2">
      <c r="A2659" s="5">
        <v>2598</v>
      </c>
      <c r="B2659" s="138">
        <f>'Acct Summary 7-8'!H13</f>
        <v>849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849</v>
      </c>
      <c r="C2661" s="2" t="s">
        <v>573</v>
      </c>
      <c r="D2661" s="2" t="str">
        <f t="shared" si="40"/>
        <v>Error?</v>
      </c>
    </row>
    <row r="2662" spans="1:4" x14ac:dyDescent="0.2">
      <c r="A2662" s="5">
        <v>2601</v>
      </c>
      <c r="B2662" s="138">
        <f>'Acct Summary 7-8'!H20</f>
        <v>42823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43666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43666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18481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18481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43666</v>
      </c>
      <c r="D2912" s="2" t="str">
        <f t="shared" si="44"/>
        <v>Error?</v>
      </c>
    </row>
    <row r="2913" spans="1:4" x14ac:dyDescent="0.2">
      <c r="A2913" s="5">
        <v>2852</v>
      </c>
      <c r="B2913" s="138">
        <f>'Assets-Liab 5-6'!I41</f>
        <v>43666</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18481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41930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41930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49923</v>
      </c>
      <c r="D3055" s="2" t="str">
        <f t="shared" si="46"/>
        <v>Error?</v>
      </c>
    </row>
    <row r="3056" spans="1:4" x14ac:dyDescent="0.2">
      <c r="A3056" s="5">
        <v>2995</v>
      </c>
      <c r="B3056" s="138">
        <f>'Expenditures 15-22'!D10</f>
        <v>13067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9615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72605</v>
      </c>
      <c r="C3062" s="2" t="s">
        <v>573</v>
      </c>
      <c r="D3062" s="2" t="str">
        <f t="shared" si="46"/>
        <v>Error?</v>
      </c>
    </row>
    <row r="3063" spans="1:4" x14ac:dyDescent="0.2">
      <c r="A3063" s="10">
        <v>3002</v>
      </c>
      <c r="D3063" s="2" t="str">
        <f t="shared" si="46"/>
        <v>OK</v>
      </c>
    </row>
    <row r="3064" spans="1:4" x14ac:dyDescent="0.2">
      <c r="A3064" s="5">
        <v>3003</v>
      </c>
      <c r="B3064" s="138">
        <f>'Expenditures 15-22'!D219</f>
        <v>531</v>
      </c>
      <c r="D3064" s="2" t="str">
        <f t="shared" si="46"/>
        <v>Error?</v>
      </c>
    </row>
    <row r="3065" spans="1:4" x14ac:dyDescent="0.2">
      <c r="A3065" s="5">
        <v>3004</v>
      </c>
      <c r="B3065" s="138">
        <f>'Expenditures 15-22'!K219</f>
        <v>531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18481</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997</v>
      </c>
      <c r="C3225" s="2" t="s">
        <v>573</v>
      </c>
      <c r="D3225" s="2" t="str">
        <f t="shared" si="49"/>
        <v>Error?</v>
      </c>
    </row>
    <row r="3226" spans="1:4" x14ac:dyDescent="0.2">
      <c r="A3226" s="5">
        <v>3165</v>
      </c>
      <c r="B3226" s="138">
        <f>'Acct Summary 7-8'!I8</f>
        <v>997</v>
      </c>
      <c r="C3226" s="2" t="s">
        <v>573</v>
      </c>
      <c r="D3226" s="2" t="str">
        <f t="shared" si="49"/>
        <v>Error?</v>
      </c>
    </row>
    <row r="3227" spans="1:4" x14ac:dyDescent="0.2">
      <c r="A3227" s="5">
        <v>3166</v>
      </c>
      <c r="B3227" s="138">
        <f>'Acct Summary 7-8'!I20</f>
        <v>997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323696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-124689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-16819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2324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42823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997</v>
      </c>
      <c r="C3320" s="2" t="s">
        <v>573</v>
      </c>
      <c r="D3320" s="2" t="str">
        <f t="shared" si="50"/>
        <v>Error?</v>
      </c>
    </row>
    <row r="3321" spans="1:4" x14ac:dyDescent="0.2">
      <c r="A3321" s="5">
        <v>3260</v>
      </c>
      <c r="B3321" s="138">
        <f>'Acct Summary 7-8'!I79</f>
        <v>42669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43666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377664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40157</v>
      </c>
      <c r="D3370" s="2" t="str">
        <f t="shared" si="51"/>
        <v>Error?</v>
      </c>
    </row>
    <row r="3371" spans="1:4" x14ac:dyDescent="0.2">
      <c r="A3371" s="5">
        <v>3310</v>
      </c>
      <c r="B3371" s="138">
        <f>'Expenditures 15-22'!E19</f>
        <v>2872</v>
      </c>
      <c r="D3371" s="2" t="str">
        <f t="shared" si="51"/>
        <v>Error?</v>
      </c>
    </row>
    <row r="3372" spans="1:4" x14ac:dyDescent="0.2">
      <c r="A3372" s="5">
        <v>3311</v>
      </c>
      <c r="B3372" s="138">
        <f>'Expenditures 15-22'!F8</f>
        <v>3944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3085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497728</v>
      </c>
      <c r="C3380" s="2" t="s">
        <v>573</v>
      </c>
      <c r="D3380" s="2" t="str">
        <f t="shared" si="51"/>
        <v>Error?</v>
      </c>
    </row>
    <row r="3381" spans="1:4" x14ac:dyDescent="0.2">
      <c r="A3381" s="5">
        <v>3320</v>
      </c>
      <c r="B3381" s="138">
        <f>'Expenditures 15-22'!K19</f>
        <v>2872</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14178</v>
      </c>
      <c r="D3387" s="2" t="str">
        <f t="shared" si="51"/>
        <v>Error?</v>
      </c>
    </row>
    <row r="3388" spans="1:4" x14ac:dyDescent="0.2">
      <c r="A3388" s="5">
        <v>3327</v>
      </c>
      <c r="B3388" s="138">
        <f>'Expenditures 15-22'!D217</f>
        <v>18918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14178</v>
      </c>
      <c r="C3390" s="2" t="s">
        <v>573</v>
      </c>
      <c r="D3390" s="2" t="str">
        <f t="shared" si="51"/>
        <v>Error?</v>
      </c>
    </row>
    <row r="3391" spans="1:4" x14ac:dyDescent="0.2">
      <c r="A3391" s="5">
        <v>3330</v>
      </c>
      <c r="B3391" s="138">
        <f>'Expenditures 15-22'!K217</f>
        <v>18918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66404</v>
      </c>
      <c r="C3446" s="2" t="s">
        <v>573</v>
      </c>
      <c r="D3446" s="2" t="str">
        <f t="shared" si="52"/>
        <v>Error?</v>
      </c>
    </row>
    <row r="3447" spans="1:4" x14ac:dyDescent="0.2">
      <c r="A3447" s="5">
        <v>3386</v>
      </c>
      <c r="B3447" s="138">
        <f>'Tax Sched 23'!D16</f>
        <v>66404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67930</v>
      </c>
      <c r="C3449" s="2" t="s">
        <v>573</v>
      </c>
      <c r="D3449" s="2" t="str">
        <f t="shared" si="52"/>
        <v>Error?</v>
      </c>
    </row>
    <row r="3450" spans="1:4" x14ac:dyDescent="0.2">
      <c r="A3450" s="5">
        <v>3389</v>
      </c>
      <c r="B3450" s="138">
        <f>'Tax Sched 23'!E16</f>
        <v>67930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4950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4950</v>
      </c>
      <c r="D3567" s="2" t="str">
        <f t="shared" si="54"/>
        <v>Error?</v>
      </c>
    </row>
    <row r="3568" spans="1:4" x14ac:dyDescent="0.2">
      <c r="A3568" s="5">
        <v>3507</v>
      </c>
      <c r="B3568" s="138">
        <f>'Assets-Liab 5-6'!K41</f>
        <v>4950</v>
      </c>
      <c r="C3568" s="2" t="s">
        <v>573</v>
      </c>
      <c r="D3568" s="2" t="str">
        <f t="shared" si="54"/>
        <v>Error?</v>
      </c>
    </row>
    <row r="3569" spans="1:4" x14ac:dyDescent="0.2">
      <c r="A3569" s="5">
        <v>3508</v>
      </c>
      <c r="B3569" s="138">
        <f>'Acct Summary 7-8'!K4</f>
        <v>997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997</v>
      </c>
      <c r="C3571" s="2" t="s">
        <v>573</v>
      </c>
      <c r="D3571" s="2" t="str">
        <f t="shared" si="54"/>
        <v>Error?</v>
      </c>
    </row>
    <row r="3572" spans="1:4" x14ac:dyDescent="0.2">
      <c r="A3572" s="5">
        <v>3511</v>
      </c>
      <c r="B3572" s="138">
        <f>'Acct Summary 7-8'!K13</f>
        <v>3404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3404</v>
      </c>
      <c r="C3575" s="2" t="s">
        <v>573</v>
      </c>
      <c r="D3575" s="2" t="str">
        <f t="shared" si="54"/>
        <v>Error?</v>
      </c>
    </row>
    <row r="3576" spans="1:4" x14ac:dyDescent="0.2">
      <c r="A3576" s="5">
        <v>3515</v>
      </c>
      <c r="B3576" s="138">
        <f>'Acct Summary 7-8'!K20</f>
        <v>-2407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-2407</v>
      </c>
      <c r="C3588" s="2" t="s">
        <v>573</v>
      </c>
      <c r="D3588" s="2" t="str">
        <f t="shared" si="55"/>
        <v>Error?</v>
      </c>
    </row>
    <row r="3589" spans="1:4" x14ac:dyDescent="0.2">
      <c r="A3589" s="5">
        <v>3528</v>
      </c>
      <c r="B3589" s="138">
        <f>'Acct Summary 7-8'!K79</f>
        <v>7357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3404</v>
      </c>
      <c r="D3653" s="2" t="str">
        <f t="shared" si="56"/>
        <v>Error?</v>
      </c>
    </row>
    <row r="3654" spans="1:4" x14ac:dyDescent="0.2">
      <c r="A3654" s="5">
        <v>3593</v>
      </c>
      <c r="B3654" s="138">
        <f>'Expenditures 15-22'!H350</f>
        <v>3404</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3404</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3404</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3404</v>
      </c>
      <c r="C3669" s="2" t="s">
        <v>573</v>
      </c>
      <c r="D3669" s="2" t="str">
        <f t="shared" si="56"/>
        <v>Error?</v>
      </c>
    </row>
    <row r="3670" spans="1:4" x14ac:dyDescent="0.2">
      <c r="A3670" s="5">
        <v>3609</v>
      </c>
      <c r="B3670" s="138">
        <f>'Expenditures 15-22'!K350</f>
        <v>3404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3404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3404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-2407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1176664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4721276</v>
      </c>
      <c r="C4122" s="2" t="s">
        <v>573</v>
      </c>
      <c r="D4122" s="2" t="str">
        <f t="shared" si="63"/>
        <v>Error?</v>
      </c>
    </row>
    <row r="4123" spans="1:4" x14ac:dyDescent="0.2">
      <c r="A4123" s="5">
        <v>4062</v>
      </c>
      <c r="B4123" s="138">
        <f>'Acct Summary 7-8'!D10</f>
        <v>393273</v>
      </c>
      <c r="C4123" s="2" t="s">
        <v>573</v>
      </c>
      <c r="D4123" s="2" t="str">
        <f t="shared" si="63"/>
        <v>Error?</v>
      </c>
    </row>
    <row r="4124" spans="1:4" x14ac:dyDescent="0.2">
      <c r="A4124" s="5">
        <v>4063</v>
      </c>
      <c r="B4124" s="138">
        <f>'Acct Summary 7-8'!E10</f>
        <v>545685</v>
      </c>
      <c r="C4124" s="2" t="s">
        <v>573</v>
      </c>
      <c r="D4124" s="2" t="str">
        <f t="shared" si="63"/>
        <v>Error?</v>
      </c>
    </row>
    <row r="4125" spans="1:4" x14ac:dyDescent="0.2">
      <c r="A4125" s="5">
        <v>4064</v>
      </c>
      <c r="B4125" s="138">
        <f>'Acct Summary 7-8'!F10</f>
        <v>224955</v>
      </c>
      <c r="C4125" s="2" t="s">
        <v>573</v>
      </c>
      <c r="D4125" s="2" t="str">
        <f t="shared" si="63"/>
        <v>Error?</v>
      </c>
    </row>
    <row r="4126" spans="1:4" x14ac:dyDescent="0.2">
      <c r="A4126" s="5">
        <v>4065</v>
      </c>
      <c r="B4126" s="138">
        <f>'Acct Summary 7-8'!G10</f>
        <v>107014</v>
      </c>
      <c r="C4126" s="2" t="s">
        <v>573</v>
      </c>
      <c r="D4126" s="2" t="str">
        <f t="shared" si="63"/>
        <v>Error?</v>
      </c>
    </row>
    <row r="4127" spans="1:4" x14ac:dyDescent="0.2">
      <c r="A4127" s="5">
        <v>4066</v>
      </c>
      <c r="B4127" s="138">
        <f>'Acct Summary 7-8'!H10</f>
        <v>43672</v>
      </c>
      <c r="C4127" s="2" t="s">
        <v>573</v>
      </c>
      <c r="D4127" s="2" t="str">
        <f t="shared" si="63"/>
        <v>Error?</v>
      </c>
    </row>
    <row r="4128" spans="1:4" x14ac:dyDescent="0.2">
      <c r="A4128" s="5">
        <v>4067</v>
      </c>
      <c r="B4128" s="138">
        <f>'Acct Summary 7-8'!I10</f>
        <v>997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997</v>
      </c>
      <c r="C4130" s="2" t="s">
        <v>573</v>
      </c>
      <c r="D4130" s="2" t="str">
        <f t="shared" si="63"/>
        <v>Error?</v>
      </c>
    </row>
    <row r="4131" spans="1:4" x14ac:dyDescent="0.2">
      <c r="A4131" s="5">
        <v>4070</v>
      </c>
      <c r="B4131" s="138">
        <f>'Acct Summary 7-8'!C18</f>
        <v>1176664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4397580</v>
      </c>
      <c r="C4136" s="2" t="s">
        <v>573</v>
      </c>
      <c r="D4136" s="2" t="str">
        <f t="shared" si="63"/>
        <v>Error?</v>
      </c>
    </row>
    <row r="4137" spans="1:4" x14ac:dyDescent="0.2">
      <c r="A4137" s="5">
        <v>4076</v>
      </c>
      <c r="B4137" s="138">
        <f>'Acct Summary 7-8'!D19</f>
        <v>517962</v>
      </c>
      <c r="C4137" s="2" t="s">
        <v>573</v>
      </c>
      <c r="D4137" s="2" t="str">
        <f t="shared" si="63"/>
        <v>Error?</v>
      </c>
    </row>
    <row r="4138" spans="1:4" x14ac:dyDescent="0.2">
      <c r="A4138" s="5">
        <v>4077</v>
      </c>
      <c r="B4138" s="138">
        <f>'Acct Summary 7-8'!E19</f>
        <v>545748</v>
      </c>
      <c r="C4138" s="2" t="s">
        <v>573</v>
      </c>
      <c r="D4138" s="2" t="str">
        <f t="shared" si="63"/>
        <v>Error?</v>
      </c>
    </row>
    <row r="4139" spans="1:4" x14ac:dyDescent="0.2">
      <c r="A4139" s="5">
        <v>4078</v>
      </c>
      <c r="B4139" s="138">
        <f>'Acct Summary 7-8'!F19</f>
        <v>241774</v>
      </c>
      <c r="C4139" s="2" t="s">
        <v>573</v>
      </c>
      <c r="D4139" s="2" t="str">
        <f t="shared" si="63"/>
        <v>Error?</v>
      </c>
    </row>
    <row r="4140" spans="1:4" x14ac:dyDescent="0.2">
      <c r="A4140" s="5">
        <v>4079</v>
      </c>
      <c r="B4140" s="138">
        <f>'Acct Summary 7-8'!G19</f>
        <v>104690</v>
      </c>
      <c r="C4140" s="2" t="s">
        <v>573</v>
      </c>
      <c r="D4140" s="2" t="str">
        <f t="shared" si="63"/>
        <v>Error?</v>
      </c>
    </row>
    <row r="4141" spans="1:4" x14ac:dyDescent="0.2">
      <c r="A4141" s="5">
        <v>4080</v>
      </c>
      <c r="B4141" s="138">
        <f>'Acct Summary 7-8'!H19</f>
        <v>849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3404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1862000</v>
      </c>
      <c r="C4171" s="2" t="s">
        <v>573</v>
      </c>
      <c r="D4171" s="2" t="str">
        <f t="shared" si="64"/>
        <v>Error?</v>
      </c>
    </row>
    <row r="4172" spans="1:4" x14ac:dyDescent="0.2">
      <c r="A4172" s="5">
        <v>4111</v>
      </c>
      <c r="B4172" s="138">
        <f>'Short-Term Long-Term Debt 24'!J49</f>
        <v>1861990</v>
      </c>
      <c r="C4172" s="2" t="s">
        <v>573</v>
      </c>
      <c r="D4172" s="2" t="str">
        <f t="shared" si="64"/>
        <v>Error?</v>
      </c>
    </row>
    <row r="4173" spans="1:4" x14ac:dyDescent="0.2">
      <c r="A4173" s="5">
        <v>4112</v>
      </c>
      <c r="B4173" s="138">
        <f>'Short-Term Long-Term Debt 24'!H49</f>
        <v>458000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2324</v>
      </c>
      <c r="C4265" s="2" t="s">
        <v>573</v>
      </c>
      <c r="D4265" s="2" t="str">
        <f t="shared" si="65"/>
        <v>Error?</v>
      </c>
      <c r="E4265" s="128"/>
    </row>
    <row r="4266" spans="1:5" x14ac:dyDescent="0.2">
      <c r="A4266" s="12">
        <v>4205</v>
      </c>
      <c r="B4266" s="138">
        <f>('FP Info 3'!F10)*100000</f>
        <v>352.09999999999997</v>
      </c>
      <c r="C4266" s="2" t="s">
        <v>573</v>
      </c>
      <c r="D4266" s="2" t="str">
        <f t="shared" si="65"/>
        <v>Error?</v>
      </c>
      <c r="E4266" s="128"/>
    </row>
    <row r="4267" spans="1:5" x14ac:dyDescent="0.2">
      <c r="A4267" s="12">
        <v>4206</v>
      </c>
      <c r="B4267" s="138">
        <f>('FP Info 3'!H10)*100000</f>
        <v>112.60000000000001</v>
      </c>
      <c r="C4267" s="2" t="s">
        <v>573</v>
      </c>
      <c r="D4267" s="2" t="str">
        <f t="shared" si="65"/>
        <v>Error?</v>
      </c>
      <c r="E4267" s="128"/>
    </row>
    <row r="4268" spans="1:5" x14ac:dyDescent="0.2">
      <c r="A4268" s="12">
        <v>4207</v>
      </c>
      <c r="B4268" s="138">
        <f>('FP Info 3'!J10)*100000</f>
        <v>2789</v>
      </c>
      <c r="C4268" s="2" t="s">
        <v>573</v>
      </c>
      <c r="D4268" s="2" t="str">
        <f t="shared" si="65"/>
        <v>Error?</v>
      </c>
    </row>
    <row r="4269" spans="1:5" x14ac:dyDescent="0.2">
      <c r="A4269" s="12">
        <v>4208</v>
      </c>
      <c r="B4269" s="138">
        <f>'FP Info 3'!J16</f>
        <v>2593062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11957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4826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6063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66434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79918174</v>
      </c>
      <c r="D4995" s="2" t="str">
        <f t="shared" si="77"/>
        <v>Error?</v>
      </c>
    </row>
    <row r="4996" spans="1:4" x14ac:dyDescent="0.2">
      <c r="A4996" s="12">
        <v>4935</v>
      </c>
      <c r="B4996" s="138">
        <f>'FP Info 3'!H31</f>
        <v>5514354.0060000001</v>
      </c>
      <c r="D4996" s="2" t="str">
        <f t="shared" si="77"/>
        <v>Error?</v>
      </c>
    </row>
    <row r="4997" spans="1:4" x14ac:dyDescent="0.2">
      <c r="A4997" s="12">
        <v>4936</v>
      </c>
      <c r="B4997" s="138">
        <f>'FP Info 3'!H37</f>
        <v>1862000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1812772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1812772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8317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8317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8171</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8171</v>
      </c>
      <c r="C5087" s="2" t="s">
        <v>573</v>
      </c>
      <c r="D5087" s="2" t="str">
        <f t="shared" si="78"/>
        <v>Error?</v>
      </c>
    </row>
    <row r="5088" spans="1:4" x14ac:dyDescent="0.2">
      <c r="A5088" s="5">
        <v>5027</v>
      </c>
      <c r="B5088" s="138">
        <f>'Revenues 9-14'!C65</f>
        <v>69689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69689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4028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60044</v>
      </c>
      <c r="C5096" s="2" t="s">
        <v>573</v>
      </c>
      <c r="D5096" s="2" t="str">
        <f t="shared" si="78"/>
        <v>Error?</v>
      </c>
    </row>
    <row r="5097" spans="1:4" x14ac:dyDescent="0.2">
      <c r="A5097" s="5">
        <v>5036</v>
      </c>
      <c r="B5097" s="138">
        <f>'Revenues 9-14'!C77</f>
        <v>5907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10892</v>
      </c>
      <c r="D5099" s="2" t="str">
        <f t="shared" si="78"/>
        <v>Error?</v>
      </c>
    </row>
    <row r="5100" spans="1:4" x14ac:dyDescent="0.2">
      <c r="A5100" s="5">
        <v>5039</v>
      </c>
      <c r="B5100" s="138">
        <f>'Revenues 9-14'!C80</f>
        <v>495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17294</v>
      </c>
      <c r="C5102" s="2" t="s">
        <v>573</v>
      </c>
      <c r="D5102" s="2" t="str">
        <f t="shared" si="78"/>
        <v>Error?</v>
      </c>
    </row>
    <row r="5103" spans="1:4" x14ac:dyDescent="0.2">
      <c r="A5103" s="5">
        <v>5042</v>
      </c>
      <c r="B5103" s="138">
        <f>'Revenues 9-14'!C84</f>
        <v>35300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73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35373</v>
      </c>
      <c r="C5112" s="2" t="s">
        <v>573</v>
      </c>
      <c r="D5112" s="2" t="str">
        <f t="shared" si="78"/>
        <v>Error?</v>
      </c>
    </row>
    <row r="5113" spans="1:4" x14ac:dyDescent="0.2">
      <c r="A5113" s="5">
        <v>5052</v>
      </c>
      <c r="B5113" s="138">
        <f>'Revenues 9-14'!C95</f>
        <v>6500</v>
      </c>
      <c r="D5113" s="2" t="str">
        <f t="shared" si="78"/>
        <v>Error?</v>
      </c>
    </row>
    <row r="5114" spans="1:4" x14ac:dyDescent="0.2">
      <c r="A5114" s="5">
        <v>5053</v>
      </c>
      <c r="B5114" s="138">
        <f>'Revenues 9-14'!C96</f>
        <v>11163</v>
      </c>
      <c r="D5114" s="2" t="str">
        <f t="shared" si="78"/>
        <v>Error?</v>
      </c>
    </row>
    <row r="5115" spans="1:4" x14ac:dyDescent="0.2">
      <c r="A5115" s="5">
        <v>5054</v>
      </c>
      <c r="B5115" s="138">
        <f>'Revenues 9-14'!C98</f>
        <v>47764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431</v>
      </c>
      <c r="D5119" s="2" t="str">
        <f t="shared" ref="D5119:D5182" si="79">IF(ISBLANK(B5119),"OK",IF(A5119-B5119=0,"OK","Error?"))</f>
        <v>Error?</v>
      </c>
    </row>
    <row r="5120" spans="1:4" x14ac:dyDescent="0.2">
      <c r="A5120" s="5">
        <v>5059</v>
      </c>
      <c r="B5120" s="138">
        <f>'Revenues 9-14'!C108</f>
        <v>65858</v>
      </c>
      <c r="C5120" s="2" t="s">
        <v>573</v>
      </c>
      <c r="D5120" s="2" t="str">
        <f t="shared" si="79"/>
        <v>Error?</v>
      </c>
    </row>
    <row r="5121" spans="1:4" x14ac:dyDescent="0.2">
      <c r="A5121" s="5">
        <v>5060</v>
      </c>
      <c r="B5121" s="138">
        <f>'Revenues 9-14'!C109</f>
        <v>2077518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1175587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1175587</v>
      </c>
      <c r="C5132" s="2" t="s">
        <v>573</v>
      </c>
      <c r="D5132" s="2" t="str">
        <f t="shared" si="79"/>
        <v>Error?</v>
      </c>
    </row>
    <row r="5133" spans="1:4" x14ac:dyDescent="0.2">
      <c r="A5133" s="5">
        <v>5072</v>
      </c>
      <c r="B5133" s="138">
        <f>'Revenues 9-14'!C125</f>
        <v>8584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12526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21110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806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21916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1197503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66434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53814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53814</v>
      </c>
      <c r="C5246" s="2" t="s">
        <v>573</v>
      </c>
      <c r="D5246" s="2" t="str">
        <f t="shared" si="80"/>
        <v>Error?</v>
      </c>
    </row>
    <row r="5247" spans="1:4" x14ac:dyDescent="0.2">
      <c r="A5247" s="5">
        <v>5186</v>
      </c>
      <c r="B5247" s="138">
        <f>'Revenues 9-14'!C200</f>
        <v>55083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4826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55083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132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67582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67714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203157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269591</v>
      </c>
      <c r="C5326" s="2" t="s">
        <v>573</v>
      </c>
      <c r="D5326" s="2" t="str">
        <f t="shared" si="82"/>
        <v>Error?</v>
      </c>
    </row>
    <row r="5327" spans="1:5" x14ac:dyDescent="0.2">
      <c r="A5327" s="5">
        <v>5266</v>
      </c>
      <c r="B5327" s="138">
        <f>'Revenues 9-14'!C268</f>
        <v>3544612</v>
      </c>
      <c r="C5327" s="2" t="s">
        <v>573</v>
      </c>
      <c r="D5327" s="2" t="str">
        <f t="shared" si="82"/>
        <v>Error?</v>
      </c>
    </row>
    <row r="5328" spans="1:5" x14ac:dyDescent="0.2">
      <c r="A5328" s="5">
        <v>5267</v>
      </c>
      <c r="B5328" s="138">
        <f>'Revenues 9-14'!D5</f>
        <v>238130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238130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55</v>
      </c>
      <c r="D5354" s="2" t="str">
        <f t="shared" si="82"/>
        <v>Error?</v>
      </c>
    </row>
    <row r="5355" spans="1:4" x14ac:dyDescent="0.2">
      <c r="A5355" s="5">
        <v>5294</v>
      </c>
      <c r="B5355" s="138">
        <f>'Revenues 9-14'!D108</f>
        <v>5055</v>
      </c>
      <c r="C5355" s="2" t="s">
        <v>573</v>
      </c>
      <c r="D5355" s="2" t="str">
        <f t="shared" si="82"/>
        <v>Error?</v>
      </c>
    </row>
    <row r="5356" spans="1:4" x14ac:dyDescent="0.2">
      <c r="A5356" s="5">
        <v>5295</v>
      </c>
      <c r="B5356" s="138">
        <f>'Revenues 9-14'!D109</f>
        <v>243185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150088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150088</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150088</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393273</v>
      </c>
      <c r="C5508" s="2" t="s">
        <v>573</v>
      </c>
      <c r="D5508" s="2" t="str">
        <f t="shared" si="85"/>
        <v>Error?</v>
      </c>
    </row>
    <row r="5509" spans="1:4" x14ac:dyDescent="0.2">
      <c r="A5509" s="5">
        <v>5448</v>
      </c>
      <c r="B5509" s="138">
        <f>'Revenues 9-14'!E5</f>
        <v>514567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514567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514567</v>
      </c>
      <c r="C5527" s="2" t="s">
        <v>573</v>
      </c>
      <c r="D5527" s="2" t="str">
        <f t="shared" si="85"/>
        <v>Error?</v>
      </c>
    </row>
    <row r="5528" spans="1:4" x14ac:dyDescent="0.2">
      <c r="A5528" s="5">
        <v>5467</v>
      </c>
      <c r="B5528" s="138">
        <f>'Revenues 9-14'!E117</f>
        <v>31118</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31118</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31118</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545685</v>
      </c>
      <c r="C5552" s="2" t="s">
        <v>573</v>
      </c>
      <c r="D5552" s="2" t="str">
        <f t="shared" si="85"/>
        <v>Error?</v>
      </c>
    </row>
    <row r="5553" spans="1:4" x14ac:dyDescent="0.2">
      <c r="A5553" s="5">
        <v>5492</v>
      </c>
      <c r="B5553" s="138">
        <f>'Revenues 9-14'!F5</f>
        <v>89050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89050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1683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1683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90733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96255</v>
      </c>
      <c r="D5615" s="2" t="str">
        <f t="shared" si="86"/>
        <v>Error?</v>
      </c>
    </row>
    <row r="5616" spans="1:4" x14ac:dyDescent="0.2">
      <c r="A5616" s="10">
        <v>5555</v>
      </c>
      <c r="D5616" s="2" t="str">
        <f t="shared" si="86"/>
        <v>OK</v>
      </c>
    </row>
    <row r="5617" spans="1:5" x14ac:dyDescent="0.2">
      <c r="A5617" s="5">
        <v>5556</v>
      </c>
      <c r="B5617" s="138">
        <f>'Revenues 9-14'!F153</f>
        <v>37967</v>
      </c>
      <c r="D5617" s="2" t="str">
        <f t="shared" si="86"/>
        <v>Error?</v>
      </c>
    </row>
    <row r="5618" spans="1:5" x14ac:dyDescent="0.2">
      <c r="A5618" s="5">
        <v>5557</v>
      </c>
      <c r="B5618" s="138">
        <f>'Revenues 9-14'!F155</f>
        <v>134222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134222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134222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224955</v>
      </c>
      <c r="C5720" s="2" t="s">
        <v>573</v>
      </c>
      <c r="D5720" s="2" t="str">
        <f t="shared" si="88"/>
        <v>Error?</v>
      </c>
    </row>
    <row r="5721" spans="1:4" x14ac:dyDescent="0.2">
      <c r="A5721" s="5">
        <v>5660</v>
      </c>
      <c r="B5721" s="138">
        <f>'Revenues 9-14'!G5</f>
        <v>40610</v>
      </c>
      <c r="D5721" s="2" t="str">
        <f t="shared" si="88"/>
        <v>Error?</v>
      </c>
    </row>
    <row r="5722" spans="1:4" x14ac:dyDescent="0.2">
      <c r="A5722" s="5">
        <v>5661</v>
      </c>
      <c r="B5722" s="138">
        <f>'Revenues 9-14'!G7</f>
        <v>0</v>
      </c>
      <c r="D5722" s="2" t="str">
        <f t="shared" si="88"/>
        <v>Error?</v>
      </c>
    </row>
    <row r="5723" spans="1:4" x14ac:dyDescent="0.2">
      <c r="A5723" s="5">
        <v>5662</v>
      </c>
      <c r="B5723" s="138">
        <f>'Revenues 9-14'!G8</f>
        <v>66404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107014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107014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43672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43672</v>
      </c>
      <c r="C5915" s="2" t="s">
        <v>573</v>
      </c>
      <c r="D5915" s="2" t="str">
        <f t="shared" si="91"/>
        <v>Error?</v>
      </c>
    </row>
    <row r="5916" spans="1:4" x14ac:dyDescent="0.2">
      <c r="A5916" s="5">
        <v>5855</v>
      </c>
      <c r="B5916" s="138">
        <f>'Revenues 9-14'!I5</f>
        <v>997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997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997</v>
      </c>
      <c r="C6023" s="2" t="s">
        <v>573</v>
      </c>
      <c r="D6023" s="2" t="str">
        <f t="shared" si="93"/>
        <v>Error?</v>
      </c>
    </row>
    <row r="6024" spans="1:5" x14ac:dyDescent="0.2">
      <c r="A6024" s="5">
        <v>5963</v>
      </c>
      <c r="B6024" s="138">
        <f>'Revenues 9-14'!G109</f>
        <v>107014</v>
      </c>
      <c r="C6024" s="2" t="s">
        <v>573</v>
      </c>
      <c r="D6024" s="2" t="str">
        <f t="shared" si="93"/>
        <v>Error?</v>
      </c>
    </row>
    <row r="6025" spans="1:5" x14ac:dyDescent="0.2">
      <c r="A6025" s="5">
        <v>5964</v>
      </c>
      <c r="B6025" s="138">
        <f>'Revenues 9-14'!H109</f>
        <v>43672</v>
      </c>
      <c r="C6025" s="2" t="s">
        <v>573</v>
      </c>
      <c r="D6025" s="2" t="str">
        <f t="shared" si="93"/>
        <v>Error?</v>
      </c>
    </row>
    <row r="6026" spans="1:5" x14ac:dyDescent="0.2">
      <c r="A6026" s="5">
        <v>5965</v>
      </c>
      <c r="B6026" s="138">
        <f>'Revenues 9-14'!I109</f>
        <v>997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997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54060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418.82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25457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25457</v>
      </c>
      <c r="D6215" s="2" t="str">
        <f t="shared" si="96"/>
        <v>Error?</v>
      </c>
      <c r="E6215" s="2" t="s">
        <v>190</v>
      </c>
    </row>
    <row r="6216" spans="1:5" x14ac:dyDescent="0.2">
      <c r="A6216">
        <v>6155</v>
      </c>
      <c r="B6216" s="138">
        <f>'Assets-Liab 5-6'!J41</f>
        <v>25457</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25457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4914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4914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4914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4914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4914</v>
      </c>
      <c r="D6263" s="2" t="str">
        <f t="shared" si="96"/>
        <v>Error?</v>
      </c>
      <c r="E6263" s="2" t="s">
        <v>190</v>
      </c>
    </row>
    <row r="6264" spans="1:5" x14ac:dyDescent="0.2">
      <c r="A6264">
        <v>6203</v>
      </c>
      <c r="B6264" s="138">
        <f>'Acct Summary 7-8'!J79</f>
        <v>20543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25457</v>
      </c>
      <c r="D6266" s="2" t="str">
        <f t="shared" si="96"/>
        <v>Error?</v>
      </c>
      <c r="E6266" s="2" t="s">
        <v>190</v>
      </c>
    </row>
    <row r="6267" spans="1:5" x14ac:dyDescent="0.2">
      <c r="A6267">
        <v>6206</v>
      </c>
      <c r="B6267" s="138">
        <f>'Acct Summary 7-8'!C82</f>
        <v>323696</v>
      </c>
      <c r="D6267" s="2" t="str">
        <f t="shared" si="96"/>
        <v>Error?</v>
      </c>
      <c r="E6267" s="2" t="s">
        <v>190</v>
      </c>
    </row>
    <row r="6268" spans="1:5" x14ac:dyDescent="0.2">
      <c r="A6268">
        <v>6207</v>
      </c>
      <c r="B6268" s="138">
        <f>'Acct Summary 7-8'!D82</f>
        <v>-124689</v>
      </c>
      <c r="D6268" s="2" t="str">
        <f t="shared" si="96"/>
        <v>Error?</v>
      </c>
      <c r="E6268" s="2" t="s">
        <v>190</v>
      </c>
    </row>
    <row r="6269" spans="1:5" x14ac:dyDescent="0.2">
      <c r="A6269">
        <v>6208</v>
      </c>
      <c r="B6269" s="138">
        <f>'Acct Summary 7-8'!E82</f>
        <v>-63</v>
      </c>
      <c r="D6269" s="2" t="str">
        <f t="shared" si="96"/>
        <v>Error?</v>
      </c>
      <c r="E6269" s="2" t="s">
        <v>190</v>
      </c>
    </row>
    <row r="6270" spans="1:5" x14ac:dyDescent="0.2">
      <c r="A6270">
        <v>6209</v>
      </c>
      <c r="B6270" s="138">
        <f>'Acct Summary 7-8'!F82</f>
        <v>-16819</v>
      </c>
      <c r="D6270" s="2" t="str">
        <f t="shared" si="96"/>
        <v>Error?</v>
      </c>
      <c r="E6270" s="2" t="s">
        <v>190</v>
      </c>
    </row>
    <row r="6271" spans="1:5" x14ac:dyDescent="0.2">
      <c r="A6271">
        <v>6210</v>
      </c>
      <c r="B6271" s="138">
        <f>'Acct Summary 7-8'!G82</f>
        <v>2324</v>
      </c>
      <c r="D6271" s="2" t="str">
        <f t="shared" ref="D6271:D6334" si="97">IF(ISBLANK(B6271),"OK",IF(A6271-B6271=0,"OK","Error?"))</f>
        <v>Error?</v>
      </c>
      <c r="E6271" s="2" t="s">
        <v>190</v>
      </c>
    </row>
    <row r="6272" spans="1:5" x14ac:dyDescent="0.2">
      <c r="A6272">
        <v>6211</v>
      </c>
      <c r="B6272" s="138">
        <f>'Acct Summary 7-8'!H82</f>
        <v>42823</v>
      </c>
      <c r="D6272" s="2" t="str">
        <f t="shared" si="97"/>
        <v>Error?</v>
      </c>
      <c r="E6272" s="2" t="s">
        <v>190</v>
      </c>
    </row>
    <row r="6273" spans="1:5" x14ac:dyDescent="0.2">
      <c r="A6273">
        <v>6212</v>
      </c>
      <c r="B6273" s="138">
        <f>'Acct Summary 7-8'!I82</f>
        <v>997</v>
      </c>
      <c r="D6273" s="2" t="str">
        <f t="shared" si="97"/>
        <v>Error?</v>
      </c>
      <c r="E6273" s="2" t="s">
        <v>190</v>
      </c>
    </row>
    <row r="6274" spans="1:5" x14ac:dyDescent="0.2">
      <c r="A6274">
        <v>6213</v>
      </c>
      <c r="B6274" s="138">
        <f>'Acct Summary 7-8'!J82</f>
        <v>4914</v>
      </c>
      <c r="D6274" s="2" t="str">
        <f t="shared" si="97"/>
        <v>Error?</v>
      </c>
      <c r="E6274" s="2" t="s">
        <v>190</v>
      </c>
    </row>
    <row r="6275" spans="1:5" x14ac:dyDescent="0.2">
      <c r="A6275">
        <v>6214</v>
      </c>
      <c r="B6275" s="138">
        <f>'Acct Summary 7-8'!K82</f>
        <v>-2407</v>
      </c>
      <c r="D6275" s="2" t="str">
        <f t="shared" si="97"/>
        <v>Error?</v>
      </c>
      <c r="E6275" s="2" t="s">
        <v>190</v>
      </c>
    </row>
    <row r="6276" spans="1:5" x14ac:dyDescent="0.2">
      <c r="A6276">
        <v>6215</v>
      </c>
      <c r="B6276" s="138">
        <f>'Acct Summary 7-8'!C83</f>
        <v>0.14299629760030957</v>
      </c>
      <c r="D6276" s="2" t="str">
        <f t="shared" si="97"/>
        <v>Error?</v>
      </c>
      <c r="E6276" s="2" t="s">
        <v>190</v>
      </c>
    </row>
    <row r="6277" spans="1:5" x14ac:dyDescent="0.2">
      <c r="A6277">
        <v>6216</v>
      </c>
      <c r="B6277" s="138">
        <f>'Acct Summary 7-8'!D83</f>
        <v>-0.84618099148315296</v>
      </c>
      <c r="D6277" s="2" t="str">
        <f t="shared" si="97"/>
        <v>Error?</v>
      </c>
      <c r="E6277" s="2" t="s">
        <v>190</v>
      </c>
    </row>
    <row r="6278" spans="1:5" x14ac:dyDescent="0.2">
      <c r="A6278">
        <v>6217</v>
      </c>
      <c r="B6278" s="138">
        <f>'Acct Summary 7-8'!E83</f>
        <v>-6.3</v>
      </c>
      <c r="D6278" s="2" t="str">
        <f t="shared" si="97"/>
        <v>Error?</v>
      </c>
      <c r="E6278" s="2" t="s">
        <v>190</v>
      </c>
    </row>
    <row r="6279" spans="1:5" x14ac:dyDescent="0.2">
      <c r="A6279">
        <v>6218</v>
      </c>
      <c r="B6279" s="138">
        <f>'Acct Summary 7-8'!F83</f>
        <v>-0.12154740052321968</v>
      </c>
      <c r="D6279" s="2" t="str">
        <f t="shared" si="97"/>
        <v>Error?</v>
      </c>
      <c r="E6279" s="2" t="s">
        <v>190</v>
      </c>
    </row>
    <row r="6280" spans="1:5" x14ac:dyDescent="0.2">
      <c r="A6280">
        <v>6219</v>
      </c>
      <c r="B6280" s="138">
        <f>'Acct Summary 7-8'!G83</f>
        <v>5.7261124525698516E-2</v>
      </c>
      <c r="D6280" s="2" t="str">
        <f t="shared" si="97"/>
        <v>Error?</v>
      </c>
      <c r="E6280" s="2" t="s">
        <v>190</v>
      </c>
    </row>
    <row r="6281" spans="1:5" x14ac:dyDescent="0.2">
      <c r="A6281">
        <v>6220</v>
      </c>
      <c r="B6281" s="138">
        <f>'Acct Summary 7-8'!H83</f>
        <v>0.16446410808859394</v>
      </c>
      <c r="D6281" s="2" t="str">
        <f t="shared" si="97"/>
        <v>Error?</v>
      </c>
      <c r="E6281" s="2" t="s">
        <v>190</v>
      </c>
    </row>
    <row r="6282" spans="1:5" x14ac:dyDescent="0.2">
      <c r="A6282">
        <v>6221</v>
      </c>
      <c r="B6282" s="138">
        <f>'Acct Summary 7-8'!I83</f>
        <v>2.2832409655109239E-2</v>
      </c>
      <c r="D6282" s="2" t="str">
        <f t="shared" si="97"/>
        <v>Error?</v>
      </c>
      <c r="E6282" s="2" t="s">
        <v>190</v>
      </c>
    </row>
    <row r="6283" spans="1:5" x14ac:dyDescent="0.2">
      <c r="A6283">
        <v>6222</v>
      </c>
      <c r="B6283" s="138">
        <f>'Acct Summary 7-8'!J83</f>
        <v>0.19303138625918215</v>
      </c>
      <c r="D6283" s="2" t="str">
        <f t="shared" si="97"/>
        <v>Error?</v>
      </c>
      <c r="E6283" s="2" t="s">
        <v>190</v>
      </c>
    </row>
    <row r="6284" spans="1:5" x14ac:dyDescent="0.2">
      <c r="A6284">
        <v>6223</v>
      </c>
      <c r="B6284" s="138">
        <f>'Acct Summary 7-8'!K83</f>
        <v>-0.48626262626262629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4914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43672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4914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32040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22523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22523</v>
      </c>
      <c r="D6940" s="2" t="str">
        <f t="shared" si="107"/>
        <v>Error?</v>
      </c>
    </row>
    <row r="6941" spans="1:4" x14ac:dyDescent="0.2">
      <c r="A6941">
        <v>6880</v>
      </c>
      <c r="B6941" s="138">
        <f>'Expenditures 15-22'!L52</f>
        <v>25000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4914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1107</v>
      </c>
      <c r="D7075" s="2" t="str">
        <f t="shared" si="109"/>
        <v>Error?</v>
      </c>
    </row>
    <row r="7076" spans="1:4" x14ac:dyDescent="0.2">
      <c r="A7076">
        <v>7015</v>
      </c>
      <c r="B7076" s="138">
        <f>'Expenditures 15-22'!K218</f>
        <v>1107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4914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23283</v>
      </c>
      <c r="D7251" s="2" t="str">
        <f t="shared" si="112"/>
        <v>Error?</v>
      </c>
    </row>
    <row r="7252" spans="1:4" x14ac:dyDescent="0.2">
      <c r="A7252">
        <f t="shared" si="113"/>
        <v>7191</v>
      </c>
      <c r="B7252" s="138">
        <f>'Expenditures 15-22'!D9</f>
        <v>6266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2491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234428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214836.25</v>
      </c>
      <c r="D7797" s="2" t="str">
        <f t="shared" si="127"/>
        <v>Error?</v>
      </c>
      <c r="E7797" s="4" t="s">
        <v>1903</v>
      </c>
    </row>
    <row r="7798" spans="1:5" x14ac:dyDescent="0.2">
      <c r="A7798">
        <v>7737</v>
      </c>
      <c r="B7798" s="138">
        <f>'Contracts Paid in CY 29'!F142</f>
        <v>75000</v>
      </c>
      <c r="D7798" s="2" t="str">
        <f t="shared" si="127"/>
        <v>Error?</v>
      </c>
      <c r="E7798" s="4" t="s">
        <v>1903</v>
      </c>
    </row>
    <row r="7799" spans="1:5" x14ac:dyDescent="0.2">
      <c r="A7799">
        <v>7738</v>
      </c>
      <c r="B7799" s="138">
        <f>'Contracts Paid in CY 29'!G142</f>
        <v>139836.25</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1987</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St. George CCSD 258</v>
      </c>
      <c r="B7" s="2387"/>
      <c r="C7" s="2387"/>
      <c r="D7" s="2424"/>
      <c r="E7" s="2425">
        <f>COVER!A13</f>
        <v>32046258004</v>
      </c>
      <c r="F7" s="2426"/>
      <c r="G7" s="2393" t="str">
        <f>COVER!T23</f>
        <v>066-003660</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Burke, Montague &amp; Associates, LLC</v>
      </c>
      <c r="H9" s="2400"/>
      <c r="I9" s="2400"/>
      <c r="J9" s="2400"/>
      <c r="K9" s="2400"/>
      <c r="L9" s="2401"/>
    </row>
    <row r="10" spans="1:29" ht="13.5" customHeight="1" x14ac:dyDescent="0.2">
      <c r="A10" s="2383" t="str">
        <f>COVER!A38</f>
        <v>Dr. Helen Boehrnsen</v>
      </c>
      <c r="B10" s="2384"/>
      <c r="C10" s="2384"/>
      <c r="D10" s="2384"/>
      <c r="E10" s="2384"/>
      <c r="F10" s="2385"/>
      <c r="G10" s="2399" t="str">
        <f>COVER!T17</f>
        <v>263 W. Broadway</v>
      </c>
      <c r="H10" s="2412"/>
      <c r="I10" s="2412"/>
      <c r="J10" s="2412"/>
      <c r="K10" s="2412"/>
      <c r="L10" s="2413"/>
    </row>
    <row r="11" spans="1:29" ht="13.5" customHeight="1" x14ac:dyDescent="0.2">
      <c r="A11" s="1184" t="s">
        <v>1519</v>
      </c>
      <c r="B11" s="1185"/>
      <c r="C11" s="1186"/>
      <c r="D11" s="1191"/>
      <c r="E11" s="1186"/>
      <c r="F11" s="1190"/>
      <c r="G11" s="2399" t="str">
        <f>COVER!T19</f>
        <v>Bradley</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rraymond@mybmacpa.com</v>
      </c>
      <c r="J13" s="2421"/>
      <c r="K13" s="2421"/>
      <c r="L13" s="2422"/>
    </row>
    <row r="14" spans="1:29" ht="13.5" customHeight="1" x14ac:dyDescent="0.2">
      <c r="A14" s="2399" t="str">
        <f>COVER!A19</f>
        <v>5200 E Center</v>
      </c>
      <c r="B14" s="2412"/>
      <c r="C14" s="2412"/>
      <c r="D14" s="2412"/>
      <c r="E14" s="2412"/>
      <c r="F14" s="2413"/>
      <c r="G14" s="1195" t="s">
        <v>1185</v>
      </c>
      <c r="H14" s="1193"/>
      <c r="I14" s="1193"/>
      <c r="J14" s="1193"/>
      <c r="K14" s="1193"/>
      <c r="L14" s="1194"/>
    </row>
    <row r="15" spans="1:29" ht="13.5" customHeight="1" x14ac:dyDescent="0.2">
      <c r="A15" s="2399" t="str">
        <f>COVER!A21</f>
        <v>Bourbonnais</v>
      </c>
      <c r="B15" s="2412"/>
      <c r="C15" s="2412"/>
      <c r="D15" s="2412"/>
      <c r="E15" s="2412"/>
      <c r="F15" s="2413"/>
      <c r="G15" s="2409" t="str">
        <f>COVER!T15</f>
        <v>Ray Raymond</v>
      </c>
      <c r="H15" s="2410"/>
      <c r="I15" s="2410"/>
      <c r="J15" s="2410"/>
      <c r="K15" s="2410"/>
      <c r="L15" s="2411"/>
    </row>
    <row r="16" spans="1:29" ht="12.2" customHeight="1" x14ac:dyDescent="0.2">
      <c r="A16" s="2389">
        <f>COVER!A25</f>
        <v>60914</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815-933-5641</v>
      </c>
      <c r="H18" s="2387"/>
      <c r="I18" s="2387"/>
      <c r="J18" s="2387"/>
      <c r="K18" s="2386" t="str">
        <f>COVER!X21</f>
        <v>815-939-0016</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St. George CCSD 258</v>
      </c>
      <c r="B1" s="2423"/>
      <c r="C1" s="2423"/>
      <c r="D1" s="2423"/>
    </row>
    <row r="2" spans="1:11" s="1212" customFormat="1" ht="12.75" x14ac:dyDescent="0.2">
      <c r="A2" s="2428">
        <f>'Single Audit Cover'!E7</f>
        <v>32046258004</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St. George CCSD 258</v>
      </c>
      <c r="B1" s="2431"/>
      <c r="C1" s="2431"/>
      <c r="D1" s="2431"/>
      <c r="E1" s="2431"/>
    </row>
    <row r="2" spans="1:5" x14ac:dyDescent="0.2">
      <c r="A2" s="2432">
        <f>'Single Audit Cover'!E7</f>
        <v>32046258004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269591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-11957</v>
      </c>
    </row>
    <row r="19" spans="1:4" ht="13.5" thickBot="1" x14ac:dyDescent="0.25">
      <c r="A19" s="1262" t="s">
        <v>1235</v>
      </c>
      <c r="D19" s="1263">
        <f>SUM(D10:D17)</f>
        <v>257634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257634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257634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St. George CCSD 258</v>
      </c>
      <c r="C1" s="2435"/>
      <c r="D1" s="2435"/>
      <c r="E1" s="2435"/>
      <c r="F1" s="2435"/>
      <c r="G1" s="2435"/>
      <c r="H1" s="2435"/>
      <c r="I1" s="2435"/>
      <c r="J1" s="2435"/>
      <c r="K1" s="2435"/>
      <c r="L1" s="2435"/>
      <c r="M1" s="2435"/>
    </row>
    <row r="2" spans="2:14" ht="15" x14ac:dyDescent="0.2">
      <c r="B2" s="2436">
        <f>'Single Audit Cover'!E7</f>
        <v>32046258004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St. George CCSD 258</v>
      </c>
      <c r="B1" s="2440"/>
      <c r="C1" s="2440"/>
      <c r="D1" s="2440"/>
      <c r="E1" s="2440"/>
      <c r="F1" s="2440"/>
    </row>
    <row r="2" spans="1:7" ht="13.5" customHeight="1" x14ac:dyDescent="0.2">
      <c r="A2" s="2436">
        <f>'Single Audit Cover'!E7</f>
        <v>32046258004</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1732</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F49" sqref="F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35735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St. George CCSD 258</v>
      </c>
      <c r="C1" s="2456"/>
      <c r="D1" s="2456"/>
      <c r="E1" s="2456"/>
      <c r="F1" s="2456"/>
      <c r="G1" s="2456"/>
      <c r="H1" s="2456"/>
      <c r="I1" s="2456"/>
      <c r="J1" s="1406"/>
    </row>
    <row r="2" spans="2:10" s="317" customFormat="1" ht="12.75" customHeight="1" x14ac:dyDescent="0.2">
      <c r="B2" s="2457">
        <f>'Single Audit Cover'!E7</f>
        <v>32046258004</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2062</v>
      </c>
      <c r="D45" s="2473">
        <v>0</v>
      </c>
      <c r="E45" s="247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5"/>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St. George CCSD 258</v>
      </c>
      <c r="C1" s="2455"/>
      <c r="D1" s="2455"/>
      <c r="E1" s="2455"/>
      <c r="F1" s="2455"/>
      <c r="G1" s="2455"/>
      <c r="H1" s="2455"/>
      <c r="I1" s="2455"/>
      <c r="J1" s="2455"/>
      <c r="K1" s="2455"/>
      <c r="L1" s="1371"/>
      <c r="M1" s="1371"/>
    </row>
    <row r="2" spans="1:13" ht="12" customHeight="1" x14ac:dyDescent="0.2">
      <c r="B2" s="2457">
        <f>'Single Audit Cover'!E7</f>
        <v>32046258004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St. George CCSD 258</v>
      </c>
      <c r="C1" s="2482"/>
      <c r="D1" s="2482"/>
      <c r="E1" s="2482"/>
      <c r="F1" s="2482"/>
      <c r="G1" s="2482"/>
      <c r="H1" s="2482"/>
      <c r="I1" s="2482"/>
      <c r="J1" s="2482"/>
      <c r="K1" s="2482"/>
      <c r="L1" s="1449"/>
    </row>
    <row r="2" spans="1:12" ht="12.75" customHeight="1" x14ac:dyDescent="0.2">
      <c r="B2" s="2483">
        <f>'Single Audit Cover'!E7</f>
        <v>32046258004</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St. George CCSD 258</v>
      </c>
      <c r="C1" s="2455"/>
      <c r="D1" s="2455"/>
      <c r="E1" s="1469"/>
    </row>
    <row r="2" spans="2:5" s="1279" customFormat="1" ht="12.75" customHeight="1" x14ac:dyDescent="0.2">
      <c r="B2" s="2457">
        <f>'Single Audit Cover'!E7</f>
        <v>32046258004</v>
      </c>
      <c r="C2" s="2457"/>
      <c r="D2" s="2457"/>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79918174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2.324E-2</v>
      </c>
      <c r="E10" s="356" t="s">
        <v>1005</v>
      </c>
      <c r="F10" s="355">
        <v>3.5209999999999998E-3</v>
      </c>
      <c r="G10" s="356" t="s">
        <v>1005</v>
      </c>
      <c r="H10" s="355">
        <v>1.126E-3</v>
      </c>
      <c r="I10" s="356" t="s">
        <v>1006</v>
      </c>
      <c r="J10" s="1732">
        <f>ROUND(D10+F10+H10,5)</f>
        <v>2.7890000000000002E-2</v>
      </c>
      <c r="K10" s="222"/>
      <c r="L10" s="355">
        <v>1.0000000000000001E-5</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4163837</v>
      </c>
      <c r="E16" s="356"/>
      <c r="F16" s="1733">
        <f>SUM('Acct Summary 7-8'!C17,'Acct Summary 7-8'!D17,'Acct Summary 7-8'!F17)</f>
        <v>3980652</v>
      </c>
      <c r="G16" s="356"/>
      <c r="H16" s="1733">
        <f>SUM(D16-F16)</f>
        <v>183185</v>
      </c>
      <c r="I16" s="222"/>
      <c r="J16" s="1733">
        <f>SUM('Acct Summary 7-8'!C81,'Acct Summary 7-8'!D81,'Acct Summary 7-8'!F81,'Acct Summary 7-8'!I81)</f>
        <v>2593062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5514354.0060000001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1862000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 George CCSD 258</v>
      </c>
      <c r="E7" s="391"/>
      <c r="G7" s="252"/>
      <c r="H7" s="387"/>
      <c r="I7" s="387"/>
      <c r="J7" s="387"/>
      <c r="K7" s="387"/>
      <c r="L7" s="329"/>
      <c r="M7" s="329"/>
      <c r="N7" s="329"/>
      <c r="O7" s="329"/>
      <c r="P7" s="329"/>
    </row>
    <row r="8" spans="1:18" ht="12.75" x14ac:dyDescent="0.2">
      <c r="A8" s="329"/>
      <c r="B8" s="329"/>
      <c r="C8" s="389" t="s">
        <v>1125</v>
      </c>
      <c r="D8" s="392">
        <f>COVER!A13</f>
        <v>32046258004</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2593062</v>
      </c>
      <c r="I12" s="404"/>
      <c r="J12" s="404"/>
      <c r="K12" s="405">
        <f>TRUNC((H12/H13*100000),5)/100000</f>
        <v>0.62275780720000007</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4163837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3980652</v>
      </c>
      <c r="I17" s="404"/>
      <c r="J17" s="416"/>
      <c r="K17" s="405">
        <f>TRUNC((H17/H18*100000),5)/100000</f>
        <v>0.95600572260000005</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4163837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2593062</v>
      </c>
      <c r="I24" s="422"/>
      <c r="J24" s="422"/>
      <c r="K24" s="423">
        <f>TRUNC(((H24/H25*100000)/100000),2)</f>
        <v>234.5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11057.366669999999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1894580.19193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1862000</v>
      </c>
      <c r="I32" s="420"/>
      <c r="J32" s="420"/>
      <c r="K32" s="423">
        <f>TRUNC(100-((((H32/H33*100))*100)/100),2)</f>
        <v>66.23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5514354.0060000001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7" activePane="bottomLeft" state="frozen"/>
      <selection pane="bottomLeft" activeCell="I40" sqref="I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c r="D4" s="466"/>
      <c r="E4" s="466"/>
      <c r="F4" s="466"/>
      <c r="G4" s="466"/>
      <c r="H4" s="466"/>
      <c r="I4" s="466"/>
      <c r="J4" s="467"/>
      <c r="K4" s="466"/>
      <c r="L4" s="466"/>
      <c r="M4" s="468"/>
      <c r="N4" s="469"/>
    </row>
    <row r="5" spans="1:14" x14ac:dyDescent="0.2">
      <c r="A5" s="463" t="s">
        <v>992</v>
      </c>
      <c r="B5" s="470">
        <v>120</v>
      </c>
      <c r="C5" s="465">
        <v>2263667</v>
      </c>
      <c r="D5" s="466">
        <v>147355</v>
      </c>
      <c r="E5" s="466">
        <v>10</v>
      </c>
      <c r="F5" s="466">
        <v>138374</v>
      </c>
      <c r="G5" s="466">
        <v>40586</v>
      </c>
      <c r="H5" s="466">
        <v>260379</v>
      </c>
      <c r="I5" s="466">
        <v>43666</v>
      </c>
      <c r="J5" s="467">
        <v>25457</v>
      </c>
      <c r="K5" s="471">
        <v>4950</v>
      </c>
      <c r="L5" s="472">
        <v>18481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2263667</v>
      </c>
      <c r="D13" s="1737">
        <f t="shared" ref="D13:L13" si="0">SUM(D4:D12)</f>
        <v>147355</v>
      </c>
      <c r="E13" s="1737">
        <f t="shared" si="0"/>
        <v>10</v>
      </c>
      <c r="F13" s="1737">
        <f t="shared" si="0"/>
        <v>138374</v>
      </c>
      <c r="G13" s="1737">
        <f t="shared" si="0"/>
        <v>40586</v>
      </c>
      <c r="H13" s="1737">
        <f t="shared" si="0"/>
        <v>260379</v>
      </c>
      <c r="I13" s="1737">
        <f t="shared" si="0"/>
        <v>43666</v>
      </c>
      <c r="J13" s="1737">
        <f t="shared" si="0"/>
        <v>25457</v>
      </c>
      <c r="K13" s="1737">
        <f t="shared" si="0"/>
        <v>4950</v>
      </c>
      <c r="L13" s="1737">
        <f t="shared" si="0"/>
        <v>18481</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671408</v>
      </c>
      <c r="N16" s="484"/>
    </row>
    <row r="17" spans="1:14" s="485" customFormat="1" ht="12.75" customHeight="1" x14ac:dyDescent="0.2">
      <c r="A17" s="482" t="s">
        <v>1403</v>
      </c>
      <c r="B17" s="483">
        <v>230</v>
      </c>
      <c r="C17" s="477"/>
      <c r="D17" s="477"/>
      <c r="E17" s="477"/>
      <c r="F17" s="477"/>
      <c r="G17" s="477"/>
      <c r="H17" s="477"/>
      <c r="I17" s="477"/>
      <c r="J17" s="477"/>
      <c r="K17" s="477"/>
      <c r="L17" s="477"/>
      <c r="M17" s="467">
        <f>8206085+70850-2636122-27214</f>
        <v>5613599</v>
      </c>
      <c r="N17" s="484"/>
    </row>
    <row r="18" spans="1:14" s="485" customFormat="1" ht="12.75" customHeight="1" x14ac:dyDescent="0.2">
      <c r="A18" s="482" t="s">
        <v>1404</v>
      </c>
      <c r="B18" s="483">
        <v>240</v>
      </c>
      <c r="C18" s="477"/>
      <c r="D18" s="477"/>
      <c r="E18" s="477"/>
      <c r="F18" s="477"/>
      <c r="G18" s="477"/>
      <c r="H18" s="477"/>
      <c r="I18" s="477"/>
      <c r="J18" s="477"/>
      <c r="K18" s="477"/>
      <c r="L18" s="477"/>
      <c r="M18" s="467">
        <f>945674+448152-850538-368481</f>
        <v>174807</v>
      </c>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1861990</v>
      </c>
    </row>
    <row r="23" spans="1:14" ht="13.5" customHeight="1" thickBot="1" x14ac:dyDescent="0.25">
      <c r="A23" s="1736" t="s">
        <v>643</v>
      </c>
      <c r="B23" s="1741"/>
      <c r="C23" s="468"/>
      <c r="D23" s="468"/>
      <c r="E23" s="468"/>
      <c r="F23" s="468"/>
      <c r="G23" s="468"/>
      <c r="H23" s="468"/>
      <c r="I23" s="468"/>
      <c r="J23" s="468"/>
      <c r="K23" s="468"/>
      <c r="L23" s="468"/>
      <c r="M23" s="1688">
        <f>SUM(M15:M22)</f>
        <v>6459814</v>
      </c>
      <c r="N23" s="1688">
        <f>SUM(N21:N22)</f>
        <v>1862000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1862000</v>
      </c>
    </row>
    <row r="37" spans="1:14" ht="13.5" thickBot="1" x14ac:dyDescent="0.25">
      <c r="A37" s="1736" t="s">
        <v>653</v>
      </c>
      <c r="B37" s="1741"/>
      <c r="C37" s="477"/>
      <c r="D37" s="477"/>
      <c r="E37" s="477"/>
      <c r="F37" s="477"/>
      <c r="G37" s="477"/>
      <c r="H37" s="477"/>
      <c r="I37" s="477"/>
      <c r="J37" s="477"/>
      <c r="K37" s="477"/>
      <c r="L37" s="480"/>
      <c r="M37" s="468"/>
      <c r="N37" s="1688">
        <f>SUM(N36:N36)</f>
        <v>1862000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2263667</v>
      </c>
      <c r="D39" s="466">
        <v>147355</v>
      </c>
      <c r="E39" s="466">
        <v>10</v>
      </c>
      <c r="F39" s="466">
        <v>138374</v>
      </c>
      <c r="G39" s="466">
        <v>40586</v>
      </c>
      <c r="H39" s="466">
        <v>260379</v>
      </c>
      <c r="I39" s="466">
        <v>43666</v>
      </c>
      <c r="J39" s="467">
        <v>25457</v>
      </c>
      <c r="K39" s="466">
        <v>4950</v>
      </c>
      <c r="L39" s="466">
        <v>18481</v>
      </c>
      <c r="M39" s="497"/>
      <c r="N39" s="497"/>
    </row>
    <row r="40" spans="1:14" s="329" customFormat="1" ht="13.5" customHeight="1" x14ac:dyDescent="0.2">
      <c r="A40" s="498" t="s">
        <v>148</v>
      </c>
      <c r="B40" s="499"/>
      <c r="C40" s="500"/>
      <c r="D40" s="500"/>
      <c r="E40" s="500"/>
      <c r="F40" s="500"/>
      <c r="G40" s="500"/>
      <c r="H40" s="500"/>
      <c r="I40" s="500"/>
      <c r="J40" s="500"/>
      <c r="K40" s="500"/>
      <c r="L40" s="500"/>
      <c r="M40" s="467">
        <v>6459814</v>
      </c>
      <c r="N40" s="497"/>
    </row>
    <row r="41" spans="1:14" ht="13.5" customHeight="1" thickBot="1" x14ac:dyDescent="0.25">
      <c r="A41" s="1736" t="s">
        <v>655</v>
      </c>
      <c r="B41" s="1706"/>
      <c r="C41" s="1688">
        <f>(SUM(C34,C37,C38,C39))</f>
        <v>2263667</v>
      </c>
      <c r="D41" s="1688">
        <f t="shared" ref="D41:L41" si="2">SUM(D34,D37,D38:D39)</f>
        <v>147355</v>
      </c>
      <c r="E41" s="1688">
        <f t="shared" si="2"/>
        <v>10</v>
      </c>
      <c r="F41" s="1688">
        <f t="shared" si="2"/>
        <v>138374</v>
      </c>
      <c r="G41" s="1688">
        <f t="shared" si="2"/>
        <v>40586</v>
      </c>
      <c r="H41" s="1688">
        <f t="shared" si="2"/>
        <v>260379</v>
      </c>
      <c r="I41" s="1688">
        <f t="shared" si="2"/>
        <v>43666</v>
      </c>
      <c r="J41" s="1688">
        <f t="shared" si="2"/>
        <v>25457</v>
      </c>
      <c r="K41" s="1688">
        <f t="shared" si="2"/>
        <v>4950</v>
      </c>
      <c r="L41" s="1688">
        <f t="shared" si="2"/>
        <v>18481</v>
      </c>
      <c r="M41" s="1688">
        <f>SUM(M40)</f>
        <v>6459814</v>
      </c>
      <c r="N41" s="1688">
        <f>SUM(N37)</f>
        <v>1862000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57" activePane="bottomLeft" state="frozen"/>
      <selection pane="bottomLeft" activeCell="I79" sqref="I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2077518</v>
      </c>
      <c r="D4" s="1742">
        <f>'Revenues 9-14'!D109</f>
        <v>243185</v>
      </c>
      <c r="E4" s="1742">
        <f>'Revenues 9-14'!E109</f>
        <v>514567</v>
      </c>
      <c r="F4" s="1742">
        <f>'Revenues 9-14'!F109</f>
        <v>90733</v>
      </c>
      <c r="G4" s="1742">
        <f>'Revenues 9-14'!G109</f>
        <v>107014</v>
      </c>
      <c r="H4" s="1742">
        <f>'Revenues 9-14'!H109</f>
        <v>43672</v>
      </c>
      <c r="I4" s="1742">
        <f>'Revenues 9-14'!I109</f>
        <v>997</v>
      </c>
      <c r="J4" s="1742">
        <f>'Revenues 9-14'!J109</f>
        <v>4914</v>
      </c>
      <c r="K4" s="1742">
        <f>'Revenues 9-14'!K109</f>
        <v>997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1197503</v>
      </c>
      <c r="D6" s="1743">
        <f>'Revenues 9-14'!D170</f>
        <v>150088</v>
      </c>
      <c r="E6" s="1743">
        <f>'Revenues 9-14'!E170</f>
        <v>31118</v>
      </c>
      <c r="F6" s="1743">
        <f>'Revenues 9-14'!F170</f>
        <v>134222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269591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3544612</v>
      </c>
      <c r="D8" s="1688">
        <f t="shared" ref="D8:K8" si="0">SUM(D4:D7)</f>
        <v>393273</v>
      </c>
      <c r="E8" s="1688">
        <f t="shared" si="0"/>
        <v>545685</v>
      </c>
      <c r="F8" s="1688">
        <f t="shared" si="0"/>
        <v>224955</v>
      </c>
      <c r="G8" s="1688">
        <f t="shared" si="0"/>
        <v>107014</v>
      </c>
      <c r="H8" s="1688">
        <f t="shared" si="0"/>
        <v>43672</v>
      </c>
      <c r="I8" s="1688">
        <f t="shared" si="0"/>
        <v>997</v>
      </c>
      <c r="J8" s="1688">
        <f t="shared" si="0"/>
        <v>4914</v>
      </c>
      <c r="K8" s="1688">
        <f t="shared" si="0"/>
        <v>997</v>
      </c>
      <c r="L8" s="347"/>
    </row>
    <row r="9" spans="1:13" ht="15.75" thickTop="1" x14ac:dyDescent="0.2">
      <c r="A9" s="514" t="s">
        <v>1653</v>
      </c>
      <c r="B9" s="515">
        <v>3998</v>
      </c>
      <c r="C9" s="481">
        <v>1176664</v>
      </c>
      <c r="D9" s="516"/>
      <c r="E9" s="481"/>
      <c r="F9" s="481"/>
      <c r="G9" s="517"/>
      <c r="H9" s="481"/>
      <c r="I9" s="509" t="s">
        <v>1169</v>
      </c>
      <c r="J9" s="478"/>
      <c r="K9" s="481"/>
      <c r="L9" s="347"/>
    </row>
    <row r="10" spans="1:13" s="519" customFormat="1" ht="13.5" thickBot="1" x14ac:dyDescent="0.25">
      <c r="A10" s="1736" t="s">
        <v>1173</v>
      </c>
      <c r="B10" s="1709"/>
      <c r="C10" s="1688">
        <f>SUM(C8:C9)</f>
        <v>4721276</v>
      </c>
      <c r="D10" s="1688">
        <f t="shared" ref="D10:K10" si="1">SUM(D8:D9)</f>
        <v>393273</v>
      </c>
      <c r="E10" s="1688">
        <f t="shared" si="1"/>
        <v>545685</v>
      </c>
      <c r="F10" s="1688">
        <f t="shared" si="1"/>
        <v>224955</v>
      </c>
      <c r="G10" s="1688">
        <f t="shared" si="1"/>
        <v>107014</v>
      </c>
      <c r="H10" s="1688">
        <f t="shared" si="1"/>
        <v>43672</v>
      </c>
      <c r="I10" s="1688">
        <f t="shared" si="1"/>
        <v>997</v>
      </c>
      <c r="J10" s="1688">
        <f t="shared" si="1"/>
        <v>4914</v>
      </c>
      <c r="K10" s="1688">
        <f t="shared" si="1"/>
        <v>997</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1923831</v>
      </c>
      <c r="D12" s="520" t="s">
        <v>1169</v>
      </c>
      <c r="E12" s="468" t="s">
        <v>1169</v>
      </c>
      <c r="F12" s="468" t="s">
        <v>1169</v>
      </c>
      <c r="G12" s="1742">
        <f>'Expenditures 15-22'!K229</f>
        <v>36846</v>
      </c>
      <c r="H12" s="521"/>
      <c r="I12" s="468" t="s">
        <v>1169</v>
      </c>
      <c r="J12" s="468" t="s">
        <v>1169</v>
      </c>
      <c r="K12" s="521" t="s">
        <v>1169</v>
      </c>
      <c r="L12" s="347"/>
    </row>
    <row r="13" spans="1:13" ht="15.75" customHeight="1" x14ac:dyDescent="0.2">
      <c r="A13" s="1576" t="s">
        <v>457</v>
      </c>
      <c r="B13" s="1578">
        <v>2000</v>
      </c>
      <c r="C13" s="1743">
        <f>'Expenditures 15-22'!K74</f>
        <v>1255155</v>
      </c>
      <c r="D13" s="1743">
        <f>'Expenditures 15-22'!K129</f>
        <v>517962</v>
      </c>
      <c r="E13" s="469" t="s">
        <v>1169</v>
      </c>
      <c r="F13" s="1743">
        <f>'Expenditures 15-22'!K184</f>
        <v>241774</v>
      </c>
      <c r="G13" s="1743">
        <f>'Expenditures 15-22'!K279</f>
        <v>67844</v>
      </c>
      <c r="H13" s="1743">
        <f>'Expenditures 15-22'!K303</f>
        <v>849</v>
      </c>
      <c r="I13" s="468" t="s">
        <v>1169</v>
      </c>
      <c r="J13" s="1743">
        <f>'Expenditures 15-22'!K330</f>
        <v>0</v>
      </c>
      <c r="K13" s="1747">
        <f>'Expenditures 15-22'!K352</f>
        <v>3404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41930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545748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3220916</v>
      </c>
      <c r="D17" s="1688">
        <f t="shared" si="2"/>
        <v>517962</v>
      </c>
      <c r="E17" s="1688">
        <f t="shared" si="2"/>
        <v>545748</v>
      </c>
      <c r="F17" s="1688">
        <f t="shared" si="2"/>
        <v>241774</v>
      </c>
      <c r="G17" s="1688">
        <f t="shared" si="2"/>
        <v>104690</v>
      </c>
      <c r="H17" s="1688">
        <f t="shared" si="2"/>
        <v>849</v>
      </c>
      <c r="I17" s="468"/>
      <c r="J17" s="1688">
        <f>SUM(J12:J16)</f>
        <v>0</v>
      </c>
      <c r="K17" s="1688">
        <f>SUM(K12:K16)</f>
        <v>3404</v>
      </c>
      <c r="L17" s="347"/>
    </row>
    <row r="18" spans="1:12" ht="15" customHeight="1" thickTop="1" x14ac:dyDescent="0.2">
      <c r="A18" s="1744" t="s">
        <v>1654</v>
      </c>
      <c r="B18" s="1745">
        <v>4180</v>
      </c>
      <c r="C18" s="1742">
        <f t="shared" ref="C18:H18" si="3">C9</f>
        <v>1176664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4397580</v>
      </c>
      <c r="D19" s="1688">
        <f t="shared" si="4"/>
        <v>517962</v>
      </c>
      <c r="E19" s="1688">
        <f t="shared" si="4"/>
        <v>545748</v>
      </c>
      <c r="F19" s="1688">
        <f t="shared" si="4"/>
        <v>241774</v>
      </c>
      <c r="G19" s="1688">
        <f t="shared" si="4"/>
        <v>104690</v>
      </c>
      <c r="H19" s="1688">
        <f t="shared" si="4"/>
        <v>849</v>
      </c>
      <c r="I19" s="468"/>
      <c r="J19" s="1688">
        <f>SUM(J17:J18)</f>
        <v>0</v>
      </c>
      <c r="K19" s="1688">
        <f>SUM(K17:K18)</f>
        <v>3404</v>
      </c>
      <c r="L19" s="347"/>
    </row>
    <row r="20" spans="1:12" ht="16.5" thickTop="1" thickBot="1" x14ac:dyDescent="0.25">
      <c r="A20" s="2128" t="s">
        <v>1655</v>
      </c>
      <c r="B20" s="2129"/>
      <c r="C20" s="1746">
        <f>C8-C17</f>
        <v>323696</v>
      </c>
      <c r="D20" s="1746">
        <f t="shared" ref="D20:K20" si="5">D8-D17</f>
        <v>-124689</v>
      </c>
      <c r="E20" s="1746">
        <f t="shared" si="5"/>
        <v>-63</v>
      </c>
      <c r="F20" s="1746">
        <f t="shared" si="5"/>
        <v>-16819</v>
      </c>
      <c r="G20" s="1746">
        <f t="shared" si="5"/>
        <v>2324</v>
      </c>
      <c r="H20" s="1746">
        <f t="shared" si="5"/>
        <v>42823</v>
      </c>
      <c r="I20" s="1746">
        <f t="shared" si="5"/>
        <v>997</v>
      </c>
      <c r="J20" s="1746">
        <f t="shared" si="5"/>
        <v>4914</v>
      </c>
      <c r="K20" s="1746">
        <f t="shared" si="5"/>
        <v>-2407</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323696</v>
      </c>
      <c r="D78" s="1702">
        <f t="shared" si="9"/>
        <v>-124689</v>
      </c>
      <c r="E78" s="1702">
        <f t="shared" si="9"/>
        <v>-63</v>
      </c>
      <c r="F78" s="1702">
        <f t="shared" si="9"/>
        <v>-16819</v>
      </c>
      <c r="G78" s="1702">
        <f t="shared" si="9"/>
        <v>2324</v>
      </c>
      <c r="H78" s="1702">
        <f t="shared" si="9"/>
        <v>42823</v>
      </c>
      <c r="I78" s="1702">
        <f t="shared" si="9"/>
        <v>997</v>
      </c>
      <c r="J78" s="1702">
        <f t="shared" si="9"/>
        <v>4914</v>
      </c>
      <c r="K78" s="1702">
        <f t="shared" si="9"/>
        <v>-2407</v>
      </c>
      <c r="L78" s="533"/>
    </row>
    <row r="79" spans="1:12" ht="13.5" thickTop="1" x14ac:dyDescent="0.2">
      <c r="A79" s="1494" t="s">
        <v>1947</v>
      </c>
      <c r="B79" s="534"/>
      <c r="C79" s="478">
        <v>1939971</v>
      </c>
      <c r="D79" s="535">
        <v>272044</v>
      </c>
      <c r="E79" s="535">
        <v>73</v>
      </c>
      <c r="F79" s="535">
        <v>155193</v>
      </c>
      <c r="G79" s="535">
        <v>38262</v>
      </c>
      <c r="H79" s="535">
        <v>217556</v>
      </c>
      <c r="I79" s="535">
        <v>42669</v>
      </c>
      <c r="J79" s="535">
        <v>20543</v>
      </c>
      <c r="K79" s="535">
        <v>7357</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2263667</v>
      </c>
      <c r="D81" s="1688">
        <f>SUM(D78:D80)</f>
        <v>147355</v>
      </c>
      <c r="E81" s="1688">
        <f t="shared" ref="E81:K81" si="10">SUM(E78:E80)</f>
        <v>10</v>
      </c>
      <c r="F81" s="1688">
        <f t="shared" si="10"/>
        <v>138374</v>
      </c>
      <c r="G81" s="1688">
        <f t="shared" si="10"/>
        <v>40586</v>
      </c>
      <c r="H81" s="1688">
        <f t="shared" si="10"/>
        <v>260379</v>
      </c>
      <c r="I81" s="1688">
        <f t="shared" si="10"/>
        <v>43666</v>
      </c>
      <c r="J81" s="1688">
        <f t="shared" si="10"/>
        <v>25457</v>
      </c>
      <c r="K81" s="1688">
        <f t="shared" si="10"/>
        <v>4950</v>
      </c>
      <c r="L81" s="347"/>
    </row>
    <row r="82" spans="1:12" ht="0.75" customHeight="1" thickTop="1" thickBot="1" x14ac:dyDescent="0.25">
      <c r="A82" s="536" t="s">
        <v>343</v>
      </c>
      <c r="B82" s="537"/>
      <c r="C82" s="538">
        <f>(C81-C79)</f>
        <v>323696</v>
      </c>
      <c r="D82" s="538">
        <f t="shared" ref="D82:K82" si="11">(D81-D79)</f>
        <v>-124689</v>
      </c>
      <c r="E82" s="538">
        <f t="shared" si="11"/>
        <v>-63</v>
      </c>
      <c r="F82" s="538">
        <f t="shared" si="11"/>
        <v>-16819</v>
      </c>
      <c r="G82" s="538">
        <f t="shared" si="11"/>
        <v>2324</v>
      </c>
      <c r="H82" s="538">
        <f t="shared" si="11"/>
        <v>42823</v>
      </c>
      <c r="I82" s="538">
        <f t="shared" si="11"/>
        <v>997</v>
      </c>
      <c r="J82" s="538">
        <f t="shared" si="11"/>
        <v>4914</v>
      </c>
      <c r="K82" s="538">
        <f t="shared" si="11"/>
        <v>-2407</v>
      </c>
    </row>
    <row r="83" spans="1:12" ht="14.25" hidden="1" thickTop="1" thickBot="1" x14ac:dyDescent="0.25">
      <c r="A83" s="539" t="s">
        <v>344</v>
      </c>
      <c r="B83" s="464"/>
      <c r="C83" s="540">
        <f>C82/C81</f>
        <v>0.14299629760030957</v>
      </c>
      <c r="D83" s="540">
        <f t="shared" ref="D83:K83" si="12">D82/D81</f>
        <v>-0.84618099148315296</v>
      </c>
      <c r="E83" s="540">
        <f t="shared" si="12"/>
        <v>-6.3</v>
      </c>
      <c r="F83" s="540">
        <f t="shared" si="12"/>
        <v>-0.12154740052321968</v>
      </c>
      <c r="G83" s="540">
        <f t="shared" si="12"/>
        <v>5.7261124525698516E-2</v>
      </c>
      <c r="H83" s="540">
        <f t="shared" si="12"/>
        <v>0.16446410808859394</v>
      </c>
      <c r="I83" s="540">
        <f t="shared" si="12"/>
        <v>2.2832409655109239E-2</v>
      </c>
      <c r="J83" s="540">
        <f t="shared" si="12"/>
        <v>0.19303138625918215</v>
      </c>
      <c r="K83" s="540">
        <f t="shared" si="12"/>
        <v>-0.48626262626262629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1" activePane="bottomLeft" state="frozen"/>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1812772</v>
      </c>
      <c r="D5" s="481">
        <v>238130</v>
      </c>
      <c r="E5" s="466">
        <v>514567</v>
      </c>
      <c r="F5" s="548">
        <v>89050</v>
      </c>
      <c r="G5" s="466">
        <v>40610</v>
      </c>
      <c r="H5" s="466"/>
      <c r="I5" s="466">
        <v>997</v>
      </c>
      <c r="J5" s="467">
        <v>4914</v>
      </c>
      <c r="K5" s="466">
        <v>997</v>
      </c>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66404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1812772</v>
      </c>
      <c r="D12" s="1707">
        <f t="shared" si="0"/>
        <v>238130</v>
      </c>
      <c r="E12" s="1707">
        <f t="shared" si="0"/>
        <v>514567</v>
      </c>
      <c r="F12" s="1707">
        <f t="shared" si="0"/>
        <v>89050</v>
      </c>
      <c r="G12" s="1707">
        <f t="shared" si="0"/>
        <v>107014</v>
      </c>
      <c r="H12" s="1707">
        <f t="shared" si="0"/>
        <v>0</v>
      </c>
      <c r="I12" s="1707">
        <f t="shared" si="0"/>
        <v>997</v>
      </c>
      <c r="J12" s="1707">
        <f t="shared" si="0"/>
        <v>4914</v>
      </c>
      <c r="K12" s="1688">
        <f t="shared" si="0"/>
        <v>997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8317</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8317</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8171</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8171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1683</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1683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69689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69689</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54060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4028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1956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60044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5907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10892</v>
      </c>
      <c r="D79" s="466"/>
      <c r="E79" s="468"/>
      <c r="F79" s="468"/>
      <c r="G79" s="468"/>
      <c r="H79" s="468"/>
      <c r="I79" s="468"/>
      <c r="J79" s="468"/>
      <c r="K79" s="468"/>
    </row>
    <row r="80" spans="1:11" ht="12.75" customHeight="1" x14ac:dyDescent="0.2">
      <c r="A80" s="463" t="s">
        <v>551</v>
      </c>
      <c r="B80" s="470">
        <v>1730</v>
      </c>
      <c r="C80" s="551">
        <v>495</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17294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35300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73</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35373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6500</v>
      </c>
      <c r="D95" s="551">
        <v>5000</v>
      </c>
      <c r="E95" s="521"/>
      <c r="F95" s="521"/>
      <c r="G95" s="521"/>
      <c r="H95" s="521"/>
      <c r="I95" s="521"/>
      <c r="J95" s="521"/>
      <c r="K95" s="521"/>
    </row>
    <row r="96" spans="1:11" ht="12.75" customHeight="1" x14ac:dyDescent="0.2">
      <c r="A96" s="463" t="s">
        <v>391</v>
      </c>
      <c r="B96" s="470">
        <v>1920</v>
      </c>
      <c r="C96" s="551">
        <v>11163</v>
      </c>
      <c r="D96" s="551"/>
      <c r="E96" s="479"/>
      <c r="F96" s="478"/>
      <c r="G96" s="478"/>
      <c r="H96" s="478"/>
      <c r="I96" s="478"/>
      <c r="J96" s="478"/>
      <c r="K96" s="478"/>
    </row>
    <row r="97" spans="1:12" ht="12.75" customHeight="1" x14ac:dyDescent="0.2">
      <c r="A97" s="1495" t="s">
        <v>244</v>
      </c>
      <c r="B97" s="559">
        <v>1930</v>
      </c>
      <c r="C97" s="489"/>
      <c r="D97" s="467"/>
      <c r="E97" s="474"/>
      <c r="F97" s="467"/>
      <c r="G97" s="467"/>
      <c r="H97" s="467">
        <v>43672</v>
      </c>
      <c r="I97" s="467"/>
      <c r="J97" s="467"/>
      <c r="K97" s="467"/>
    </row>
    <row r="98" spans="1:12" ht="12.75" customHeight="1" x14ac:dyDescent="0.2">
      <c r="A98" s="463" t="s">
        <v>189</v>
      </c>
      <c r="B98" s="470">
        <v>1940</v>
      </c>
      <c r="C98" s="489">
        <v>47764</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431</v>
      </c>
      <c r="D107" s="466">
        <v>55</v>
      </c>
      <c r="E107" s="466"/>
      <c r="F107" s="466"/>
      <c r="G107" s="466"/>
      <c r="H107" s="466"/>
      <c r="I107" s="466"/>
      <c r="J107" s="467"/>
      <c r="K107" s="466"/>
    </row>
    <row r="108" spans="1:12" ht="12.75" customHeight="1" thickBot="1" x14ac:dyDescent="0.25">
      <c r="A108" s="1708" t="s">
        <v>487</v>
      </c>
      <c r="B108" s="1712"/>
      <c r="C108" s="1707">
        <f>SUM(C95:C107)</f>
        <v>65858</v>
      </c>
      <c r="D108" s="1707">
        <f t="shared" ref="D108:K108" si="3">SUM(D95:D107)</f>
        <v>5055</v>
      </c>
      <c r="E108" s="1707">
        <f t="shared" si="3"/>
        <v>0</v>
      </c>
      <c r="F108" s="1707">
        <f t="shared" si="3"/>
        <v>0</v>
      </c>
      <c r="G108" s="1707">
        <f t="shared" si="3"/>
        <v>0</v>
      </c>
      <c r="H108" s="1707">
        <f t="shared" si="3"/>
        <v>43672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2077518</v>
      </c>
      <c r="D109" s="1715">
        <f t="shared" si="4"/>
        <v>243185</v>
      </c>
      <c r="E109" s="1715">
        <f t="shared" si="4"/>
        <v>514567</v>
      </c>
      <c r="F109" s="1715">
        <f t="shared" si="4"/>
        <v>90733</v>
      </c>
      <c r="G109" s="1715">
        <f t="shared" si="4"/>
        <v>107014</v>
      </c>
      <c r="H109" s="1715">
        <f t="shared" si="4"/>
        <v>43672</v>
      </c>
      <c r="I109" s="1715">
        <f t="shared" si="4"/>
        <v>997</v>
      </c>
      <c r="J109" s="1715">
        <f t="shared" si="4"/>
        <v>4914</v>
      </c>
      <c r="K109" s="1702">
        <f t="shared" si="4"/>
        <v>997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1175587</v>
      </c>
      <c r="D117" s="481">
        <v>150088</v>
      </c>
      <c r="E117" s="466">
        <v>31118</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1175587</v>
      </c>
      <c r="D122" s="1707">
        <f t="shared" si="5"/>
        <v>150088</v>
      </c>
      <c r="E122" s="1707">
        <f t="shared" si="5"/>
        <v>31118</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8584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12526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21110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806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96255</v>
      </c>
      <c r="G152" s="467"/>
      <c r="H152" s="468"/>
      <c r="I152" s="468"/>
      <c r="J152" s="468"/>
      <c r="K152" s="468"/>
    </row>
    <row r="153" spans="1:11" ht="12.75" customHeight="1" x14ac:dyDescent="0.2">
      <c r="A153" s="463" t="s">
        <v>1057</v>
      </c>
      <c r="B153" s="562">
        <v>3510</v>
      </c>
      <c r="C153" s="551"/>
      <c r="D153" s="466"/>
      <c r="E153" s="561"/>
      <c r="F153" s="466">
        <v>37967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134222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21916</v>
      </c>
      <c r="D169" s="1722">
        <f t="shared" si="6"/>
        <v>0</v>
      </c>
      <c r="E169" s="1722">
        <f t="shared" si="6"/>
        <v>0</v>
      </c>
      <c r="F169" s="1722">
        <f t="shared" si="6"/>
        <v>134222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1197503</v>
      </c>
      <c r="D170" s="1715">
        <f t="shared" si="7"/>
        <v>150088</v>
      </c>
      <c r="E170" s="1715">
        <f t="shared" si="7"/>
        <v>31118</v>
      </c>
      <c r="F170" s="1715">
        <f t="shared" si="7"/>
        <v>134222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66434</v>
      </c>
      <c r="D180" s="466"/>
      <c r="E180" s="468"/>
      <c r="F180" s="466"/>
      <c r="G180" s="466"/>
      <c r="H180" s="466"/>
      <c r="I180" s="468"/>
      <c r="J180" s="468"/>
      <c r="K180" s="466"/>
    </row>
    <row r="181" spans="1:11" ht="13.5" thickBot="1" x14ac:dyDescent="0.25">
      <c r="A181" s="2154" t="s">
        <v>785</v>
      </c>
      <c r="B181" s="2155"/>
      <c r="C181" s="1707">
        <f>SUM(C177:C180)</f>
        <v>66434</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53814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53814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55083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55083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4826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4826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132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67582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67714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6063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3700</v>
      </c>
      <c r="D263" s="576"/>
      <c r="E263" s="468"/>
      <c r="F263" s="576"/>
      <c r="G263" s="576"/>
      <c r="H263" s="468"/>
      <c r="I263" s="468"/>
      <c r="J263" s="468"/>
      <c r="K263" s="468"/>
    </row>
    <row r="264" spans="1:11" ht="12.75" customHeight="1" thickTop="1" thickBot="1" x14ac:dyDescent="0.25">
      <c r="A264" s="463" t="s">
        <v>377</v>
      </c>
      <c r="B264" s="470">
        <v>4992</v>
      </c>
      <c r="C264" s="575">
        <v>11957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203157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269591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3544612</v>
      </c>
      <c r="D268" s="1715">
        <f t="shared" si="12"/>
        <v>393273</v>
      </c>
      <c r="E268" s="1715">
        <f t="shared" si="12"/>
        <v>545685</v>
      </c>
      <c r="F268" s="1715">
        <f t="shared" si="12"/>
        <v>224955</v>
      </c>
      <c r="G268" s="1715">
        <f t="shared" si="12"/>
        <v>107014</v>
      </c>
      <c r="H268" s="1715">
        <f t="shared" si="12"/>
        <v>43672</v>
      </c>
      <c r="I268" s="1715">
        <f t="shared" si="12"/>
        <v>997</v>
      </c>
      <c r="J268" s="1715">
        <f t="shared" si="12"/>
        <v>4914</v>
      </c>
      <c r="K268" s="1702">
        <f t="shared" si="12"/>
        <v>997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4" activePane="bottomLeft" state="frozen"/>
      <selection pane="bottomLeft" activeCell="L373" sqref="L3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845813+62493</f>
        <v>908306</v>
      </c>
      <c r="D5" s="466">
        <v>221621</v>
      </c>
      <c r="E5" s="466">
        <f>1852+1298</f>
        <v>3150</v>
      </c>
      <c r="F5" s="466">
        <f>319+51462+17852</f>
        <v>69633</v>
      </c>
      <c r="G5" s="466">
        <v>6680</v>
      </c>
      <c r="H5" s="466">
        <v>45</v>
      </c>
      <c r="I5" s="467"/>
      <c r="J5" s="467"/>
      <c r="K5" s="1671">
        <f>SUM(C5:J5)</f>
        <v>1209435</v>
      </c>
      <c r="L5" s="466">
        <v>1275880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377664</v>
      </c>
      <c r="D8" s="466">
        <f>31672+447+38108+2471</f>
        <v>72698</v>
      </c>
      <c r="E8" s="466">
        <f>3555+1084+35518</f>
        <v>40157</v>
      </c>
      <c r="F8" s="466">
        <v>3944</v>
      </c>
      <c r="G8" s="466">
        <v>3085</v>
      </c>
      <c r="H8" s="466">
        <v>180</v>
      </c>
      <c r="I8" s="467"/>
      <c r="J8" s="467"/>
      <c r="K8" s="1671">
        <f t="shared" si="0"/>
        <v>497728</v>
      </c>
      <c r="L8" s="466">
        <f>373384+29656+420+59019+3624+7000+10250+2000+36700+7200+831</f>
        <v>530084</v>
      </c>
    </row>
    <row r="9" spans="1:14" x14ac:dyDescent="0.2">
      <c r="A9" s="1504" t="s">
        <v>721</v>
      </c>
      <c r="B9" s="614" t="s">
        <v>968</v>
      </c>
      <c r="C9" s="467">
        <v>23283</v>
      </c>
      <c r="D9" s="467">
        <f>2061+22+3972+211</f>
        <v>6266</v>
      </c>
      <c r="E9" s="467"/>
      <c r="F9" s="467">
        <v>2491</v>
      </c>
      <c r="G9" s="467"/>
      <c r="H9" s="467"/>
      <c r="I9" s="467"/>
      <c r="J9" s="467"/>
      <c r="K9" s="1671">
        <f t="shared" si="0"/>
        <v>32040</v>
      </c>
      <c r="L9" s="466">
        <v>47704</v>
      </c>
    </row>
    <row r="10" spans="1:14" x14ac:dyDescent="0.2">
      <c r="A10" s="1504" t="s">
        <v>722</v>
      </c>
      <c r="B10" s="614">
        <v>1250</v>
      </c>
      <c r="C10" s="466">
        <v>49923</v>
      </c>
      <c r="D10" s="466">
        <v>13067</v>
      </c>
      <c r="E10" s="466"/>
      <c r="F10" s="466">
        <v>9615</v>
      </c>
      <c r="G10" s="466"/>
      <c r="H10" s="466"/>
      <c r="I10" s="467"/>
      <c r="J10" s="467"/>
      <c r="K10" s="1671">
        <f t="shared" si="0"/>
        <v>72605</v>
      </c>
      <c r="L10" s="466">
        <f>51132+16145+10800+200</f>
        <v>78277</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29411</v>
      </c>
      <c r="D14" s="466">
        <v>1453</v>
      </c>
      <c r="E14" s="466">
        <v>8860</v>
      </c>
      <c r="F14" s="466">
        <v>8072</v>
      </c>
      <c r="G14" s="466">
        <v>1909</v>
      </c>
      <c r="H14" s="466">
        <v>3516</v>
      </c>
      <c r="I14" s="467"/>
      <c r="J14" s="467"/>
      <c r="K14" s="1671">
        <f t="shared" si="0"/>
        <v>53221</v>
      </c>
      <c r="L14" s="466">
        <f>31980+3482+8750+6000+2000+3450</f>
        <v>55662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44133</v>
      </c>
      <c r="D18" s="466">
        <v>11580</v>
      </c>
      <c r="E18" s="466">
        <v>217</v>
      </c>
      <c r="F18" s="466"/>
      <c r="G18" s="466"/>
      <c r="H18" s="466"/>
      <c r="I18" s="467"/>
      <c r="J18" s="467"/>
      <c r="K18" s="1671">
        <f t="shared" si="0"/>
        <v>55930</v>
      </c>
      <c r="L18" s="466">
        <f>44832+9021+1000</f>
        <v>54853</v>
      </c>
    </row>
    <row r="19" spans="1:12" x14ac:dyDescent="0.2">
      <c r="A19" s="1504" t="s">
        <v>134</v>
      </c>
      <c r="B19" s="614">
        <v>1900</v>
      </c>
      <c r="C19" s="466"/>
      <c r="D19" s="466"/>
      <c r="E19" s="466">
        <v>2872</v>
      </c>
      <c r="F19" s="466"/>
      <c r="G19" s="466"/>
      <c r="H19" s="466"/>
      <c r="I19" s="467"/>
      <c r="J19" s="467"/>
      <c r="K19" s="1671">
        <f t="shared" si="0"/>
        <v>2872</v>
      </c>
      <c r="L19" s="466">
        <v>3000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1432720</v>
      </c>
      <c r="D33" s="1670">
        <f t="shared" ref="D33:L33" si="1">SUM(D5:D32)</f>
        <v>326685</v>
      </c>
      <c r="E33" s="1670">
        <f t="shared" si="1"/>
        <v>55256</v>
      </c>
      <c r="F33" s="1670">
        <f t="shared" si="1"/>
        <v>93755</v>
      </c>
      <c r="G33" s="1670">
        <f t="shared" si="1"/>
        <v>11674</v>
      </c>
      <c r="H33" s="1670">
        <f t="shared" si="1"/>
        <v>3741</v>
      </c>
      <c r="I33" s="1670">
        <f t="shared" si="1"/>
        <v>0</v>
      </c>
      <c r="J33" s="1670">
        <f t="shared" si="1"/>
        <v>0</v>
      </c>
      <c r="K33" s="1670">
        <f t="shared" si="1"/>
        <v>1923831</v>
      </c>
      <c r="L33" s="1670">
        <f t="shared" si="1"/>
        <v>2045460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v>291</v>
      </c>
      <c r="G36" s="481"/>
      <c r="H36" s="481"/>
      <c r="I36" s="467"/>
      <c r="J36" s="467"/>
      <c r="K36" s="1671">
        <f t="shared" ref="K36:K41" si="2">SUM(C36:J36)</f>
        <v>291</v>
      </c>
      <c r="L36" s="466">
        <v>500</v>
      </c>
    </row>
    <row r="37" spans="1:14" x14ac:dyDescent="0.2">
      <c r="A37" s="1504" t="s">
        <v>1090</v>
      </c>
      <c r="B37" s="614">
        <v>2120</v>
      </c>
      <c r="C37" s="466">
        <v>39955</v>
      </c>
      <c r="D37" s="466">
        <v>12119</v>
      </c>
      <c r="E37" s="466"/>
      <c r="F37" s="466"/>
      <c r="G37" s="466"/>
      <c r="H37" s="466"/>
      <c r="I37" s="467"/>
      <c r="J37" s="467"/>
      <c r="K37" s="1671">
        <f t="shared" si="2"/>
        <v>52074</v>
      </c>
      <c r="L37" s="466">
        <v>50928</v>
      </c>
    </row>
    <row r="38" spans="1:14" x14ac:dyDescent="0.2">
      <c r="A38" s="1504" t="s">
        <v>198</v>
      </c>
      <c r="B38" s="614">
        <v>2130</v>
      </c>
      <c r="C38" s="466">
        <v>40</v>
      </c>
      <c r="D38" s="466"/>
      <c r="E38" s="466">
        <v>44</v>
      </c>
      <c r="F38" s="466">
        <v>381</v>
      </c>
      <c r="G38" s="466"/>
      <c r="H38" s="466"/>
      <c r="I38" s="467"/>
      <c r="J38" s="467"/>
      <c r="K38" s="1671">
        <f t="shared" si="2"/>
        <v>465</v>
      </c>
      <c r="L38" s="466">
        <f>1000+500+250</f>
        <v>1750</v>
      </c>
    </row>
    <row r="39" spans="1:14" x14ac:dyDescent="0.2">
      <c r="A39" s="1504" t="s">
        <v>199</v>
      </c>
      <c r="B39" s="614">
        <v>2140</v>
      </c>
      <c r="C39" s="466">
        <v>28253</v>
      </c>
      <c r="D39" s="466">
        <v>1097</v>
      </c>
      <c r="E39" s="466"/>
      <c r="F39" s="466">
        <v>348</v>
      </c>
      <c r="G39" s="466"/>
      <c r="H39" s="466"/>
      <c r="I39" s="467"/>
      <c r="J39" s="467"/>
      <c r="K39" s="1671">
        <f t="shared" si="2"/>
        <v>29698</v>
      </c>
      <c r="L39" s="466">
        <f>25000+2800+750</f>
        <v>28550</v>
      </c>
    </row>
    <row r="40" spans="1:14" x14ac:dyDescent="0.2">
      <c r="A40" s="1504" t="s">
        <v>200</v>
      </c>
      <c r="B40" s="614">
        <v>2150</v>
      </c>
      <c r="C40" s="466">
        <v>64242</v>
      </c>
      <c r="D40" s="466">
        <v>13593</v>
      </c>
      <c r="E40" s="466">
        <v>2671</v>
      </c>
      <c r="F40" s="466">
        <v>1714</v>
      </c>
      <c r="G40" s="466"/>
      <c r="H40" s="466"/>
      <c r="I40" s="467"/>
      <c r="J40" s="467"/>
      <c r="K40" s="1671">
        <f t="shared" si="2"/>
        <v>82220</v>
      </c>
      <c r="L40" s="466">
        <v>83782</v>
      </c>
    </row>
    <row r="41" spans="1:14" x14ac:dyDescent="0.2">
      <c r="A41" s="1504" t="s">
        <v>1669</v>
      </c>
      <c r="B41" s="614">
        <v>2190</v>
      </c>
      <c r="C41" s="466"/>
      <c r="D41" s="466"/>
      <c r="E41" s="466">
        <v>35508</v>
      </c>
      <c r="F41" s="466"/>
      <c r="G41" s="466"/>
      <c r="H41" s="466"/>
      <c r="I41" s="467"/>
      <c r="J41" s="467"/>
      <c r="K41" s="1671">
        <f t="shared" si="2"/>
        <v>35508</v>
      </c>
      <c r="L41" s="466">
        <v>40000</v>
      </c>
    </row>
    <row r="42" spans="1:14" ht="12.75" customHeight="1" thickBot="1" x14ac:dyDescent="0.25">
      <c r="A42" s="1668" t="s">
        <v>560</v>
      </c>
      <c r="B42" s="1669" t="s">
        <v>716</v>
      </c>
      <c r="C42" s="1670">
        <f>SUM(C36:C41)</f>
        <v>132490</v>
      </c>
      <c r="D42" s="1670">
        <f t="shared" ref="D42:L42" si="3">SUM(D36:D41)</f>
        <v>26809</v>
      </c>
      <c r="E42" s="1670">
        <f t="shared" si="3"/>
        <v>38223</v>
      </c>
      <c r="F42" s="1670">
        <f t="shared" si="3"/>
        <v>2734</v>
      </c>
      <c r="G42" s="1670">
        <f t="shared" si="3"/>
        <v>0</v>
      </c>
      <c r="H42" s="1670">
        <f t="shared" si="3"/>
        <v>0</v>
      </c>
      <c r="I42" s="1670">
        <f t="shared" si="3"/>
        <v>0</v>
      </c>
      <c r="J42" s="1670">
        <f t="shared" si="3"/>
        <v>0</v>
      </c>
      <c r="K42" s="1670">
        <f t="shared" si="3"/>
        <v>200256</v>
      </c>
      <c r="L42" s="1670">
        <f t="shared" si="3"/>
        <v>205510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f>16062+1073</f>
        <v>17135</v>
      </c>
      <c r="F44" s="481">
        <f>3064+1510</f>
        <v>4574</v>
      </c>
      <c r="G44" s="481"/>
      <c r="H44" s="481"/>
      <c r="I44" s="467"/>
      <c r="J44" s="467"/>
      <c r="K44" s="1672">
        <f>SUM(C44:J44)</f>
        <v>21709</v>
      </c>
      <c r="L44" s="481">
        <f>21125+6050+1200</f>
        <v>28375</v>
      </c>
    </row>
    <row r="45" spans="1:14" x14ac:dyDescent="0.2">
      <c r="A45" s="1504" t="s">
        <v>815</v>
      </c>
      <c r="B45" s="614">
        <v>2220</v>
      </c>
      <c r="C45" s="466">
        <v>587</v>
      </c>
      <c r="D45" s="466"/>
      <c r="E45" s="466"/>
      <c r="F45" s="466">
        <v>1100</v>
      </c>
      <c r="G45" s="466"/>
      <c r="H45" s="466"/>
      <c r="I45" s="467"/>
      <c r="J45" s="467"/>
      <c r="K45" s="1672">
        <f>SUM(C45:J45)</f>
        <v>1687</v>
      </c>
      <c r="L45" s="466">
        <f>1541+4250</f>
        <v>5791</v>
      </c>
    </row>
    <row r="46" spans="1:14" x14ac:dyDescent="0.2">
      <c r="A46" s="1504" t="s">
        <v>816</v>
      </c>
      <c r="B46" s="614">
        <v>2230</v>
      </c>
      <c r="C46" s="466"/>
      <c r="D46" s="466"/>
      <c r="E46" s="466"/>
      <c r="F46" s="466">
        <v>9511</v>
      </c>
      <c r="G46" s="466"/>
      <c r="H46" s="466"/>
      <c r="I46" s="467"/>
      <c r="J46" s="467"/>
      <c r="K46" s="1672">
        <f>SUM(C46:J46)</f>
        <v>9511</v>
      </c>
      <c r="L46" s="466">
        <v>10250</v>
      </c>
    </row>
    <row r="47" spans="1:14" ht="12.75" customHeight="1" thickBot="1" x14ac:dyDescent="0.25">
      <c r="A47" s="1668" t="s">
        <v>561</v>
      </c>
      <c r="B47" s="1669" t="s">
        <v>32</v>
      </c>
      <c r="C47" s="1670">
        <f>SUM(C44:C46)</f>
        <v>587</v>
      </c>
      <c r="D47" s="1670">
        <f t="shared" ref="D47:K47" si="4">SUM(D44:D46)</f>
        <v>0</v>
      </c>
      <c r="E47" s="1670">
        <f t="shared" si="4"/>
        <v>17135</v>
      </c>
      <c r="F47" s="1670">
        <f t="shared" si="4"/>
        <v>15185</v>
      </c>
      <c r="G47" s="1670">
        <f t="shared" si="4"/>
        <v>0</v>
      </c>
      <c r="H47" s="1670">
        <f t="shared" si="4"/>
        <v>0</v>
      </c>
      <c r="I47" s="1670">
        <f t="shared" si="4"/>
        <v>0</v>
      </c>
      <c r="J47" s="1670">
        <f t="shared" si="4"/>
        <v>0</v>
      </c>
      <c r="K47" s="1670">
        <f t="shared" si="4"/>
        <v>32907</v>
      </c>
      <c r="L47" s="1670">
        <f>SUM(L44:L46)</f>
        <v>44416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139978</v>
      </c>
      <c r="F49" s="481">
        <v>566</v>
      </c>
      <c r="G49" s="481">
        <v>6350</v>
      </c>
      <c r="H49" s="481"/>
      <c r="I49" s="467"/>
      <c r="J49" s="467"/>
      <c r="K49" s="1672">
        <f>SUM(C49:J49)</f>
        <v>146894</v>
      </c>
      <c r="L49" s="481">
        <f>142600+1000+10000</f>
        <v>153600</v>
      </c>
    </row>
    <row r="50" spans="1:14" x14ac:dyDescent="0.2">
      <c r="A50" s="1504" t="s">
        <v>818</v>
      </c>
      <c r="B50" s="614">
        <v>2320</v>
      </c>
      <c r="C50" s="466">
        <v>196813</v>
      </c>
      <c r="D50" s="466">
        <v>33195</v>
      </c>
      <c r="E50" s="466">
        <v>2881</v>
      </c>
      <c r="F50" s="466">
        <v>1134</v>
      </c>
      <c r="G50" s="466"/>
      <c r="H50" s="466">
        <v>2598</v>
      </c>
      <c r="I50" s="467"/>
      <c r="J50" s="467"/>
      <c r="K50" s="1672">
        <f>SUM(C50:J50)</f>
        <v>236621</v>
      </c>
      <c r="L50" s="466">
        <v>240108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22523</v>
      </c>
      <c r="F52" s="474"/>
      <c r="G52" s="474"/>
      <c r="H52" s="474"/>
      <c r="I52" s="474"/>
      <c r="J52" s="474"/>
      <c r="K52" s="1672">
        <f>SUM(C52:J52)</f>
        <v>22523</v>
      </c>
      <c r="L52" s="474">
        <v>25000</v>
      </c>
    </row>
    <row r="53" spans="1:14" ht="12.75" customHeight="1" thickBot="1" x14ac:dyDescent="0.25">
      <c r="A53" s="1668" t="s">
        <v>717</v>
      </c>
      <c r="B53" s="1669" t="s">
        <v>33</v>
      </c>
      <c r="C53" s="1670">
        <f>SUM(C49:C52)</f>
        <v>196813</v>
      </c>
      <c r="D53" s="1670">
        <f t="shared" ref="D53:L53" si="5">SUM(D49:D52)</f>
        <v>33195</v>
      </c>
      <c r="E53" s="1670">
        <f t="shared" si="5"/>
        <v>165382</v>
      </c>
      <c r="F53" s="1670">
        <f t="shared" si="5"/>
        <v>1700</v>
      </c>
      <c r="G53" s="1670">
        <f t="shared" si="5"/>
        <v>6350</v>
      </c>
      <c r="H53" s="1670">
        <f t="shared" si="5"/>
        <v>2598</v>
      </c>
      <c r="I53" s="1670">
        <f t="shared" si="5"/>
        <v>0</v>
      </c>
      <c r="J53" s="1670">
        <f t="shared" si="5"/>
        <v>0</v>
      </c>
      <c r="K53" s="1670">
        <f t="shared" si="5"/>
        <v>406038</v>
      </c>
      <c r="L53" s="1670">
        <f t="shared" si="5"/>
        <v>418708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154765+58196</f>
        <v>212961</v>
      </c>
      <c r="D55" s="481">
        <f>34953+6988</f>
        <v>41941</v>
      </c>
      <c r="E55" s="481">
        <v>1783</v>
      </c>
      <c r="F55" s="481">
        <v>2098</v>
      </c>
      <c r="G55" s="481"/>
      <c r="H55" s="481">
        <v>1611</v>
      </c>
      <c r="I55" s="467"/>
      <c r="J55" s="467"/>
      <c r="K55" s="1672">
        <f>SUM(C55:J55)</f>
        <v>260394</v>
      </c>
      <c r="L55" s="481">
        <f>154192+35192+1000+56954+7022+2000+500+3100+2750</f>
        <v>262710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212961</v>
      </c>
      <c r="D57" s="1674">
        <f t="shared" ref="D57:K57" si="6">SUM(D55:D56)</f>
        <v>41941</v>
      </c>
      <c r="E57" s="1674">
        <f t="shared" si="6"/>
        <v>1783</v>
      </c>
      <c r="F57" s="1674">
        <f t="shared" si="6"/>
        <v>2098</v>
      </c>
      <c r="G57" s="1674">
        <f t="shared" si="6"/>
        <v>0</v>
      </c>
      <c r="H57" s="1674">
        <f t="shared" si="6"/>
        <v>1611</v>
      </c>
      <c r="I57" s="1674">
        <f t="shared" si="6"/>
        <v>0</v>
      </c>
      <c r="J57" s="1674">
        <f t="shared" si="6"/>
        <v>0</v>
      </c>
      <c r="K57" s="1674">
        <f t="shared" si="6"/>
        <v>260394</v>
      </c>
      <c r="L57" s="1670">
        <f>SUM(L55:L56)</f>
        <v>262710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69993</v>
      </c>
      <c r="D60" s="466">
        <v>6450</v>
      </c>
      <c r="E60" s="466">
        <v>13232</v>
      </c>
      <c r="F60" s="466">
        <v>6042</v>
      </c>
      <c r="G60" s="466"/>
      <c r="H60" s="466">
        <v>609</v>
      </c>
      <c r="I60" s="467"/>
      <c r="J60" s="467"/>
      <c r="K60" s="1672">
        <f t="shared" si="7"/>
        <v>96326</v>
      </c>
      <c r="L60" s="466">
        <v>99691</v>
      </c>
      <c r="M60" s="609"/>
      <c r="N60" s="609"/>
    </row>
    <row r="61" spans="1:14" s="343" customFormat="1" x14ac:dyDescent="0.2">
      <c r="A61" s="1504" t="s">
        <v>197</v>
      </c>
      <c r="B61" s="614">
        <v>2540</v>
      </c>
      <c r="C61" s="466"/>
      <c r="D61" s="466"/>
      <c r="E61" s="466">
        <v>34100</v>
      </c>
      <c r="F61" s="466"/>
      <c r="G61" s="466"/>
      <c r="H61" s="466"/>
      <c r="I61" s="467"/>
      <c r="J61" s="467"/>
      <c r="K61" s="1672">
        <f t="shared" si="7"/>
        <v>34100</v>
      </c>
      <c r="L61" s="466">
        <v>34000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53521</v>
      </c>
      <c r="D63" s="466">
        <v>6997</v>
      </c>
      <c r="E63" s="466">
        <v>8928</v>
      </c>
      <c r="F63" s="466">
        <v>60755</v>
      </c>
      <c r="G63" s="466"/>
      <c r="H63" s="466">
        <v>725</v>
      </c>
      <c r="I63" s="467"/>
      <c r="J63" s="467"/>
      <c r="K63" s="1672">
        <f t="shared" si="7"/>
        <v>130926</v>
      </c>
      <c r="L63" s="466">
        <f>52662+6992+5100+66500+750+250</f>
        <v>132254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123514</v>
      </c>
      <c r="D65" s="1670">
        <f t="shared" ref="D65:L65" si="8">SUM(D59:D64)</f>
        <v>13447</v>
      </c>
      <c r="E65" s="1670">
        <f t="shared" si="8"/>
        <v>56260</v>
      </c>
      <c r="F65" s="1670">
        <f t="shared" si="8"/>
        <v>66797</v>
      </c>
      <c r="G65" s="1670">
        <f t="shared" si="8"/>
        <v>0</v>
      </c>
      <c r="H65" s="1670">
        <f t="shared" si="8"/>
        <v>1334</v>
      </c>
      <c r="I65" s="1670">
        <f t="shared" si="8"/>
        <v>0</v>
      </c>
      <c r="J65" s="1670">
        <f t="shared" si="8"/>
        <v>0</v>
      </c>
      <c r="K65" s="1670">
        <f t="shared" si="8"/>
        <v>261352</v>
      </c>
      <c r="L65" s="1670">
        <f t="shared" si="8"/>
        <v>265945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v>1119</v>
      </c>
      <c r="E69" s="466">
        <v>660</v>
      </c>
      <c r="F69" s="466">
        <v>1648</v>
      </c>
      <c r="G69" s="466"/>
      <c r="H69" s="466"/>
      <c r="I69" s="467"/>
      <c r="J69" s="467"/>
      <c r="K69" s="1672">
        <f>SUM(C69:J69)</f>
        <v>3427</v>
      </c>
      <c r="L69" s="466">
        <v>13200</v>
      </c>
      <c r="M69" s="609"/>
      <c r="N69" s="609"/>
    </row>
    <row r="70" spans="1:14" s="343" customFormat="1" x14ac:dyDescent="0.2">
      <c r="A70" s="1504" t="s">
        <v>403</v>
      </c>
      <c r="B70" s="614">
        <v>2640</v>
      </c>
      <c r="C70" s="466">
        <v>5030</v>
      </c>
      <c r="D70" s="466"/>
      <c r="E70" s="466">
        <v>7644</v>
      </c>
      <c r="F70" s="466">
        <v>419</v>
      </c>
      <c r="G70" s="466"/>
      <c r="H70" s="466"/>
      <c r="I70" s="467"/>
      <c r="J70" s="467"/>
      <c r="K70" s="1672">
        <f>SUM(C70:J70)</f>
        <v>13093</v>
      </c>
      <c r="L70" s="466">
        <v>21204</v>
      </c>
      <c r="M70" s="609"/>
      <c r="N70" s="609"/>
    </row>
    <row r="71" spans="1:14" s="343" customFormat="1" x14ac:dyDescent="0.2">
      <c r="A71" s="1504" t="s">
        <v>404</v>
      </c>
      <c r="B71" s="614">
        <v>2660</v>
      </c>
      <c r="C71" s="466"/>
      <c r="D71" s="466"/>
      <c r="E71" s="466">
        <v>70153</v>
      </c>
      <c r="F71" s="466">
        <v>7535</v>
      </c>
      <c r="G71" s="466"/>
      <c r="H71" s="466"/>
      <c r="I71" s="467"/>
      <c r="J71" s="467"/>
      <c r="K71" s="1672">
        <f>SUM(C71:J71)</f>
        <v>77688</v>
      </c>
      <c r="L71" s="466">
        <f>74300+11000</f>
        <v>85300</v>
      </c>
      <c r="M71" s="609"/>
      <c r="N71" s="609"/>
    </row>
    <row r="72" spans="1:14" s="343" customFormat="1" ht="12.75" customHeight="1" thickBot="1" x14ac:dyDescent="0.25">
      <c r="A72" s="1668" t="s">
        <v>37</v>
      </c>
      <c r="B72" s="1675" t="s">
        <v>36</v>
      </c>
      <c r="C72" s="1670">
        <f>SUM(C67:C71)</f>
        <v>5030</v>
      </c>
      <c r="D72" s="1670">
        <f t="shared" ref="D72:K72" si="9">SUM(D67:D71)</f>
        <v>1119</v>
      </c>
      <c r="E72" s="1670">
        <f t="shared" si="9"/>
        <v>78457</v>
      </c>
      <c r="F72" s="1670">
        <f t="shared" si="9"/>
        <v>9602</v>
      </c>
      <c r="G72" s="1670">
        <f t="shared" si="9"/>
        <v>0</v>
      </c>
      <c r="H72" s="1670">
        <f t="shared" si="9"/>
        <v>0</v>
      </c>
      <c r="I72" s="1670">
        <f t="shared" si="9"/>
        <v>0</v>
      </c>
      <c r="J72" s="1670">
        <f t="shared" si="9"/>
        <v>0</v>
      </c>
      <c r="K72" s="1670">
        <f t="shared" si="9"/>
        <v>94208</v>
      </c>
      <c r="L72" s="1670">
        <f>SUM(L67:L71)</f>
        <v>119704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671395</v>
      </c>
      <c r="D74" s="1677">
        <f t="shared" ref="D74:K74" si="10">SUM(D42,D47,D53,D57,D65,D72,D73)</f>
        <v>116511</v>
      </c>
      <c r="E74" s="1677">
        <f t="shared" si="10"/>
        <v>357240</v>
      </c>
      <c r="F74" s="1677">
        <f t="shared" si="10"/>
        <v>98116</v>
      </c>
      <c r="G74" s="1677">
        <f t="shared" si="10"/>
        <v>6350</v>
      </c>
      <c r="H74" s="1677">
        <f t="shared" si="10"/>
        <v>5543</v>
      </c>
      <c r="I74" s="1677">
        <f t="shared" si="10"/>
        <v>0</v>
      </c>
      <c r="J74" s="1677">
        <f t="shared" si="10"/>
        <v>0</v>
      </c>
      <c r="K74" s="1677">
        <f t="shared" si="10"/>
        <v>1255155</v>
      </c>
      <c r="L74" s="1677">
        <f>SUM(L42,L47,L53,L57,L65,L72,L73)</f>
        <v>1316993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41930</v>
      </c>
      <c r="I78" s="477"/>
      <c r="J78" s="477"/>
      <c r="K78" s="1671">
        <f t="shared" ref="K78:K83" si="11">SUM(C78:J78)</f>
        <v>41930</v>
      </c>
      <c r="L78" s="481">
        <v>60000</v>
      </c>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41930</v>
      </c>
      <c r="I84" s="477"/>
      <c r="J84" s="477"/>
      <c r="K84" s="1670">
        <f>SUM(K78:K83)</f>
        <v>41930</v>
      </c>
      <c r="L84" s="1670">
        <f>SUM(L78:L83)</f>
        <v>60000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41930</v>
      </c>
      <c r="I102" s="477"/>
      <c r="J102" s="477"/>
      <c r="K102" s="1677">
        <f>SUM(K84,K92,K100,K101)</f>
        <v>41930</v>
      </c>
      <c r="L102" s="1677">
        <f>SUM(L84,L92,L100,L101)</f>
        <v>60000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2104115</v>
      </c>
      <c r="D114" s="1670">
        <f t="shared" ref="D114:K114" si="13">SUM(D33,D74,D75,D102,D112,D113)</f>
        <v>443196</v>
      </c>
      <c r="E114" s="1670">
        <f t="shared" si="13"/>
        <v>412496</v>
      </c>
      <c r="F114" s="1670">
        <f t="shared" si="13"/>
        <v>191871</v>
      </c>
      <c r="G114" s="1670">
        <f t="shared" si="13"/>
        <v>18024</v>
      </c>
      <c r="H114" s="1670">
        <f>SUM(H33,H74,H75,H102,H112,H113)</f>
        <v>51214</v>
      </c>
      <c r="I114" s="1670">
        <f t="shared" si="13"/>
        <v>0</v>
      </c>
      <c r="J114" s="1670">
        <f t="shared" si="13"/>
        <v>0</v>
      </c>
      <c r="K114" s="1670">
        <f t="shared" si="13"/>
        <v>3220916</v>
      </c>
      <c r="L114" s="1670">
        <f>SUM(L33,L74,L75,L102,L112,L113)</f>
        <v>3422453</v>
      </c>
    </row>
    <row r="115" spans="1:14" ht="13.5" thickTop="1" x14ac:dyDescent="0.2">
      <c r="A115" s="2158" t="s">
        <v>996</v>
      </c>
      <c r="B115" s="2159"/>
      <c r="C115" s="618"/>
      <c r="D115" s="618"/>
      <c r="E115" s="618"/>
      <c r="F115" s="618"/>
      <c r="G115" s="618"/>
      <c r="H115" s="618"/>
      <c r="I115" s="618"/>
      <c r="J115" s="618"/>
      <c r="K115" s="1684">
        <f>'Revenues 9-14'!C268-'Expenditures 15-22'!K114</f>
        <v>323696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119140</v>
      </c>
      <c r="D124" s="466">
        <v>18279</v>
      </c>
      <c r="E124" s="466">
        <v>277948</v>
      </c>
      <c r="F124" s="466">
        <v>101551</v>
      </c>
      <c r="G124" s="466"/>
      <c r="H124" s="466">
        <v>1044</v>
      </c>
      <c r="I124" s="467"/>
      <c r="J124" s="467"/>
      <c r="K124" s="1670">
        <f>SUM(C124:J124)</f>
        <v>517962</v>
      </c>
      <c r="L124" s="466">
        <v>538354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119140</v>
      </c>
      <c r="D127" s="1670">
        <f t="shared" ref="D127:L127" si="14">SUM(D122:D126)</f>
        <v>18279</v>
      </c>
      <c r="E127" s="1670">
        <f t="shared" si="14"/>
        <v>277948</v>
      </c>
      <c r="F127" s="1670">
        <f t="shared" si="14"/>
        <v>101551</v>
      </c>
      <c r="G127" s="1670">
        <f t="shared" si="14"/>
        <v>0</v>
      </c>
      <c r="H127" s="1670">
        <f t="shared" si="14"/>
        <v>1044</v>
      </c>
      <c r="I127" s="1670">
        <f t="shared" si="14"/>
        <v>0</v>
      </c>
      <c r="J127" s="1670">
        <f t="shared" si="14"/>
        <v>0</v>
      </c>
      <c r="K127" s="1670">
        <f t="shared" si="14"/>
        <v>517962</v>
      </c>
      <c r="L127" s="1670">
        <f t="shared" si="14"/>
        <v>538354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119140</v>
      </c>
      <c r="D129" s="1677">
        <f t="shared" ref="D129:L129" si="15">SUM(D120,D127,D128)</f>
        <v>18279</v>
      </c>
      <c r="E129" s="1677">
        <f t="shared" si="15"/>
        <v>277948</v>
      </c>
      <c r="F129" s="1677">
        <f t="shared" si="15"/>
        <v>101551</v>
      </c>
      <c r="G129" s="1677">
        <f t="shared" si="15"/>
        <v>0</v>
      </c>
      <c r="H129" s="1677">
        <f t="shared" si="15"/>
        <v>1044</v>
      </c>
      <c r="I129" s="1677">
        <f t="shared" si="15"/>
        <v>0</v>
      </c>
      <c r="J129" s="1677">
        <f t="shared" si="15"/>
        <v>0</v>
      </c>
      <c r="K129" s="1677">
        <f t="shared" si="15"/>
        <v>517962</v>
      </c>
      <c r="L129" s="1677">
        <f t="shared" si="15"/>
        <v>538354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119140</v>
      </c>
      <c r="D151" s="1670">
        <f t="shared" ref="D151:K151" si="16">SUM(D129,D130,D139,D149,D150)</f>
        <v>18279</v>
      </c>
      <c r="E151" s="1670">
        <f t="shared" si="16"/>
        <v>277948</v>
      </c>
      <c r="F151" s="1670">
        <f t="shared" si="16"/>
        <v>101551</v>
      </c>
      <c r="G151" s="1670">
        <f t="shared" si="16"/>
        <v>0</v>
      </c>
      <c r="H151" s="1670">
        <f t="shared" si="16"/>
        <v>1044</v>
      </c>
      <c r="I151" s="1670">
        <f t="shared" si="16"/>
        <v>0</v>
      </c>
      <c r="J151" s="1670">
        <f t="shared" si="16"/>
        <v>0</v>
      </c>
      <c r="K151" s="1670">
        <f t="shared" si="16"/>
        <v>517962</v>
      </c>
      <c r="L151" s="1670">
        <f>SUM(L129,L130,L139,L149,L150)</f>
        <v>538354</v>
      </c>
    </row>
    <row r="152" spans="1:14" ht="12.75" customHeight="1" thickTop="1" x14ac:dyDescent="0.2">
      <c r="A152" s="2178" t="s">
        <v>1178</v>
      </c>
      <c r="B152" s="2179"/>
      <c r="C152" s="618"/>
      <c r="D152" s="618"/>
      <c r="E152" s="618"/>
      <c r="F152" s="618"/>
      <c r="G152" s="618"/>
      <c r="H152" s="618"/>
      <c r="I152" s="618"/>
      <c r="J152" s="616"/>
      <c r="K152" s="1684">
        <f>'Revenues 9-14'!D268-'Expenditures 15-22'!K151</f>
        <v>-124689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545748</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545748</v>
      </c>
    </row>
    <row r="169" spans="1:14" ht="15.75" customHeight="1" thickTop="1" x14ac:dyDescent="0.2">
      <c r="A169" s="669" t="s">
        <v>83</v>
      </c>
      <c r="B169" s="670" t="s">
        <v>38</v>
      </c>
      <c r="C169" s="616"/>
      <c r="D169" s="616"/>
      <c r="E169" s="616"/>
      <c r="F169" s="616"/>
      <c r="G169" s="616"/>
      <c r="H169" s="656">
        <v>86248</v>
      </c>
      <c r="I169" s="616"/>
      <c r="J169" s="616"/>
      <c r="K169" s="1671">
        <f>SUM(C169:H169)</f>
        <v>86248</v>
      </c>
      <c r="L169" s="656"/>
    </row>
    <row r="170" spans="1:14" ht="33.75" customHeight="1" x14ac:dyDescent="0.2">
      <c r="A170" s="669" t="s">
        <v>1670</v>
      </c>
      <c r="B170" s="671" t="s">
        <v>31</v>
      </c>
      <c r="C170" s="616"/>
      <c r="D170" s="616"/>
      <c r="E170" s="616"/>
      <c r="F170" s="616"/>
      <c r="G170" s="616"/>
      <c r="H170" s="569">
        <v>458000</v>
      </c>
      <c r="I170" s="616"/>
      <c r="J170" s="616"/>
      <c r="K170" s="1671">
        <f>SUM(C170:J170)</f>
        <v>458000</v>
      </c>
      <c r="L170" s="569"/>
    </row>
    <row r="171" spans="1:14" ht="15.75" customHeight="1" x14ac:dyDescent="0.2">
      <c r="A171" s="621" t="s">
        <v>766</v>
      </c>
      <c r="B171" s="672" t="s">
        <v>84</v>
      </c>
      <c r="C171" s="616"/>
      <c r="D171" s="616"/>
      <c r="E171" s="466">
        <v>1500</v>
      </c>
      <c r="F171" s="616"/>
      <c r="G171" s="616"/>
      <c r="H171" s="569"/>
      <c r="I171" s="477"/>
      <c r="J171" s="616"/>
      <c r="K171" s="1671">
        <f>SUM(C171:J171)</f>
        <v>1500</v>
      </c>
      <c r="L171" s="569"/>
    </row>
    <row r="172" spans="1:14" ht="12.75" customHeight="1" thickBot="1" x14ac:dyDescent="0.25">
      <c r="A172" s="1668" t="s">
        <v>638</v>
      </c>
      <c r="B172" s="1669" t="s">
        <v>492</v>
      </c>
      <c r="C172" s="616"/>
      <c r="D172" s="616"/>
      <c r="E172" s="1677">
        <f>SUM(E168,E169,E170,E171)</f>
        <v>1500</v>
      </c>
      <c r="F172" s="616"/>
      <c r="G172" s="616"/>
      <c r="H172" s="1677">
        <f>SUM(H168,H169,H170,H171)</f>
        <v>544248</v>
      </c>
      <c r="I172" s="638"/>
      <c r="J172" s="616"/>
      <c r="K172" s="1677">
        <f>SUM(K168,K169,K170,K171)</f>
        <v>545748</v>
      </c>
      <c r="L172" s="1677">
        <f>SUM(L168,L169,L170,L171)</f>
        <v>545748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1500</v>
      </c>
      <c r="F174" s="616"/>
      <c r="G174" s="616"/>
      <c r="H174" s="1677">
        <f>SUM(H160,H172,H173)</f>
        <v>544248</v>
      </c>
      <c r="I174" s="638"/>
      <c r="J174" s="616"/>
      <c r="K174" s="1677">
        <f>SUM(K160,K172,K173)</f>
        <v>545748</v>
      </c>
      <c r="L174" s="1677">
        <f>SUM(L160,L172,L173)</f>
        <v>545748</v>
      </c>
    </row>
    <row r="175" spans="1:14" ht="13.5" thickTop="1" x14ac:dyDescent="0.2">
      <c r="A175" s="2158" t="s">
        <v>996</v>
      </c>
      <c r="B175" s="2159"/>
      <c r="C175" s="616"/>
      <c r="D175" s="616"/>
      <c r="E175" s="616"/>
      <c r="F175" s="616"/>
      <c r="G175" s="616"/>
      <c r="H175" s="618"/>
      <c r="I175" s="616"/>
      <c r="J175" s="616"/>
      <c r="K175" s="1684">
        <f>'Revenues 9-14'!E268-'Expenditures 15-22'!K174</f>
        <v>-63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113425</v>
      </c>
      <c r="D182" s="466"/>
      <c r="E182" s="466">
        <v>100972</v>
      </c>
      <c r="F182" s="466">
        <v>27377</v>
      </c>
      <c r="G182" s="466"/>
      <c r="H182" s="466"/>
      <c r="I182" s="467"/>
      <c r="J182" s="467"/>
      <c r="K182" s="1671">
        <f>SUM(C182:J182)</f>
        <v>241774</v>
      </c>
      <c r="L182" s="466">
        <v>239498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113425</v>
      </c>
      <c r="D184" s="1677">
        <f t="shared" ref="D184:J184" si="17">SUM(D180,D182,D183)</f>
        <v>0</v>
      </c>
      <c r="E184" s="1677">
        <f t="shared" si="17"/>
        <v>100972</v>
      </c>
      <c r="F184" s="1677">
        <f t="shared" si="17"/>
        <v>27377</v>
      </c>
      <c r="G184" s="1677">
        <f t="shared" si="17"/>
        <v>0</v>
      </c>
      <c r="H184" s="1677">
        <f t="shared" si="17"/>
        <v>0</v>
      </c>
      <c r="I184" s="1677">
        <f t="shared" si="17"/>
        <v>0</v>
      </c>
      <c r="J184" s="1677">
        <f t="shared" si="17"/>
        <v>0</v>
      </c>
      <c r="K184" s="1677">
        <f>SUM(K180,K182,K183)</f>
        <v>241774</v>
      </c>
      <c r="L184" s="1677">
        <f>SUM(L180, L182:L183)</f>
        <v>239498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113425</v>
      </c>
      <c r="D210" s="1670">
        <f>SUM(D184,D185)</f>
        <v>0</v>
      </c>
      <c r="E210" s="1670">
        <f>SUM(E184,E185,E196)</f>
        <v>100972</v>
      </c>
      <c r="F210" s="1670">
        <f>SUM(F184,F185)</f>
        <v>27377</v>
      </c>
      <c r="G210" s="1670">
        <f>SUM(G184,G185)</f>
        <v>0</v>
      </c>
      <c r="H210" s="1670">
        <f>SUM(H184,H185,H196,H208,H209)</f>
        <v>0</v>
      </c>
      <c r="I210" s="1670">
        <f>SUM(I184,I185)</f>
        <v>0</v>
      </c>
      <c r="J210" s="1670">
        <f>SUM(J184,J185)</f>
        <v>0</v>
      </c>
      <c r="K210" s="1671">
        <f>SUM(K184,K185,K196,K208,K209)</f>
        <v>241774</v>
      </c>
      <c r="L210" s="1670">
        <f>SUM(L184,L185,L196,L208,L209)</f>
        <v>239498</v>
      </c>
    </row>
    <row r="211" spans="1:14" ht="13.5" thickTop="1" x14ac:dyDescent="0.2">
      <c r="A211" s="2158" t="s">
        <v>996</v>
      </c>
      <c r="B211" s="2159"/>
      <c r="C211" s="618"/>
      <c r="D211" s="618"/>
      <c r="E211" s="618"/>
      <c r="F211" s="618"/>
      <c r="G211" s="618"/>
      <c r="H211" s="618"/>
      <c r="I211" s="616"/>
      <c r="J211" s="616"/>
      <c r="K211" s="1684">
        <f>'Revenues 9-14'!F268-'Expenditures 15-22'!K210</f>
        <v>-16819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14178</v>
      </c>
      <c r="E215" s="616"/>
      <c r="F215" s="616"/>
      <c r="G215" s="616"/>
      <c r="H215" s="616"/>
      <c r="I215" s="616"/>
      <c r="J215" s="616"/>
      <c r="K215" s="1671">
        <f>D215</f>
        <v>14178</v>
      </c>
      <c r="L215" s="466">
        <v>13310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18918</v>
      </c>
      <c r="E217" s="616"/>
      <c r="F217" s="616"/>
      <c r="G217" s="616"/>
      <c r="H217" s="616"/>
      <c r="I217" s="616"/>
      <c r="J217" s="616"/>
      <c r="K217" s="1671">
        <f t="shared" si="19"/>
        <v>18918</v>
      </c>
      <c r="L217" s="466">
        <v>22146</v>
      </c>
    </row>
    <row r="218" spans="1:14" x14ac:dyDescent="0.2">
      <c r="A218" s="1504" t="s">
        <v>278</v>
      </c>
      <c r="B218" s="614" t="s">
        <v>968</v>
      </c>
      <c r="C218" s="616"/>
      <c r="D218" s="467">
        <v>1107</v>
      </c>
      <c r="E218" s="616"/>
      <c r="F218" s="616"/>
      <c r="G218" s="616"/>
      <c r="H218" s="616"/>
      <c r="I218" s="616"/>
      <c r="J218" s="616"/>
      <c r="K218" s="1671">
        <f t="shared" si="19"/>
        <v>1107</v>
      </c>
      <c r="L218" s="466">
        <v>518</v>
      </c>
    </row>
    <row r="219" spans="1:14" x14ac:dyDescent="0.2">
      <c r="A219" s="1504" t="s">
        <v>279</v>
      </c>
      <c r="B219" s="614">
        <v>1250</v>
      </c>
      <c r="C219" s="616"/>
      <c r="D219" s="466">
        <v>531</v>
      </c>
      <c r="E219" s="616"/>
      <c r="F219" s="616"/>
      <c r="G219" s="616"/>
      <c r="H219" s="616"/>
      <c r="I219" s="616"/>
      <c r="J219" s="616"/>
      <c r="K219" s="1671">
        <f t="shared" si="19"/>
        <v>531</v>
      </c>
      <c r="L219" s="466">
        <v>741</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1472</v>
      </c>
      <c r="E223" s="616"/>
      <c r="F223" s="616"/>
      <c r="G223" s="616"/>
      <c r="H223" s="616"/>
      <c r="I223" s="616"/>
      <c r="J223" s="616"/>
      <c r="K223" s="1671">
        <f t="shared" si="19"/>
        <v>1472</v>
      </c>
      <c r="L223" s="466">
        <v>438</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640</v>
      </c>
      <c r="E227" s="616"/>
      <c r="F227" s="616"/>
      <c r="G227" s="616"/>
      <c r="H227" s="616"/>
      <c r="I227" s="616"/>
      <c r="J227" s="616"/>
      <c r="K227" s="1671">
        <f t="shared" si="19"/>
        <v>640</v>
      </c>
      <c r="L227" s="466">
        <v>650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36846</v>
      </c>
      <c r="E229" s="616"/>
      <c r="F229" s="616"/>
      <c r="G229" s="616"/>
      <c r="H229" s="616"/>
      <c r="I229" s="616"/>
      <c r="J229" s="616"/>
      <c r="K229" s="1670">
        <f>SUM(K215:K228)</f>
        <v>36846</v>
      </c>
      <c r="L229" s="1670">
        <f>SUM(L215:L228)</f>
        <v>37803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413</v>
      </c>
      <c r="E232" s="616"/>
      <c r="F232" s="616"/>
      <c r="G232" s="616"/>
      <c r="H232" s="616"/>
      <c r="I232" s="616"/>
      <c r="J232" s="616"/>
      <c r="K232" s="1671">
        <f t="shared" ref="K232:K237" si="20">D232</f>
        <v>413</v>
      </c>
      <c r="L232" s="466">
        <v>0</v>
      </c>
    </row>
    <row r="233" spans="1:12" x14ac:dyDescent="0.2">
      <c r="A233" s="1504" t="s">
        <v>1090</v>
      </c>
      <c r="B233" s="614">
        <v>2120</v>
      </c>
      <c r="C233" s="616"/>
      <c r="D233" s="466">
        <v>579</v>
      </c>
      <c r="E233" s="616"/>
      <c r="F233" s="616"/>
      <c r="G233" s="616"/>
      <c r="H233" s="616"/>
      <c r="I233" s="616"/>
      <c r="J233" s="616"/>
      <c r="K233" s="1671">
        <f t="shared" si="20"/>
        <v>579</v>
      </c>
      <c r="L233" s="466">
        <v>568</v>
      </c>
    </row>
    <row r="234" spans="1:12" x14ac:dyDescent="0.2">
      <c r="A234" s="1504" t="s">
        <v>198</v>
      </c>
      <c r="B234" s="614">
        <v>2130</v>
      </c>
      <c r="C234" s="616"/>
      <c r="D234" s="466"/>
      <c r="E234" s="616"/>
      <c r="F234" s="616"/>
      <c r="G234" s="616"/>
      <c r="H234" s="616"/>
      <c r="I234" s="616"/>
      <c r="J234" s="616"/>
      <c r="K234" s="1671">
        <f t="shared" si="20"/>
        <v>0</v>
      </c>
      <c r="L234" s="466">
        <v>77</v>
      </c>
    </row>
    <row r="235" spans="1:12" x14ac:dyDescent="0.2">
      <c r="A235" s="1504" t="s">
        <v>199</v>
      </c>
      <c r="B235" s="614">
        <v>2140</v>
      </c>
      <c r="C235" s="616"/>
      <c r="D235" s="466"/>
      <c r="E235" s="616"/>
      <c r="F235" s="616"/>
      <c r="G235" s="616"/>
      <c r="H235" s="616"/>
      <c r="I235" s="616"/>
      <c r="J235" s="616"/>
      <c r="K235" s="1671">
        <f t="shared" si="20"/>
        <v>0</v>
      </c>
      <c r="L235" s="466">
        <v>290</v>
      </c>
    </row>
    <row r="236" spans="1:12" x14ac:dyDescent="0.2">
      <c r="A236" s="1504" t="s">
        <v>200</v>
      </c>
      <c r="B236" s="614">
        <v>2150</v>
      </c>
      <c r="C236" s="616"/>
      <c r="D236" s="466">
        <v>898</v>
      </c>
      <c r="E236" s="616"/>
      <c r="F236" s="616"/>
      <c r="G236" s="616"/>
      <c r="H236" s="616"/>
      <c r="I236" s="616"/>
      <c r="J236" s="616"/>
      <c r="K236" s="1671">
        <f t="shared" si="20"/>
        <v>898</v>
      </c>
      <c r="L236" s="466">
        <v>948</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1890</v>
      </c>
      <c r="E238" s="616"/>
      <c r="F238" s="616"/>
      <c r="G238" s="616"/>
      <c r="H238" s="616"/>
      <c r="I238" s="616"/>
      <c r="J238" s="616"/>
      <c r="K238" s="1670">
        <f>SUM(K232:K237)</f>
        <v>1890</v>
      </c>
      <c r="L238" s="1670">
        <f>SUM(L232:L237)</f>
        <v>1883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78</v>
      </c>
      <c r="E241" s="616"/>
      <c r="F241" s="616"/>
      <c r="G241" s="616"/>
      <c r="H241" s="616"/>
      <c r="I241" s="616"/>
      <c r="J241" s="616"/>
      <c r="K241" s="1672">
        <f>D241</f>
        <v>78</v>
      </c>
      <c r="L241" s="466">
        <v>230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78</v>
      </c>
      <c r="E243" s="616"/>
      <c r="F243" s="616"/>
      <c r="G243" s="616"/>
      <c r="H243" s="616"/>
      <c r="I243" s="616"/>
      <c r="J243" s="616"/>
      <c r="K243" s="1670">
        <f>SUM(K240:K242)</f>
        <v>78</v>
      </c>
      <c r="L243" s="1670">
        <f>SUM(L240:L242)</f>
        <v>230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9628</v>
      </c>
      <c r="E246" s="616"/>
      <c r="F246" s="616"/>
      <c r="G246" s="616"/>
      <c r="H246" s="616"/>
      <c r="I246" s="616"/>
      <c r="J246" s="616"/>
      <c r="K246" s="1672">
        <f t="shared" ref="K246:K256" si="21">D246</f>
        <v>9628</v>
      </c>
      <c r="L246" s="466">
        <v>9072</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9628</v>
      </c>
      <c r="E257" s="616"/>
      <c r="F257" s="616"/>
      <c r="G257" s="616"/>
      <c r="H257" s="616"/>
      <c r="I257" s="616"/>
      <c r="J257" s="616"/>
      <c r="K257" s="1670">
        <f>SUM(K245:K256)</f>
        <v>9628</v>
      </c>
      <c r="L257" s="1670">
        <f>SUM(L245:L256)</f>
        <v>9072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2244+8349</f>
        <v>10593</v>
      </c>
      <c r="E259" s="616"/>
      <c r="F259" s="616"/>
      <c r="G259" s="616"/>
      <c r="H259" s="616"/>
      <c r="I259" s="616"/>
      <c r="J259" s="616"/>
      <c r="K259" s="1672">
        <f>D259</f>
        <v>10593</v>
      </c>
      <c r="L259" s="481">
        <f>2236+8188</f>
        <v>10424</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10593</v>
      </c>
      <c r="E261" s="616"/>
      <c r="F261" s="616"/>
      <c r="G261" s="616"/>
      <c r="H261" s="616"/>
      <c r="I261" s="616"/>
      <c r="J261" s="616"/>
      <c r="K261" s="1670">
        <f>SUM(K259:K260)</f>
        <v>10593</v>
      </c>
      <c r="L261" s="1670">
        <f>SUM(L259:L260)</f>
        <v>10424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10243</v>
      </c>
      <c r="E264" s="616"/>
      <c r="F264" s="616"/>
      <c r="G264" s="616"/>
      <c r="H264" s="616"/>
      <c r="I264" s="616"/>
      <c r="J264" s="616"/>
      <c r="K264" s="1672">
        <f t="shared" ref="K264:K269" si="22">D264</f>
        <v>10243</v>
      </c>
      <c r="L264" s="466">
        <v>10243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16889</v>
      </c>
      <c r="E266" s="616"/>
      <c r="F266" s="616"/>
      <c r="G266" s="616"/>
      <c r="H266" s="616"/>
      <c r="I266" s="616"/>
      <c r="J266" s="616"/>
      <c r="K266" s="1672">
        <f t="shared" si="22"/>
        <v>16889</v>
      </c>
      <c r="L266" s="466">
        <v>18121</v>
      </c>
    </row>
    <row r="267" spans="1:14" x14ac:dyDescent="0.2">
      <c r="A267" s="1504" t="s">
        <v>953</v>
      </c>
      <c r="B267" s="614">
        <v>2550</v>
      </c>
      <c r="C267" s="616"/>
      <c r="D267" s="466">
        <v>11003</v>
      </c>
      <c r="E267" s="616"/>
      <c r="F267" s="616"/>
      <c r="G267" s="616"/>
      <c r="H267" s="616"/>
      <c r="I267" s="616"/>
      <c r="J267" s="616"/>
      <c r="K267" s="1672">
        <f t="shared" si="22"/>
        <v>11003</v>
      </c>
      <c r="L267" s="466">
        <v>10698</v>
      </c>
    </row>
    <row r="268" spans="1:14" x14ac:dyDescent="0.2">
      <c r="A268" s="1504" t="s">
        <v>100</v>
      </c>
      <c r="B268" s="614">
        <v>2560</v>
      </c>
      <c r="C268" s="616"/>
      <c r="D268" s="466">
        <v>6807</v>
      </c>
      <c r="E268" s="616"/>
      <c r="F268" s="616"/>
      <c r="G268" s="616"/>
      <c r="H268" s="616"/>
      <c r="I268" s="616"/>
      <c r="J268" s="616"/>
      <c r="K268" s="1672">
        <f t="shared" si="22"/>
        <v>6807</v>
      </c>
      <c r="L268" s="466">
        <v>7561</v>
      </c>
    </row>
    <row r="269" spans="1:14" x14ac:dyDescent="0.2">
      <c r="A269" s="1504" t="s">
        <v>101</v>
      </c>
      <c r="B269" s="614">
        <v>2570</v>
      </c>
      <c r="C269" s="616"/>
      <c r="D269" s="466">
        <v>713</v>
      </c>
      <c r="E269" s="616"/>
      <c r="F269" s="616"/>
      <c r="G269" s="616"/>
      <c r="H269" s="616"/>
      <c r="I269" s="616"/>
      <c r="J269" s="616"/>
      <c r="K269" s="1672">
        <f t="shared" si="22"/>
        <v>713</v>
      </c>
      <c r="L269" s="466">
        <v>0</v>
      </c>
    </row>
    <row r="270" spans="1:14" ht="12.75" customHeight="1" thickBot="1" x14ac:dyDescent="0.25">
      <c r="A270" s="1668" t="s">
        <v>719</v>
      </c>
      <c r="B270" s="1675" t="s">
        <v>35</v>
      </c>
      <c r="C270" s="616"/>
      <c r="D270" s="1670">
        <f>SUM(D263:D269)</f>
        <v>45655</v>
      </c>
      <c r="E270" s="616"/>
      <c r="F270" s="616"/>
      <c r="G270" s="616"/>
      <c r="H270" s="616"/>
      <c r="I270" s="616"/>
      <c r="J270" s="616"/>
      <c r="K270" s="1670">
        <f>SUM(K263:K269)</f>
        <v>45655</v>
      </c>
      <c r="L270" s="1670">
        <f>SUM(L263:L269)</f>
        <v>46623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v>616</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616</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67844</v>
      </c>
      <c r="E279" s="616"/>
      <c r="F279" s="616"/>
      <c r="G279" s="616"/>
      <c r="H279" s="616"/>
      <c r="I279" s="616"/>
      <c r="J279" s="616"/>
      <c r="K279" s="1677">
        <f>SUM(K238,K243,K257,K261,K270,K277,K278)</f>
        <v>67844</v>
      </c>
      <c r="L279" s="1677">
        <f>SUM(L238,L243,L257,L261,L270,L277,L278)</f>
        <v>68848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104690</v>
      </c>
      <c r="E295" s="616"/>
      <c r="F295" s="616"/>
      <c r="G295" s="616"/>
      <c r="H295" s="1670">
        <f>H293</f>
        <v>0</v>
      </c>
      <c r="I295" s="616"/>
      <c r="J295" s="616"/>
      <c r="K295" s="1670">
        <f>SUM(K229,K279,K280,K285,K293,K294)</f>
        <v>104690</v>
      </c>
      <c r="L295" s="1670">
        <f>SUM(L229,L279,L280,L285,L293,L294)</f>
        <v>106651</v>
      </c>
    </row>
    <row r="296" spans="1:14" ht="13.5" thickTop="1" x14ac:dyDescent="0.2">
      <c r="A296" s="2158" t="s">
        <v>996</v>
      </c>
      <c r="B296" s="2159"/>
      <c r="C296" s="616"/>
      <c r="D296" s="618"/>
      <c r="E296" s="616"/>
      <c r="F296" s="616"/>
      <c r="G296" s="616"/>
      <c r="H296" s="687"/>
      <c r="I296" s="616"/>
      <c r="J296" s="616"/>
      <c r="K296" s="1684">
        <f>'Revenues 9-14'!G268-'Expenditures 15-22'!K295</f>
        <v>2324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v>849</v>
      </c>
      <c r="I302" s="467"/>
      <c r="J302" s="467"/>
      <c r="K302" s="1671">
        <f>SUM(C302:J302)</f>
        <v>849</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849</v>
      </c>
      <c r="I303" s="1677">
        <f t="shared" si="23"/>
        <v>0</v>
      </c>
      <c r="J303" s="1677">
        <f t="shared" si="23"/>
        <v>0</v>
      </c>
      <c r="K303" s="1677">
        <f t="shared" si="23"/>
        <v>849</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849</v>
      </c>
      <c r="I312" s="1670">
        <f>SUM(I303)</f>
        <v>0</v>
      </c>
      <c r="J312" s="1670">
        <f>SUM(J303)</f>
        <v>0</v>
      </c>
      <c r="K312" s="1670">
        <f>SUM(K303,K310,K311)</f>
        <v>849</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42823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10000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10000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10000</v>
      </c>
    </row>
    <row r="343" spans="1:14" ht="12.75" customHeight="1" thickTop="1" x14ac:dyDescent="0.2">
      <c r="A343" s="2171" t="s">
        <v>996</v>
      </c>
      <c r="B343" s="2172"/>
      <c r="C343" s="616"/>
      <c r="D343" s="616"/>
      <c r="E343" s="616"/>
      <c r="F343" s="616"/>
      <c r="G343" s="616"/>
      <c r="H343" s="616"/>
      <c r="I343" s="616"/>
      <c r="J343" s="616"/>
      <c r="K343" s="1684">
        <f>'Revenues 9-14'!J268-'Expenditures 15-22'!K342</f>
        <v>4914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v>3404</v>
      </c>
      <c r="I349" s="467"/>
      <c r="J349" s="467"/>
      <c r="K349" s="1671">
        <f>SUM(C349:J349)</f>
        <v>3404</v>
      </c>
      <c r="L349" s="466">
        <v>8000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3404</v>
      </c>
      <c r="I350" s="1670">
        <f t="shared" si="26"/>
        <v>0</v>
      </c>
      <c r="J350" s="1670">
        <f t="shared" si="26"/>
        <v>0</v>
      </c>
      <c r="K350" s="1670">
        <f t="shared" si="26"/>
        <v>3404</v>
      </c>
      <c r="L350" s="1670">
        <f t="shared" si="26"/>
        <v>8000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3404</v>
      </c>
      <c r="I352" s="1670">
        <f t="shared" si="27"/>
        <v>0</v>
      </c>
      <c r="J352" s="1670">
        <f t="shared" si="27"/>
        <v>0</v>
      </c>
      <c r="K352" s="1670">
        <f t="shared" si="27"/>
        <v>3404</v>
      </c>
      <c r="L352" s="1670">
        <f t="shared" si="27"/>
        <v>8000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3404</v>
      </c>
      <c r="I367" s="1670">
        <f t="shared" si="28"/>
        <v>0</v>
      </c>
      <c r="J367" s="1670">
        <f t="shared" si="28"/>
        <v>0</v>
      </c>
      <c r="K367" s="1670">
        <f t="shared" si="28"/>
        <v>3404</v>
      </c>
      <c r="L367" s="1670">
        <f t="shared" si="28"/>
        <v>8000</v>
      </c>
    </row>
    <row r="368" spans="1:14" ht="13.5" thickTop="1" x14ac:dyDescent="0.2">
      <c r="A368" s="2158" t="s">
        <v>996</v>
      </c>
      <c r="B368" s="2159"/>
      <c r="C368" s="654"/>
      <c r="D368" s="654"/>
      <c r="E368" s="626"/>
      <c r="F368" s="626"/>
      <c r="G368" s="626"/>
      <c r="H368" s="626"/>
      <c r="I368" s="626"/>
      <c r="J368" s="623"/>
      <c r="K368" s="1671">
        <f>'Revenues 9-14'!K268-'Expenditures 15-22'!K367</f>
        <v>-2407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elements/1.1/"/>
    <ds:schemaRef ds:uri="http://schemas.microsoft.com/office/2006/documentManagement/types"/>
    <ds:schemaRef ds:uri="http://purl.org/dc/dcmitype/"/>
    <ds:schemaRef ds:uri="6ce3111e-7420-4802-b50a-75d4e9a0b980"/>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2019-10-18T19:12:05Z</cp:lastPrinted>
  <dcterms:created xsi:type="dcterms:W3CDTF">2003-10-29T19:06:34Z</dcterms:created>
  <dcterms:modified xsi:type="dcterms:W3CDTF">2020-01-03T19:30:58Z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