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95128C0-B55A-4AC0-8B34-3EA390593C0D}" xr6:coauthVersionLast="36" xr6:coauthVersionMax="36" xr10:uidLastSave="{00000000-0000-0000-0000-000000000000}"/>
  <bookViews>
    <workbookView xWindow="0" yWindow="0" windowWidth="28800" windowHeight="124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AC32" sheetId="145" r:id="rId17"/>
    <sheet name="Shared Outsourced Services 31" sheetId="182"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SEFA'!$B$1:$M$38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6">#REF!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6">#REF!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6">#REF!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6">#REF!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6">#REF!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181" l="1"/>
  <c r="E38" i="181"/>
  <c r="D52" i="181"/>
  <c r="E42" i="181"/>
  <c r="G40" i="181"/>
  <c r="E40" i="181"/>
  <c r="G39" i="181"/>
  <c r="E39" i="181"/>
  <c r="G39" i="174" l="1"/>
  <c r="L14" i="179"/>
  <c r="L20" i="179"/>
  <c r="L16" i="179"/>
  <c r="L30" i="179"/>
  <c r="L28" i="179"/>
  <c r="L26" i="179"/>
  <c r="I35" i="179"/>
  <c r="I36" i="179" s="1"/>
  <c r="I31" i="179"/>
  <c r="L31" i="179" s="1"/>
  <c r="I30" i="179"/>
  <c r="I29" i="179"/>
  <c r="L29" i="179" s="1"/>
  <c r="I28" i="179"/>
  <c r="I27" i="179"/>
  <c r="L27" i="179" s="1"/>
  <c r="I26" i="179"/>
  <c r="L21" i="179"/>
  <c r="L17" i="179"/>
  <c r="L13" i="179"/>
  <c r="G21" i="179"/>
  <c r="G19" i="179"/>
  <c r="L19" i="179" s="1"/>
  <c r="G17" i="179"/>
  <c r="G15" i="179"/>
  <c r="L15" i="179" s="1"/>
  <c r="G13" i="179"/>
  <c r="E23" i="179"/>
  <c r="E32" i="179"/>
  <c r="E36" i="179"/>
  <c r="J36" i="179"/>
  <c r="M36" i="179"/>
  <c r="K36" i="179"/>
  <c r="H36" i="179"/>
  <c r="G36" i="179"/>
  <c r="F36" i="179"/>
  <c r="M32" i="179"/>
  <c r="K32" i="179"/>
  <c r="H32" i="179"/>
  <c r="G32" i="179"/>
  <c r="M23" i="179"/>
  <c r="K23" i="179"/>
  <c r="K38" i="179" s="1"/>
  <c r="J23" i="179"/>
  <c r="I23" i="179"/>
  <c r="H23" i="179"/>
  <c r="H38" i="179" s="1"/>
  <c r="F32" i="179"/>
  <c r="F23" i="179"/>
  <c r="M38" i="179" l="1"/>
  <c r="L35" i="179"/>
  <c r="L36" i="179" s="1"/>
  <c r="L32" i="179"/>
  <c r="I32" i="179"/>
  <c r="I38" i="179" s="1"/>
  <c r="L23" i="179"/>
  <c r="G23" i="179"/>
  <c r="G38" i="179" s="1"/>
  <c r="E38" i="179"/>
  <c r="J32" i="179"/>
  <c r="J38" i="179" s="1"/>
  <c r="F38" i="179"/>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1" i="181"/>
  <c r="F45" i="181"/>
  <c r="F52" i="181" s="1"/>
  <c r="L38" i="179" l="1"/>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G42" i="181"/>
  <c r="G41" i="181"/>
  <c r="E41"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G27" i="108"/>
  <c r="F31" i="108"/>
  <c r="F36" i="108"/>
  <c r="G28" i="108"/>
  <c r="G30" i="108"/>
  <c r="D36" i="108"/>
  <c r="E31" i="108"/>
  <c r="G31" i="108"/>
  <c r="E33" i="108"/>
  <c r="E34" i="108"/>
  <c r="E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J352" i="29" l="1"/>
  <c r="J367" i="29" s="1"/>
  <c r="B7245" i="106" s="1"/>
  <c r="D7245" i="106" s="1"/>
  <c r="D6103" i="106"/>
  <c r="B3647" i="106"/>
  <c r="D3647" i="106" s="1"/>
  <c r="K76" i="4"/>
  <c r="B3586" i="106" s="1"/>
  <c r="D3586" i="106" s="1"/>
  <c r="L13" i="11"/>
  <c r="B2060" i="106" s="1"/>
  <c r="D2060" i="106" s="1"/>
  <c r="G210" i="29"/>
  <c r="B1365" i="106" s="1"/>
  <c r="D1365" i="106" s="1"/>
  <c r="F19" i="7"/>
  <c r="B1807" i="106" s="1"/>
  <c r="D1807" i="106" s="1"/>
  <c r="D54" i="36"/>
  <c r="K184" i="29"/>
  <c r="F13" i="4" s="1"/>
  <c r="B2596" i="106" s="1"/>
  <c r="D2596" i="106" s="1"/>
  <c r="F65" i="34"/>
  <c r="E29" i="108"/>
  <c r="G29" i="108"/>
  <c r="F28" i="108"/>
  <c r="G35"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41" i="108" l="1"/>
  <c r="E43" i="108" s="1"/>
  <c r="L16" i="11"/>
  <c r="B2061" i="106" s="1"/>
  <c r="D2061" i="106" s="1"/>
  <c r="K342" i="29"/>
  <c r="F13" i="34" s="1"/>
  <c r="C114" i="29"/>
  <c r="B757" i="106" s="1"/>
  <c r="D75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C11" i="14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l="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<sst xmlns="http://schemas.openxmlformats.org/spreadsheetml/2006/main" count="5248" uniqueCount="2167">
  <si>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</si>
  <si>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</si>
  <si>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</si>
  <si>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</si>
  <si>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</si>
  <si>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</si>
  <si>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</si>
  <si>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</si>
  <si>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</si>
  <si>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</si>
  <si>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</si>
  <si>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</si>
  <si>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</si>
  <si>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</si>
  <si>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</si>
  <si>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</si>
  <si>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</si>
  <si>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</si>
  <si>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</si>
  <si>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</si>
  <si>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</si>
  <si>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</si>
  <si>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</si>
  <si>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</si>
  <si>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</si>
  <si>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</si>
  <si>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</si>
  <si>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</si>
  <si>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</si>
  <si>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</si>
  <si>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</si>
  <si>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</si>
  <si>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</si>
  <si>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</si>
  <si>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</si>
  <si>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</si>
  <si>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</si>
  <si>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</si>
  <si>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</si>
  <si>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</si>
  <si>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</si>
  <si>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</si>
  <si>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</si>
  <si>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</si>
  <si>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</si>
  <si>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</si>
  <si>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</si>
  <si>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</si>
  <si>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</si>
  <si>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</si>
  <si>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</si>
  <si>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</si>
  <si>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</si>
  <si>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</si>
  <si>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</si>
  <si>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</si>
  <si>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</si>
  <si>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</si>
  <si>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</si>
  <si>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</si>
  <si>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</si>
  <si>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</si>
  <si>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</si>
  <si>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</si>
  <si>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</si>
  <si>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</si>
  <si>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</si>
  <si>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</si>
  <si>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</si>
  <si>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</si>
  <si>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</si>
  <si>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</si>
  <si>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</si>
  <si>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</si>
  <si>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</si>
  <si>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</si>
  <si>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</si>
  <si>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</si>
  <si>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</si>
  <si>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</si>
  <si>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</si>
  <si>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</si>
  <si>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</si>
  <si>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</si>
  <si>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</si>
  <si>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</si>
  <si>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</si>
  <si>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</si>
  <si>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</si>
  <si>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</si>
  <si>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</si>
  <si>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</si>
  <si>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</si>
  <si>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</si>
  <si>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</si>
  <si>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</si>
  <si>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</si>
  <si>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</si>
  <si>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</si>
  <si>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</si>
  <si>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</si>
  <si>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</si>
  <si>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</si>
  <si>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</si>
  <si>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</si>
  <si>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</si>
  <si>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</si>
  <si>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</si>
  <si>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</si>
  <si>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</si>
  <si>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</si>
  <si>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</si>
  <si>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</si>
  <si>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</si>
  <si>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</si>
  <si>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</si>
  <si>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</si>
  <si>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</si>
  <si>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</si>
  <si>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</si>
  <si>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</si>
  <si>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</si>
  <si>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</si>
  <si>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</si>
  <si>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</si>
  <si>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</si>
  <si>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</si>
  <si>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</si>
  <si>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</si>
  <si>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</si>
  <si>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</si>
  <si>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</si>
  <si>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</si>
  <si>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</si>
  <si>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</si>
  <si>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</si>
  <si>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</si>
  <si>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</si>
  <si>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</si>
  <si>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</si>
  <si>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</si>
  <si>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</si>
  <si>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</si>
  <si>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</si>
  <si>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</si>
  <si>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</si>
  <si>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</si>
  <si>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</si>
  <si>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</si>
  <si>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</si>
  <si>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</si>
  <si>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</si>
  <si>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</si>
  <si>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</si>
  <si>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</si>
  <si>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</si>
  <si>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</si>
  <si>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</si>
  <si>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</si>
  <si>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</si>
  <si>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</si>
  <si>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</si>
  <si>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</si>
  <si>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</si>
  <si>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</si>
  <si>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</si>
  <si>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</si>
  <si>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</si>
  <si>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</si>
  <si>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</si>
  <si>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</si>
  <si>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</si>
  <si>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</si>
  <si>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</si>
  <si>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</si>
  <si>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</si>
  <si>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</si>
  <si>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</si>
  <si>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</si>
  <si>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</si>
  <si>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</si>
  <si>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</si>
  <si>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</si>
  <si>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</si>
  <si>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</si>
  <si>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</si>
  <si>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</si>
  <si>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</si>
  <si>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</si>
  <si>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</si>
  <si>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</si>
  <si>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</si>
  <si>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</si>
  <si>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</si>
  <si>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</si>
  <si>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</si>
  <si>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</si>
  <si>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</si>
  <si>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</si>
  <si>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</si>
  <si>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</si>
  <si>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</si>
  <si>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</si>
  <si>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</si>
  <si>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</si>
  <si>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</si>
  <si>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</si>
  <si>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</si>
  <si>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</si>
  <si>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</si>
  <si>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</si>
  <si>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</si>
  <si>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</si>
  <si>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</si>
  <si>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</si>
  <si>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</si>
  <si>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</si>
  <si>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</si>
  <si>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</si>
  <si>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</si>
  <si>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</si>
  <si>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</si>
  <si>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</si>
  <si>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</si>
  <si>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</si>
  <si>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</si>
  <si>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</si>
  <si>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</si>
  <si>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</si>
  <si>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</si>
  <si>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</si>
  <si>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</si>
  <si>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</si>
  <si>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</si>
  <si>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</si>
  <si>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</si>
  <si>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</si>
  <si>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</si>
  <si>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</si>
  <si>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</si>
  <si>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</si>
  <si>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</si>
  <si>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</si>
  <si>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</si>
  <si>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</si>
  <si>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</si>
  <si>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</si>
  <si>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</si>
  <si>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</si>
  <si>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</si>
  <si>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</si>
  <si>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</si>
  <si>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</si>
  <si>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</si>
  <si>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</si>
  <si>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</si>
  <si>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</si>
  <si>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</si>
  <si>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</si>
  <si>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</si>
  <si>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</si>
  <si>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</si>
  <si>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</si>
  <si>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</si>
  <si>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</si>
  <si>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</si>
  <si>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</si>
  <si>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</si>
  <si>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</si>
  <si>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</si>
  <si>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</si>
  <si>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</si>
  <si>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</si>
  <si>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</si>
  <si>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</si>
  <si>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</si>
  <si>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</si>
  <si>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</si>
  <si>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</si>
  <si>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</si>
  <si>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</si>
  <si>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</si>
  <si>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</si>
  <si>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</si>
  <si>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</si>
  <si>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</si>
  <si>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</si>
  <si>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</si>
  <si>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</si>
  <si>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</si>
  <si>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</si>
  <si>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</si>
  <si>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</si>
  <si>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</si>
  <si>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</si>
  <si>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</si>
  <si>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</si>
  <si>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</si>
  <si>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</si>
  <si>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</si>
  <si>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</si>
  <si>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</si>
  <si>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</si>
  <si>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</si>
  <si>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</si>
  <si>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</si>
  <si>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</si>
  <si>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</si>
  <si>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</si>
  <si>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</si>
  <si>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</si>
  <si>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</si>
  <si>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</si>
  <si>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</si>
  <si>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</si>
  <si>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</si>
  <si>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</si>
  <si>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</si>
  <si>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</si>
  <si>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</si>
  <si>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</si>
  <si>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</si>
  <si>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</si>
  <si>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</si>
  <si>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</si>
  <si>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</si>
  <si>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</si>
  <si>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</si>
  <si>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</si>
  <si>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</si>
  <si>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</si>
  <si>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</si>
  <si>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</si>
  <si>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</si>
  <si>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</si>
  <si>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</si>
  <si>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</si>
  <si>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</si>
  <si>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</si>
  <si>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</si>
  <si>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</si>
  <si>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</si>
  <si>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</si>
  <si>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</si>
  <si>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</si>
  <si>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</si>
  <si>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</si>
  <si>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</si>
  <si>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</si>
  <si>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</si>
  <si>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</si>
  <si>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</si>
  <si>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</si>
  <si>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</si>
  <si>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</si>
  <si>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</si>
  <si>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</si>
  <si>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</si>
  <si>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</si>
  <si>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</si>
  <si>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</si>
  <si>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</si>
  <si>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</si>
  <si>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</si>
  <si>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</si>
  <si>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</si>
  <si>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</si>
  <si>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</si>
  <si>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</si>
  <si>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</si>
  <si>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</si>
  <si>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</si>
  <si>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</si>
  <si>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</si>
  <si>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</si>
  <si>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</si>
  <si>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</si>
  <si>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</si>
  <si>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</si>
  <si>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</si>
  <si>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</si>
  <si>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</si>
  <si>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</si>
  <si>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</si>
  <si>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</si>
  <si>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</si>
  <si>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</si>
  <si>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</si>
  <si>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</si>
  <si>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</si>
  <si>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</si>
  <si>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</si>
  <si>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</si>
  <si>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</si>
  <si>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</si>
  <si>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</si>
  <si>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</si>
  <si>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</si>
  <si>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</si>
  <si>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</si>
  <si>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</si>
  <si>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</si>
  <si>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</si>
  <si>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</si>
  <si>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</si>
  <si>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</si>
  <si>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</si>
  <si>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</si>
  <si>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</si>
  <si>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</si>
  <si>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</si>
  <si>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</si>
  <si>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</si>
  <si>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</si>
  <si>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</si>
  <si>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</si>
  <si>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</si>
  <si>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</si>
  <si>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</si>
  <si>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</si>
  <si>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</si>
  <si>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</si>
  <si>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</si>
  <si>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</si>
  <si>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</si>
  <si>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</si>
  <si>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</si>
  <si>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</si>
  <si>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</si>
  <si>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</si>
  <si>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</si>
  <si>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</si>
  <si>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</si>
  <si>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</si>
  <si>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</si>
  <si>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</si>
  <si>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</si>
  <si>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</si>
  <si>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</si>
  <si>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</si>
  <si>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</si>
  <si>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</si>
  <si>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</si>
  <si>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</si>
  <si>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</si>
  <si>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</si>
  <si>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</si>
  <si>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</si>
  <si>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</si>
  <si>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</si>
  <si>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</si>
  <si>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</si>
  <si>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</si>
  <si>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</si>
  <si>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</si>
  <si>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</si>
  <si>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</si>
  <si>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</si>
  <si>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</si>
  <si>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</si>
  <si>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</si>
  <si>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</si>
  <si>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</si>
  <si>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</si>
  <si>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</si>
  <si>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</si>
  <si>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</si>
  <si>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</si>
  <si>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</si>
  <si>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</si>
  <si>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</si>
  <si>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</si>
  <si>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</si>
  <si>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</si>
  <si>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</si>
  <si>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</si>
  <si>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</si>
  <si>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</si>
  <si>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</si>
  <si>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</si>
  <si>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</si>
  <si>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</si>
  <si>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</si>
  <si>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</si>
  <si>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</si>
  <si>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</si>
  <si>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</si>
  <si>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</si>
  <si>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</si>
  <si>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</si>
  <si>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</si>
  <si>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</si>
  <si>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</si>
  <si>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</si>
  <si>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</si>
  <si>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</si>
  <si>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</si>
  <si>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</si>
  <si>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</si>
  <si>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</si>
  <si>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</si>
  <si>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</si>
  <si>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</si>
  <si>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</si>
  <si>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</si>
  <si>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</si>
  <si>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</si>
  <si>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</si>
  <si>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</si>
  <si>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</si>
  <si>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</si>
  <si>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</si>
  <si>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</si>
  <si>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</si>
  <si>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</si>
  <si>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</si>
  <si>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</si>
  <si>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</si>
  <si>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</si>
  <si>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</si>
  <si>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</si>
  <si>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</si>
  <si>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</si>
  <si>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</si>
  <si>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</si>
  <si>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</si>
  <si>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</si>
  <si>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</si>
  <si>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</si>
  <si>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</si>
  <si>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</si>
  <si>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</si>
  <si>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</si>
  <si>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</si>
  <si>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</si>
  <si>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</si>
  <si>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</si>
  <si>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</si>
  <si>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</si>
  <si>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</si>
  <si>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</si>
  <si>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</si>
  <si>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</si>
  <si>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</si>
  <si>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</si>
  <si>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</si>
  <si>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</si>
  <si>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</si>
  <si>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</si>
  <si>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</si>
  <si>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</si>
  <si>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</si>
  <si>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</si>
  <si>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</si>
  <si>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</si>
  <si>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</si>
  <si>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</si>
  <si>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</si>
  <si>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</si>
  <si>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</si>
  <si>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</si>
  <si>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</si>
  <si>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</si>
  <si>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</si>
  <si>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</si>
  <si>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</si>
  <si>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</si>
  <si>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</si>
  <si>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</si>
  <si>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</si>
  <si>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</si>
  <si>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</si>
  <si>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</si>
  <si>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</si>
  <si>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</si>
  <si>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</si>
  <si>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</si>
  <si>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</si>
  <si>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</si>
  <si>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</si>
  <si>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</si>
  <si>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</si>
  <si>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</si>
  <si>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</si>
  <si>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</si>
  <si>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</si>
  <si>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</si>
  <si>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</si>
  <si>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</si>
  <si>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</si>
  <si>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</si>
  <si>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</si>
  <si>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</si>
  <si>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</si>
  <si>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</si>
  <si>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</si>
  <si>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</si>
  <si>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</si>
  <si>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</si>
  <si>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</si>
  <si>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</si>
  <si>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</si>
  <si>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</si>
  <si>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</si>
  <si>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</si>
  <si>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</si>
  <si>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</si>
  <si>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</si>
  <si>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</si>
  <si>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</si>
  <si>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</si>
  <si>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</si>
  <si>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</si>
  <si>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</si>
  <si>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</si>
  <si>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</si>
  <si>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</si>
  <si>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</si>
  <si>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</si>
  <si>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</si>
  <si>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</si>
  <si>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</si>
  <si>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</si>
  <si>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</si>
  <si>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</si>
  <si>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</si>
  <si>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</si>
  <si>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</si>
  <si>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</si>
  <si>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</si>
  <si>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</si>
  <si>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</si>
  <si>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</si>
  <si>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</si>
  <si>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</si>
  <si>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</si>
  <si>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</si>
  <si>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</si>
  <si>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</si>
  <si>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</si>
  <si>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</si>
  <si>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</si>
  <si>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</si>
  <si>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</si>
  <si>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</si>
  <si>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</si>
  <si>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</si>
  <si>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</si>
  <si>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</si>
  <si>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</si>
  <si>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</si>
  <si>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</si>
  <si>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</si>
  <si>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</si>
  <si>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</si>
  <si>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</si>
  <si>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</si>
  <si>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</si>
  <si>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</si>
  <si>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</si>
  <si>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</si>
  <si>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</si>
  <si>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</si>
  <si>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</si>
  <si>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</si>
  <si>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</si>
  <si>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</si>
  <si>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</si>
  <si>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</si>
  <si>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</si>
  <si>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</si>
  <si>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</si>
  <si>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</si>
  <si>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</si>
  <si>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</si>
  <si>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</si>
  <si>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</si>
  <si>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</si>
  <si>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</si>
  <si>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</si>
  <si>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</si>
  <si>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</si>
  <si>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</si>
  <si>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</si>
  <si>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</si>
  <si>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</si>
  <si>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</si>
  <si>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</si>
  <si>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</si>
  <si>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</si>
  <si>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</si>
  <si>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</si>
  <si>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</si>
  <si>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</si>
  <si>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</si>
  <si>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</si>
  <si>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</si>
  <si>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</si>
  <si>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</si>
  <si>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</si>
  <si>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</si>
  <si>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</si>
  <si>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</si>
  <si>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</si>
  <si>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</si>
  <si>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</si>
  <si>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</si>
  <si>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</si>
  <si>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</si>
  <si>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</si>
  <si>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</si>
  <si>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</si>
  <si>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</si>
  <si>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</si>
  <si>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</si>
  <si>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</si>
  <si>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</si>
  <si>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</si>
  <si>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</si>
  <si>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</si>
  <si>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</si>
  <si>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</si>
  <si>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</si>
  <si>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</si>
  <si>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</si>
  <si>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</si>
  <si>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</si>
  <si>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</si>
  <si>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</si>
  <si>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</si>
  <si>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</si>
  <si>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</si>
  <si>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</si>
  <si>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</si>
  <si>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</si>
  <si>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</si>
  <si>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</si>
  <si>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</si>
  <si>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</si>
  <si>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</si>
  <si>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</si>
  <si>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</si>
  <si>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</si>
  <si>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</si>
  <si>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</si>
  <si>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</si>
  <si>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</si>
  <si>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</si>
  <si>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</si>
  <si>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</si>
  <si>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</si>
  <si>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</si>
  <si>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</si>
  <si>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</si>
  <si>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</si>
  <si>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</si>
  <si>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</si>
  <si>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</si>
  <si>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</si>
  <si>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</si>
  <si>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</si>
  <si>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</si>
  <si>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</si>
  <si>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</si>
  <si>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</si>
  <si>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</si>
  <si>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</si>
  <si>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</si>
  <si>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</si>
  <si>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</si>
  <si>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</si>
  <si>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</si>
  <si>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</si>
  <si>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</si>
  <si>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</si>
  <si>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</si>
  <si>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</si>
  <si>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</si>
  <si>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</si>
  <si>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</si>
  <si>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</si>
  <si>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</si>
  <si>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</si>
  <si>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</si>
  <si>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</si>
  <si>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</si>
  <si>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</si>
  <si>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</si>
  <si>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</si>
  <si>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</si>
  <si>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</si>
  <si>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</si>
  <si>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</si>
  <si>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</si>
  <si>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</si>
  <si>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</si>
  <si>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</si>
  <si>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</si>
  <si>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</si>
  <si>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</si>
  <si>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</si>
  <si>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</si>
  <si>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</si>
  <si>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</si>
  <si>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</si>
  <si>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</si>
  <si>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</si>
  <si>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</si>
  <si>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</si>
  <si>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</si>
  <si>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</si>
  <si>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</si>
  <si>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</si>
  <si>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</si>
  <si>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</si>
  <si>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</si>
  <si>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</si>
  <si>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</si>
  <si>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</si>
  <si>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</si>
  <si>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</si>
  <si>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</si>
  <si>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</si>
  <si>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</si>
  <si>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</si>
  <si>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</si>
  <si>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</si>
  <si>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</si>
  <si>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</si>
  <si>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</si>
  <si>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</si>
  <si>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</si>
  <si>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</si>
  <si>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</si>
  <si>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</si>
  <si>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</si>
  <si>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</si>
  <si>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</si>
  <si>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</si>
  <si>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</si>
  <si>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</si>
  <si>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</si>
  <si>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</si>
  <si>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</si>
  <si>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</si>
  <si>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</si>
  <si>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</si>
  <si>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</si>
  <si>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</si>
  <si>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</si>
  <si>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</si>
  <si>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</si>
  <si>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</si>
  <si>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</si>
  <si>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</si>
  <si>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</si>
  <si>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</si>
  <si>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</si>
  <si>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</si>
  <si>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</si>
  <si>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</si>
  <si>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</si>
  <si>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</si>
  <si>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</si>
  <si>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</si>
  <si>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</si>
  <si>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</si>
  <si>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</si>
  <si>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</si>
  <si>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</si>
  <si>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</si>
  <si>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</si>
  <si>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</si>
  <si>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</si>
  <si>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</si>
  <si>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</si>
  <si>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</si>
  <si>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</si>
  <si>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</si>
  <si>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</si>
  <si>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</si>
  <si>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</si>
  <si>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</si>
  <si>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</si>
  <si>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</si>
  <si>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</si>
  <si>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</si>
  <si>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</si>
  <si>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</si>
  <si>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</si>
  <si>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</si>
  <si>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</si>
  <si>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</si>
  <si>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</si>
  <si>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</si>
  <si>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</si>
  <si>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</si>
  <si>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</si>
  <si>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</si>
  <si>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</si>
  <si>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</si>
  <si>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</si>
  <si>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</si>
  <si>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</si>
  <si>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</si>
  <si>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</si>
  <si>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</si>
  <si>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</si>
  <si>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</si>
  <si>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</si>
  <si>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</si>
  <si>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</si>
  <si>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</si>
  <si>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</si>
  <si>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</si>
  <si>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</si>
  <si>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</si>
  <si>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</si>
  <si>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</si>
  <si>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</si>
  <si>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</si>
  <si>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</si>
  <si>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</si>
  <si>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</si>
  <si>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</si>
  <si>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</si>
  <si>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</si>
  <si>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</si>
  <si>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</si>
  <si>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</si>
  <si>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</si>
  <si>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</si>
  <si>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</si>
  <si>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</si>
  <si>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</si>
  <si>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</si>
  <si>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</si>
  <si>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</si>
  <si>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</si>
  <si>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</si>
  <si>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</si>
  <si>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</si>
  <si>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</si>
  <si>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</si>
  <si>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</si>
  <si>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</si>
  <si>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</si>
  <si>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</si>
  <si>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</si>
  <si>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</si>
  <si>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</si>
  <si>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</si>
  <si>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</si>
  <si>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</si>
  <si>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</si>
  <si>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</si>
  <si>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</si>
  <si>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</si>
  <si>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</si>
  <si>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</si>
  <si>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</si>
  <si>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</si>
  <si>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</si>
  <si>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</si>
  <si>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</si>
  <si>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</si>
  <si>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</si>
  <si>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</si>
  <si>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</si>
  <si>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</si>
  <si>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</si>
  <si>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</si>
  <si>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</si>
  <si>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</si>
  <si>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</si>
  <si>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</si>
  <si>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</si>
  <si>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</si>
  <si>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</si>
  <si>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</si>
  <si>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</si>
  <si>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</si>
  <si>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</si>
  <si>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</si>
  <si>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</si>
  <si>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</si>
  <si>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</si>
  <si>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</si>
  <si>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</si>
  <si>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</si>
  <si>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</si>
  <si>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</si>
  <si>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</si>
  <si>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</si>
  <si>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</si>
  <si>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</si>
  <si>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</si>
  <si>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</si>
  <si>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</si>
  <si>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</si>
  <si>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</si>
  <si>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</si>
  <si>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</si>
  <si>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</si>
  <si>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</si>
  <si>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</si>
  <si>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</si>
  <si>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</si>
  <si>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</si>
  <si>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</si>
  <si>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</si>
  <si>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</si>
  <si>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</si>
  <si>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</si>
  <si>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</si>
  <si>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</si>
  <si>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</si>
  <si>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</si>
  <si>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</si>
  <si>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</si>
  <si>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</si>
  <si>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</si>
  <si>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</si>
  <si>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</si>
  <si>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</si>
  <si>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</si>
  <si>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</si>
  <si>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</si>
  <si>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</si>
  <si>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</si>
  <si>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</si>
  <si>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</si>
  <si>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</si>
  <si>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</si>
  <si>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</si>
  <si>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</si>
  <si>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</si>
  <si>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</si>
  <si>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</si>
  <si>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</si>
  <si>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</si>
  <si>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</si>
  <si>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</si>
  <si>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</si>
  <si>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</si>
  <si>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</si>
  <si>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</si>
  <si>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</si>
  <si>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</si>
  <si>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</si>
  <si>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</si>
  <si>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</si>
  <si>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</si>
  <si>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</si>
  <si>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</si>
  <si>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</si>
  <si>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</si>
  <si>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</si>
  <si>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</si>
  <si>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</si>
  <si>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</si>
  <si>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</si>
  <si>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</si>
  <si>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</si>
  <si>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</si>
  <si>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</si>
  <si>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</si>
  <si>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</si>
  <si>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</si>
  <si>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</si>
  <si>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</si>
  <si>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</si>
  <si>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</si>
  <si>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</si>
  <si>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</si>
  <si>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</si>
  <si>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</si>
  <si>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</si>
  <si>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</si>
  <si>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</si>
  <si>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</si>
  <si>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</si>
  <si>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</si>
  <si>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</si>
  <si>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</si>
  <si>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</si>
  <si>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</si>
  <si>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</si>
  <si>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</si>
  <si>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</si>
  <si>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</si>
  <si>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</si>
  <si>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</si>
  <si>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</si>
  <si>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</si>
  <si>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</si>
  <si>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</si>
  <si>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</si>
  <si>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</si>
  <si>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</si>
  <si>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</si>
  <si>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</si>
  <si>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</si>
  <si>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</si>
  <si>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</si>
  <si>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</si>
  <si>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</si>
  <si>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</si>
  <si>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</si>
  <si>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</si>
  <si>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</si>
  <si>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</si>
  <si>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</si>
  <si>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</si>
  <si>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</si>
  <si>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</si>
  <si>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</si>
  <si>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</si>
  <si>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</si>
  <si>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</si>
  <si>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</si>
  <si>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</si>
  <si>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</si>
  <si>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</si>
  <si>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</si>
  <si>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</si>
  <si>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</si>
  <si>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</si>
  <si>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</si>
  <si>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</si>
  <si>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</si>
  <si>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</si>
  <si>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</si>
  <si>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</si>
  <si>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</si>
  <si>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</si>
  <si>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</si>
  <si>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</si>
  <si>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</si>
  <si>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</si>
  <si>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</si>
  <si>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</si>
  <si>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</si>
  <si>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</si>
  <si>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</si>
  <si>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</si>
  <si>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</si>
  <si>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</si>
  <si>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</si>
  <si>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</si>
  <si>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</si>
  <si>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</si>
  <si>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</si>
  <si>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</si>
  <si>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</si>
  <si>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</si>
  <si>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</si>
  <si>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</si>
  <si>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</si>
  <si>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</si>
  <si>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</si>
  <si>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</si>
  <si>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</si>
  <si>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</si>
  <si>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</si>
  <si>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</si>
  <si>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</si>
  <si>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</si>
  <si>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</si>
  <si>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</si>
  <si>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</si>
  <si>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</si>
  <si>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</si>
  <si>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</si>
  <si>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</si>
  <si>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</si>
  <si>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</si>
  <si>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</si>
  <si>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</si>
  <si>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</si>
  <si>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</si>
  <si>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</si>
  <si>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</si>
  <si>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</si>
  <si>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</si>
  <si>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</si>
  <si>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</si>
  <si>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</si>
  <si>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</si>
  <si>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</si>
  <si>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</si>
  <si>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</si>
  <si>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</si>
  <si>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</si>
  <si>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</si>
  <si>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</si>
  <si>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</si>
  <si>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</si>
  <si>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</si>
  <si>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</si>
  <si>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</si>
  <si>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</si>
  <si>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</si>
  <si>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</si>
  <si>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</si>
  <si>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</si>
  <si>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</si>
  <si>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</si>
  <si>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</si>
  <si>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</si>
  <si>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</si>
  <si>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</si>
  <si>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</si>
  <si>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</si>
  <si>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</si>
  <si>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</si>
  <si>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</si>
  <si>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</si>
  <si>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</si>
  <si>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</si>
  <si>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</si>
  <si>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</si>
  <si>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</si>
  <si>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</si>
  <si>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</si>
  <si>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</si>
  <si>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</si>
  <si>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</si>
  <si>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</si>
  <si>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</si>
  <si>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</si>
  <si>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</si>
  <si>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</si>
  <si>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</si>
  <si>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</si>
  <si>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</si>
  <si>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</si>
  <si>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</si>
  <si>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</si>
  <si>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</si>
  <si>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</si>
  <si>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</si>
  <si>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</si>
  <si>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</si>
  <si>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</si>
  <si>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</si>
  <si>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</si>
  <si>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</si>
  <si>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</si>
  <si>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</si>
  <si>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</si>
  <si>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</si>
  <si>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</si>
  <si>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</si>
  <si>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</si>
  <si>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</si>
  <si>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</si>
  <si>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</si>
  <si>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</si>
  <si>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</si>
  <si>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</si>
  <si>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</si>
  <si>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</si>
  <si>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</si>
  <si>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</si>
  <si>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</si>
  <si>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</si>
  <si>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</si>
  <si>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</si>
  <si>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</si>
  <si>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</si>
  <si>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</si>
  <si>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</si>
  <si>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</si>
  <si>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</si>
  <si>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</si>
  <si>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</si>
  <si>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</si>
  <si>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</si>
  <si>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</si>
  <si>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</si>
  <si>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</si>
  <si>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</si>
  <si>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</si>
  <si>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</si>
  <si>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</si>
  <si>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</si>
  <si>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</si>
  <si>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</si>
  <si>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</si>
  <si>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</si>
  <si>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</si>
  <si>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</si>
  <si>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</si>
  <si>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</si>
  <si>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</si>
  <si>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</si>
  <si>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</si>
  <si>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</si>
  <si>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</si>
  <si>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</si>
  <si>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</si>
  <si>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</si>
  <si>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</si>
  <si>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</si>
  <si>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</si>
  <si>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</si>
  <si>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</si>
  <si>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</si>
  <si>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</si>
  <si>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</si>
  <si>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</si>
  <si>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</si>
  <si>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</si>
  <si>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</si>
  <si>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</si>
  <si>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</si>
  <si>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</si>
  <si>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</si>
  <si>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</si>
  <si>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</si>
  <si>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</si>
  <si>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</si>
  <si>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</si>
  <si>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</si>
  <si>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</si>
  <si>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</si>
  <si>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</si>
  <si>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</si>
  <si>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</si>
  <si>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</si>
  <si>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</si>
  <si>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</si>
  <si>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</si>
  <si>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</si>
  <si>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</si>
  <si>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</si>
  <si>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</si>
  <si>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</si>
  <si>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</si>
  <si>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</si>
  <si>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</si>
  <si>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</si>
  <si>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</si>
  <si>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</si>
  <si>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</si>
  <si>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</si>
  <si>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</si>
  <si>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</si>
  <si>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</si>
  <si>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</si>
  <si>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</si>
  <si>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</si>
  <si>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</si>
  <si>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</si>
  <si>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</si>
  <si>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</si>
  <si>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</si>
  <si>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</si>
  <si>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</si>
  <si>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</si>
  <si>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</si>
  <si>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</si>
  <si>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</si>
  <si>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</si>
  <si>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</si>
  <si>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</si>
  <si>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</si>
  <si>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</si>
  <si>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</si>
  <si>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</si>
  <si>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</si>
  <si>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</si>
  <si>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</si>
  <si>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</si>
  <si>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</si>
  <si>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</si>
  <si>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</si>
  <si>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</si>
  <si>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</si>
  <si>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</si>
  <si>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</si>
  <si>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</si>
  <si>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</si>
  <si>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</si>
  <si>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</si>
  <si>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</si>
  <si>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</si>
  <si>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</si>
  <si>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</si>
  <si>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</si>
  <si>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</si>
  <si>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</si>
  <si>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</si>
  <si>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</si>
  <si>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</si>
  <si>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</si>
  <si>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</si>
  <si>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</si>
  <si>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</si>
  <si>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</si>
  <si>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</si>
  <si>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</si>
  <si>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</si>
  <si>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</si>
  <si>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</si>
  <si>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</si>
  <si>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</si>
  <si>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</si>
  <si>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</si>
  <si>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</si>
  <si>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</si>
  <si>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</si>
  <si>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</si>
  <si>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</si>
  <si>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</si>
  <si>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</si>
  <si>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</si>
  <si>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</si>
  <si>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</si>
  <si>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</si>
  <si>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</si>
  <si>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</si>
  <si>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</si>
  <si>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</si>
  <si>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</si>
  <si>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</si>
  <si>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</si>
  <si>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</si>
  <si>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</si>
  <si>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</si>
  <si>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</si>
  <si>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</si>
  <si>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</si>
  <si>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</si>
  <si>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</si>
  <si>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</si>
  <si>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</si>
  <si>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</si>
  <si>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</si>
  <si>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</si>
  <si>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</si>
  <si>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</si>
  <si>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</si>
  <si>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</si>
  <si>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</si>
  <si>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</si>
  <si>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</si>
  <si>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</si>
  <si>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</si>
  <si>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</si>
  <si>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</si>
  <si>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</si>
  <si>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</si>
  <si>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</si>
  <si>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</si>
  <si>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</si>
  <si>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</si>
  <si>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</si>
  <si>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</si>
  <si>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</si>
  <si>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</si>
  <si>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</si>
  <si>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</si>
  <si>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</si>
  <si>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</si>
  <si>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</si>
  <si>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</si>
  <si>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</si>
  <si>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</si>
  <si>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</si>
  <si>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</si>
  <si>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</si>
  <si>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</si>
  <si>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</si>
  <si>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</si>
  <si>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</si>
  <si>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</si>
  <si>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</si>
  <si>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</si>
  <si>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</si>
  <si>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</si>
  <si>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</si>
  <si>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</si>
  <si>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</si>
  <si>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</si>
  <si>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</si>
  <si>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</si>
  <si>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</si>
  <si>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</si>
  <si>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</si>
  <si>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</si>
  <si>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</si>
  <si>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</si>
  <si>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</si>
  <si>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</si>
  <si>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</si>
  <si>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</si>
  <si>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</si>
  <si>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</si>
  <si>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</si>
  <si>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</si>
  <si>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</si>
  <si>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</si>
  <si>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</si>
  <si>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</si>
  <si>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</si>
  <si>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</si>
  <si>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</si>
  <si>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</si>
  <si>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</si>
  <si>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</si>
  <si>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</si>
  <si>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</si>
  <si>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</si>
  <si>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</si>
  <si>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</si>
  <si>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</si>
  <si>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</si>
  <si>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</si>
  <si>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</si>
  <si>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</si>
  <si>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</si>
  <si>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</si>
  <si>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</si>
  <si>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</si>
  <si>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</si>
  <si>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</si>
  <si>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</si>
  <si>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</si>
  <si>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</si>
  <si>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</si>
  <si>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</si>
  <si>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</si>
  <si>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</si>
  <si>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</si>
  <si>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</si>
  <si>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</si>
  <si>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</si>
  <si>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</si>
  <si>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</si>
  <si>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</si>
  <si>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</si>
  <si>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</si>
  <si>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</si>
  <si>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</si>
  <si>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</si>
  <si>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</si>
  <si>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</si>
  <si>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</si>
  <si>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</si>
  <si>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</si>
  <si>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</si>
  <si>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</si>
  <si>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</si>
  <si>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</si>
  <si>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</si>
  <si>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</si>
  <si>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</si>
  <si>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</si>
  <si>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</si>
  <si>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</si>
  <si>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</si>
  <si>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</si>
  <si>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</si>
  <si>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</si>
  <si>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</si>
  <si>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</si>
  <si>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</si>
  <si>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</si>
  <si>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</si>
  <si>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</si>
  <si>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</si>
  <si>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</si>
  <si>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</si>
  <si>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</si>
  <si>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</si>
  <si>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</si>
  <si>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</si>
  <si>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</si>
  <si>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</si>
  <si>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</si>
  <si>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</si>
  <si>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</si>
  <si>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</si>
  <si>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</si>
  <si>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</si>
  <si>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</si>
  <si>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</si>
  <si>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</si>
  <si>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</si>
  <si>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</si>
  <si>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</si>
  <si>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</si>
  <si>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</si>
  <si>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</si>
  <si>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</si>
  <si>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</si>
  <si>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</si>
  <si>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</si>
  <si>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</si>
  <si>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</si>
  <si>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</si>
  <si>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</si>
  <si>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</si>
  <si>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</si>
  <si>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</si>
  <si>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</si>
  <si>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</si>
  <si>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</si>
  <si>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</si>
  <si>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</si>
  <si>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</si>
  <si>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</si>
  <si>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</si>
  <si>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</si>
  <si>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</si>
  <si>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</si>
  <si>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</si>
  <si>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</si>
  <si>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</si>
  <si>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</si>
  <si>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</si>
  <si>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</si>
  <si>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</si>
  <si>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</si>
  <si>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</si>
  <si>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</si>
  <si>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</si>
  <si>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</si>
  <si>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</si>
  <si>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</si>
  <si>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</si>
  <si>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</si>
  <si>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</si>
  <si>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</si>
  <si>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</si>
  <si>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</si>
  <si>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</si>
  <si>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</si>
  <si>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</si>
  <si>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</si>
  <si>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</si>
  <si>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</si>
  <si>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</si>
  <si>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</si>
  <si>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</si>
  <si>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</si>
  <si>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</si>
  <si>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</si>
  <si>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</si>
  <si>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</si>
  <si>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</si>
  <si>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</si>
  <si>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</si>
  <si>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</si>
  <si>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</si>
  <si>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</si>
  <si>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</si>
  <si>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</si>
  <si>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</si>
  <si>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</si>
  <si>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</si>
  <si>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</si>
  <si>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</si>
  <si>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</si>
  <si>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</si>
  <si>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</si>
  <si>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</si>
  <si>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</si>
  <si>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</si>
  <si>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</si>
  <si>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</si>
  <si>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</si>
  <si>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</si>
  <si>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</si>
  <si>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</si>
  <si>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</si>
  <si>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</si>
  <si>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</si>
  <si>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</si>
  <si>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</si>
  <si>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</si>
  <si>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</si>
  <si>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</si>
  <si>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</si>
  <si>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</si>
  <si>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</si>
  <si>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</si>
  <si>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</si>
  <si>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</si>
  <si>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</si>
  <si>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</si>
  <si>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</si>
  <si>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</si>
  <si>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</si>
  <si>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</si>
  <si>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</si>
  <si>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</si>
  <si>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</si>
  <si>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</si>
  <si>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</si>
  <si>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</si>
  <si>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</si>
  <si>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</si>
  <si>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</si>
  <si>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</si>
  <si>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</si>
  <si>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</si>
  <si>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</si>
  <si>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</si>
  <si>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</si>
  <si>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</si>
  <si>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</si>
  <si>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</si>
  <si>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</si>
  <si>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</si>
  <si>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</si>
  <si>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</si>
  <si>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</si>
  <si>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</si>
  <si>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</si>
  <si>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</si>
  <si>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</si>
  <si>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</si>
  <si>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</si>
  <si>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</si>
  <si>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</si>
  <si>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</si>
  <si>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</si>
  <si>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</si>
  <si>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</si>
  <si>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</si>
  <si>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</si>
  <si>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</si>
  <si>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</si>
  <si>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</si>
  <si>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</si>
  <si>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</si>
  <si>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</si>
  <si>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</si>
  <si>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</si>
  <si>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</si>
  <si>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</si>
  <si>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</si>
  <si>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</si>
  <si>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</si>
  <si>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</si>
  <si>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</si>
  <si>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</si>
  <si>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</si>
  <si>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</si>
  <si>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</si>
  <si>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</si>
  <si>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</si>
  <si>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</si>
  <si>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</si>
  <si>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</si>
  <si>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</si>
  <si>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</si>
  <si>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</si>
  <si>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</si>
  <si>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</si>
  <si>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</si>
  <si>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</si>
  <si>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</si>
  <si>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</si>
  <si>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</si>
  <si>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</si>
  <si>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</si>
  <si>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</si>
  <si>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</si>
  <si>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</si>
  <si>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</si>
  <si>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</si>
  <si>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</si>
  <si>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</si>
  <si>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</si>
  <si>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</si>
  <si>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</si>
  <si>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</si>
  <si>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</si>
  <si>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</si>
  <si>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</si>
  <si>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</si>
  <si>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</si>
  <si>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</si>
  <si>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</si>
  <si>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</si>
  <si>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</si>
  <si>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</si>
  <si>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</si>
  <si>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</si>
  <si>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</si>
  <si>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</si>
  <si>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</si>
  <si>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</si>
  <si>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</si>
  <si>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</si>
  <si>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</si>
  <si>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</si>
  <si>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</si>
  <si>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</si>
  <si>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</si>
  <si>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</si>
  <si>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</si>
  <si>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</si>
  <si>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</si>
  <si>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</si>
  <si>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</si>
  <si>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</si>
  <si>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</si>
  <si>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</si>
  <si>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</si>
  <si>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</si>
  <si>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</si>
  <si>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</si>
  <si>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</si>
  <si>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</si>
  <si>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</si>
  <si>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</si>
  <si>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</si>
  <si>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</si>
  <si>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</si>
  <si>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</si>
  <si>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</si>
  <si>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</si>
  <si>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</si>
  <si>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</si>
  <si>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</si>
  <si>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</si>
  <si>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</si>
  <si>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</si>
  <si>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</si>
  <si>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</si>
  <si>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</si>
  <si>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</si>
  <si>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</si>
  <si>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</si>
  <si>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</si>
  <si>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</si>
  <si>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</si>
  <si>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</si>
  <si>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</si>
  <si>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</si>
  <si>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</si>
  <si>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</si>
  <si>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</si>
  <si>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</si>
  <si>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</si>
  <si>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</si>
  <si>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</si>
  <si>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</si>
  <si>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</si>
  <si>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</si>
  <si>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</si>
  <si>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</si>
  <si>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</si>
  <si>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</si>
  <si>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</si>
  <si>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</si>
  <si>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</si>
  <si>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</si>
  <si>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</si>
  <si>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</si>
  <si>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</si>
  <si>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</si>
  <si>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</si>
  <si>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</si>
  <si>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</si>
  <si>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</si>
  <si>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</si>
  <si>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</si>
  <si>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</si>
  <si>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</si>
  <si>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</si>
  <si>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</si>
  <si>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</si>
  <si>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</si>
  <si>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</si>
  <si>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</si>
  <si>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</si>
  <si>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</si>
  <si>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</si>
  <si>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</si>
  <si>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</si>
  <si>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</si>
  <si>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</si>
  <si>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</si>
  <si>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</si>
  <si>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</si>
  <si>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</si>
  <si>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</si>
  <si>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</si>
  <si>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</si>
  <si>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</si>
  <si>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</si>
  <si>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</si>
  <si>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</si>
  <si>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</si>
  <si>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</si>
  <si>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</si>
  <si>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</si>
  <si>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</si>
  <si>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</si>
  <si>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</si>
  <si>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</si>
  <si>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</si>
  <si>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</si>
  <si>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</si>
  <si>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</si>
  <si>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</si>
  <si>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</si>
  <si>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</si>
  <si>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</si>
  <si>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</si>
  <si>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</si>
  <si>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</si>
  <si>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</si>
  <si>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</si>
  <si>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</si>
  <si>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</si>
  <si>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</si>
  <si>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</si>
  <si>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</si>
  <si>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</si>
  <si>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</si>
  <si>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</si>
  <si>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</si>
  <si>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</si>
  <si>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</si>
  <si>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</si>
  <si>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</si>
  <si>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</si>
  <si>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</si>
  <si>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</si>
  <si>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</si>
  <si>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</si>
  <si>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</si>
  <si>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</si>
  <si>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</si>
  <si>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</si>
  <si>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</si>
  <si>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</si>
  <si>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</si>
  <si>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</si>
  <si>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</si>
  <si>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</si>
  <si>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</si>
  <si>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</si>
  <si>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</si>
  <si>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</si>
  <si>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</si>
  <si>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</si>
  <si>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</si>
  <si>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</si>
  <si>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</si>
  <si>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</si>
  <si>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</si>
  <si>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</si>
  <si>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</si>
  <si>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</si>
  <si>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</si>
  <si>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</si>
  <si>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</si>
  <si>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</si>
  <si>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</si>
  <si>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</si>
  <si>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</si>
  <si>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</si>
  <si>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</si>
  <si>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</si>
  <si>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</si>
  <si>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</si>
  <si>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</si>
  <si>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</si>
  <si>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</si>
  <si>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</si>
  <si>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</si>
  <si>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</si>
  <si>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</si>
  <si>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</si>
  <si>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</si>
  <si>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</si>
  <si>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</si>
  <si>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</si>
  <si>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</si>
  <si>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</si>
  <si>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</si>
  <si>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</si>
  <si>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</si>
  <si>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</si>
  <si>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</si>
  <si>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</si>
  <si>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</si>
  <si>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</si>
  <si>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</si>
  <si>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</si>
  <si>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</si>
  <si>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</si>
  <si>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</si>
  <si>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</si>
  <si>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</si>
  <si>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</si>
  <si>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</si>
  <si>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</si>
  <si>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</si>
  <si>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</si>
  <si>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</si>
  <si>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</si>
  <si>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</si>
  <si>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</si>
  <si>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</si>
  <si>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</si>
  <si>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</si>
  <si>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</si>
  <si>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</si>
  <si>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</si>
  <si>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</si>
  <si>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</si>
  <si>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</si>
  <si>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</si>
  <si>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</si>
  <si>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</si>
  <si>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</si>
  <si>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</si>
  <si>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</si>
  <si>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</si>
  <si>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</si>
  <si>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</si>
  <si>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</si>
  <si>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</si>
  <si>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</si>
  <si>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</si>
  <si>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</si>
  <si>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</si>
  <si>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</si>
  <si>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</si>
  <si>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</si>
  <si>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</si>
  <si>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</si>
  <si>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</si>
  <si>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</si>
  <si>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</si>
  <si>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</si>
  <si>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</si>
  <si>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</si>
  <si>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</si>
  <si>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</si>
  <si>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</si>
  <si>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</si>
  <si>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</si>
  <si>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</si>
  <si>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</si>
  <si>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</si>
  <si>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Kankakee</t>
  </si>
  <si>
    <t>Jodi Gill</t>
  </si>
  <si>
    <t>Jodi K. Gill, CPA</t>
  </si>
  <si>
    <t>281 John Casey Road</t>
  </si>
  <si>
    <t>33 N. Main Street, Ste. #1</t>
  </si>
  <si>
    <t>Il</t>
  </si>
  <si>
    <t>Bourbonnais</t>
  </si>
  <si>
    <t>Manteno</t>
  </si>
  <si>
    <t>crawfordd@besd53.org</t>
  </si>
  <si>
    <t>815-468-88802</t>
  </si>
  <si>
    <t>815-468-8805</t>
  </si>
  <si>
    <t>jodi@jodigillcpa.com</t>
  </si>
  <si>
    <t>Margaret Longo</t>
  </si>
  <si>
    <t>815-929-5100</t>
  </si>
  <si>
    <t>815-939-0481</t>
  </si>
  <si>
    <t>Schol Bonds</t>
  </si>
  <si>
    <t>School Bonds</t>
  </si>
  <si>
    <t>Working Cash Bonds</t>
  </si>
  <si>
    <t>U.S. DEPARTMENT OF EDUCATION THRU ISBE:</t>
  </si>
  <si>
    <t>84.010a</t>
  </si>
  <si>
    <t>FY 2018-4300</t>
  </si>
  <si>
    <t>FY 2019-4300</t>
  </si>
  <si>
    <t xml:space="preserve">     Title II - Teacher Quality</t>
  </si>
  <si>
    <t>84.367A</t>
  </si>
  <si>
    <t>FY 2018-4932</t>
  </si>
  <si>
    <t>FY 2019-4932</t>
  </si>
  <si>
    <t xml:space="preserve">     Title IVA-Student Support &amp; Academic Enrich.</t>
  </si>
  <si>
    <t>84.424A</t>
  </si>
  <si>
    <t>FY 2019-4400</t>
  </si>
  <si>
    <t>FY 2018-4400</t>
  </si>
  <si>
    <t xml:space="preserve">     Fed. Spec. Ed.-Pre-School Flow Thru</t>
  </si>
  <si>
    <t>84.173A</t>
  </si>
  <si>
    <t>FY 2019-4600</t>
  </si>
  <si>
    <t>FY 2018-4600</t>
  </si>
  <si>
    <t xml:space="preserve">     Fed. Spec. Ed. - IDEA Flow Thru</t>
  </si>
  <si>
    <t>84.027A</t>
  </si>
  <si>
    <t>FY 2019-4620</t>
  </si>
  <si>
    <t>FY 2018-4620</t>
  </si>
  <si>
    <t>84.010A</t>
  </si>
  <si>
    <t>FY 2019-4331</t>
  </si>
  <si>
    <t>DEPARTMENT OF AGRICULTURE:</t>
  </si>
  <si>
    <t xml:space="preserve">     National School Lunch </t>
  </si>
  <si>
    <t xml:space="preserve">     School Breakfast</t>
  </si>
  <si>
    <t xml:space="preserve">     Fresh Fruits &amp; Vegetables</t>
  </si>
  <si>
    <t xml:space="preserve">     Food Commodities Program</t>
  </si>
  <si>
    <t>TOTAL U.S DEPARTMENT OF EDUCATION</t>
  </si>
  <si>
    <t>TOTAL U.S DEPARTMENT OF AGRICULTURE</t>
  </si>
  <si>
    <t>FY 2019-4210</t>
  </si>
  <si>
    <t>FY 2018-4210</t>
  </si>
  <si>
    <t>FY 2019-4220</t>
  </si>
  <si>
    <t>FY 2018-4220</t>
  </si>
  <si>
    <t>U.S. DEPARTMENT OF HEALTH &amp; HUMAN SERVICES:</t>
  </si>
  <si>
    <t xml:space="preserve">     Medicaid</t>
  </si>
  <si>
    <t>TOTAL U.S DEPT. HHS</t>
  </si>
  <si>
    <t>TOTALS</t>
  </si>
  <si>
    <t xml:space="preserve">     Title I - Low Income (M)</t>
  </si>
  <si>
    <t xml:space="preserve">     Title IVA-Student Support &amp; Academic Enrich. (M)</t>
  </si>
  <si>
    <t>The accompanying Schedule of Expenditures of Federal Awards includes the federal grant activity of Bourbonnais Elementary SD #53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</si>
  <si>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</si>
  <si>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N/A</t>
  </si>
  <si>
    <t>Unmodified</t>
  </si>
  <si>
    <t>84.424a</t>
  </si>
  <si>
    <t>Titl IVA - Student Support &amp; Academic Enrichment</t>
  </si>
  <si>
    <t>Title I  - Low Income/School Imo. &amp; Accountability</t>
  </si>
  <si>
    <t xml:space="preserve">     Fed. Spec. Ed. - IDEA Flow Thru </t>
  </si>
  <si>
    <t xml:space="preserve">     Title I - School Imp. &amp; Accountability - (M)</t>
  </si>
  <si>
    <t xml:space="preserve">     Title I - Low Income  - (M)</t>
  </si>
  <si>
    <t>NONE</t>
  </si>
  <si>
    <t>ED-Instruction-Purchased Services</t>
  </si>
  <si>
    <t xml:space="preserve">Proven Business Systems </t>
  </si>
  <si>
    <t>ED-Central-Purhased Services</t>
  </si>
  <si>
    <t>Skyward</t>
  </si>
  <si>
    <t>JourneyEd</t>
  </si>
  <si>
    <t>Tyler Technologies</t>
  </si>
  <si>
    <t>Raptorware</t>
  </si>
  <si>
    <t>Tools4Ever</t>
  </si>
  <si>
    <t>CNG</t>
  </si>
  <si>
    <t>Vmware</t>
  </si>
  <si>
    <t>CDW-G</t>
  </si>
  <si>
    <t>Amazon</t>
  </si>
  <si>
    <t>GoDaddy</t>
  </si>
  <si>
    <t>Thompson Electronics</t>
  </si>
  <si>
    <t>CIPAFilter</t>
  </si>
  <si>
    <t>Thor Guard renewal</t>
  </si>
  <si>
    <t>Follett Software</t>
  </si>
  <si>
    <t>ClassLink annual subscription</t>
  </si>
  <si>
    <t>Virtual Computing Systems, Inc</t>
  </si>
  <si>
    <t>NWEA (MAP)</t>
  </si>
  <si>
    <t>M Class (Dibels)</t>
  </si>
  <si>
    <t>Kathy Greene gifted consultant</t>
  </si>
  <si>
    <t>ALICE Training contract</t>
  </si>
  <si>
    <t>EasyIEP</t>
  </si>
  <si>
    <t>Riverside Audiology</t>
  </si>
  <si>
    <t>Over The Moon Pediatric Therapy Co</t>
  </si>
  <si>
    <t>O&amp;M-Business-Purchased Services</t>
  </si>
  <si>
    <t>Johnson Controls</t>
  </si>
  <si>
    <t>Aramark</t>
  </si>
  <si>
    <t>Cogent Communications</t>
  </si>
  <si>
    <t>Verizon Wireless</t>
  </si>
  <si>
    <t>Rid All Pest Control</t>
  </si>
  <si>
    <t>ED-Instructional Staff-Purchased Services</t>
  </si>
  <si>
    <t>ED-General Administration Services-Purchased Servies</t>
  </si>
  <si>
    <t>ED-Pupils-Purchased Services</t>
  </si>
  <si>
    <t>10-2630-300</t>
  </si>
  <si>
    <t>10-2620-300</t>
  </si>
  <si>
    <t>10-2200-300</t>
  </si>
  <si>
    <t>10-2300-300</t>
  </si>
  <si>
    <t>10-2100-300</t>
  </si>
  <si>
    <t>10-1000-300</t>
  </si>
  <si>
    <t>20-2540-300</t>
  </si>
  <si>
    <t>20-2560-300</t>
  </si>
  <si>
    <t>Bourbonnais SD 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</si>
</sst>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medium">
        <color indexed="64"/>
      </bottom>
      <diagonal/>
    </border>
    <border>
      <left style="thin">
        <color indexed="55"/>
      </left>
      <right style="thin">
        <color indexed="55"/>
      </right>
      <top style="medium">
        <color indexed="64"/>
      </top>
      <bottom style="medium">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 fontId="64"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indent="3"/>
      <protection locked="0"/>
    </xf>
    <xf numFmtId="3" fontId="62" fillId="0" borderId="165"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vertical="center" wrapText="1"/>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14" fontId="57" fillId="0" borderId="0" xfId="3" applyNumberFormat="1" applyFont="1" applyBorder="1" applyProtection="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64943</xdr:colOff>
          <xdr:row>1</xdr:row>
          <xdr:rowOff>106506</xdr:rowOff>
        </xdr:from>
        <xdr:to>
          <xdr:col>1</xdr:col>
          <xdr:colOff>979343</xdr:colOff>
          <xdr:row>5</xdr:row>
          <xdr:rowOff>147204</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1</xdr:row>
          <xdr:rowOff>116898</xdr:rowOff>
        </xdr:from>
        <xdr:to>
          <xdr:col>1</xdr:col>
          <xdr:colOff>2038350</xdr:colOff>
          <xdr:row>5</xdr:row>
          <xdr:rowOff>157596</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2162175</xdr:colOff>
          <xdr:row>1</xdr:row>
          <xdr:rowOff>109104</xdr:rowOff>
        </xdr:from>
        <xdr:to>
          <xdr:col>1</xdr:col>
          <xdr:colOff>3076575</xdr:colOff>
          <xdr:row>5</xdr:row>
          <xdr:rowOff>149802</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1979</v>
      </c>
      <c r="B1" s="45"/>
      <c r="C1" s="45"/>
      <c r="D1" s="46"/>
      <c r="I1" s="2022" t="s">
        <v>405</v>
      </c>
      <c r="J1" s="2023"/>
      <c r="K1" s="2023"/>
      <c r="L1" s="2023"/>
      <c r="M1" s="2023"/>
      <c r="N1" s="2023"/>
      <c r="O1" s="2023"/>
      <c r="P1" s="2023"/>
      <c r="Q1" s="2023"/>
      <c r="R1" s="2023"/>
      <c r="S1" s="2023"/>
    </row>
    <row r="2" spans="1:28" ht="12" customHeight="1" x14ac:dyDescent="0.2">
      <c r="A2" s="47" t="s">
        <v>1980</v>
      </c>
      <c r="D2" s="48"/>
      <c r="I2" s="2024" t="s">
        <v>979</v>
      </c>
      <c r="J2" s="2023"/>
      <c r="K2" s="2023"/>
      <c r="L2" s="2023"/>
      <c r="M2" s="2023"/>
      <c r="N2" s="2023"/>
      <c r="O2" s="2023"/>
      <c r="P2" s="2023"/>
      <c r="Q2" s="2023"/>
      <c r="R2" s="2023"/>
      <c r="S2" s="2023"/>
    </row>
    <row r="3" spans="1:28" ht="12" customHeight="1" x14ac:dyDescent="0.2">
      <c r="A3" s="155" t="s">
        <v>1932</v>
      </c>
      <c r="B3" s="156"/>
      <c r="C3" s="156"/>
      <c r="D3" s="157"/>
      <c r="I3" s="2024" t="s">
        <v>52</v>
      </c>
      <c r="J3" s="2023"/>
      <c r="K3" s="2023"/>
      <c r="L3" s="2023"/>
      <c r="M3" s="2023"/>
      <c r="N3" s="2023"/>
      <c r="O3" s="2023"/>
      <c r="P3" s="2023"/>
      <c r="Q3" s="2023"/>
      <c r="R3" s="2023"/>
      <c r="S3" s="2023"/>
    </row>
    <row r="4" spans="1:28" ht="12" customHeight="1" x14ac:dyDescent="0.2">
      <c r="A4" s="37"/>
      <c r="I4" s="2024" t="s">
        <v>524</v>
      </c>
      <c r="J4" s="2023"/>
      <c r="K4" s="2023"/>
      <c r="L4" s="2023"/>
      <c r="M4" s="2023"/>
      <c r="N4" s="2023"/>
      <c r="O4" s="2023"/>
      <c r="P4" s="2023"/>
      <c r="Q4" s="2023"/>
      <c r="R4" s="2023"/>
      <c r="S4" s="2023"/>
    </row>
    <row r="5" spans="1:28" ht="14.1" customHeight="1" x14ac:dyDescent="0.2">
      <c r="B5" s="104" t="s">
        <v>2054</v>
      </c>
      <c r="C5" s="26" t="s">
        <v>910</v>
      </c>
      <c r="D5" s="84"/>
      <c r="E5" s="84"/>
      <c r="H5" s="38"/>
      <c r="I5" s="2031" t="s">
        <v>680</v>
      </c>
      <c r="J5" s="1976"/>
      <c r="K5" s="1976"/>
      <c r="L5" s="1976"/>
      <c r="M5" s="1976"/>
      <c r="N5" s="1976"/>
      <c r="O5" s="1976"/>
      <c r="P5" s="1976"/>
      <c r="Q5" s="1976"/>
      <c r="R5" s="1976"/>
      <c r="S5" s="1976"/>
    </row>
    <row r="6" spans="1:28" ht="14.1" customHeight="1" x14ac:dyDescent="0.2">
      <c r="B6" s="104"/>
      <c r="C6" s="26" t="s">
        <v>911</v>
      </c>
      <c r="D6" s="84"/>
      <c r="E6" s="84"/>
      <c r="I6" s="2030" t="s">
        <v>883</v>
      </c>
      <c r="J6" s="1976"/>
      <c r="K6" s="1976"/>
      <c r="L6" s="1976"/>
      <c r="M6" s="1976"/>
      <c r="N6" s="1976"/>
      <c r="O6" s="1976"/>
      <c r="P6" s="1976"/>
      <c r="Q6" s="1976"/>
      <c r="R6" s="1976"/>
      <c r="S6" s="1976"/>
    </row>
    <row r="7" spans="1:28" ht="12.2" customHeight="1" x14ac:dyDescent="0.2">
      <c r="I7" s="2025">
        <v>43646</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674</v>
      </c>
      <c r="J9" s="2028"/>
      <c r="K9" s="2028"/>
      <c r="L9" s="2028"/>
      <c r="M9" s="2028"/>
      <c r="N9" s="2028"/>
      <c r="O9" s="2028"/>
      <c r="P9" s="2028"/>
      <c r="Q9" s="2028"/>
      <c r="R9" s="2028"/>
      <c r="S9" s="2029"/>
      <c r="T9" s="1972" t="s">
        <v>533</v>
      </c>
      <c r="U9" s="1973"/>
      <c r="V9" s="1973"/>
      <c r="W9" s="1973"/>
      <c r="X9" s="1973"/>
      <c r="Y9" s="1973"/>
      <c r="Z9" s="1973"/>
      <c r="AA9" s="1974"/>
    </row>
    <row r="10" spans="1:28" ht="13.5" customHeight="1" x14ac:dyDescent="0.2">
      <c r="A10" s="1981" t="s">
        <v>675</v>
      </c>
      <c r="B10" s="1982"/>
      <c r="C10" s="1982"/>
      <c r="D10" s="1982"/>
      <c r="E10" s="1982"/>
      <c r="F10" s="1982"/>
      <c r="G10" s="1982"/>
      <c r="H10" s="1983"/>
      <c r="I10" s="29"/>
      <c r="J10" s="30"/>
      <c r="K10" s="28"/>
      <c r="R10" s="30"/>
      <c r="S10" s="30"/>
      <c r="T10" s="1975"/>
      <c r="U10" s="1976"/>
      <c r="V10" s="1976"/>
      <c r="W10" s="1976"/>
      <c r="X10" s="1976"/>
      <c r="Y10" s="1976"/>
      <c r="Z10" s="1976"/>
      <c r="AA10" s="1977"/>
    </row>
    <row r="11" spans="1:28" ht="14.25" customHeight="1" x14ac:dyDescent="0.2">
      <c r="A11" s="1984" t="s">
        <v>955</v>
      </c>
      <c r="B11" s="1985"/>
      <c r="C11" s="1985"/>
      <c r="D11" s="1985"/>
      <c r="E11" s="1985"/>
      <c r="F11" s="1985"/>
      <c r="G11" s="1985"/>
      <c r="H11" s="1986"/>
      <c r="I11" s="27"/>
      <c r="J11" s="74"/>
      <c r="K11" s="27"/>
      <c r="O11" s="148"/>
      <c r="P11" s="100" t="s">
        <v>201</v>
      </c>
      <c r="Q11" s="30"/>
      <c r="R11" s="28"/>
      <c r="S11" s="27"/>
      <c r="T11" s="1978"/>
      <c r="U11" s="1979"/>
      <c r="V11" s="1979"/>
      <c r="W11" s="1979"/>
      <c r="X11" s="1979"/>
      <c r="Y11" s="1979"/>
      <c r="Z11" s="1979"/>
      <c r="AA11" s="1980"/>
    </row>
    <row r="12" spans="1:28" ht="13.5" customHeight="1" x14ac:dyDescent="0.2">
      <c r="A12" s="85" t="s">
        <v>925</v>
      </c>
      <c r="B12" s="76"/>
      <c r="C12" s="76"/>
      <c r="D12" s="76"/>
      <c r="E12" s="76"/>
      <c r="F12" s="76"/>
      <c r="G12" s="76"/>
      <c r="H12" s="53"/>
      <c r="I12" s="29"/>
      <c r="J12" s="30"/>
      <c r="K12" s="28"/>
      <c r="O12" s="149" t="s">
        <v>2054</v>
      </c>
      <c r="P12" s="100" t="s">
        <v>202</v>
      </c>
      <c r="Q12" s="74"/>
      <c r="R12" s="30"/>
      <c r="S12" s="30"/>
      <c r="T12" s="85" t="s">
        <v>265</v>
      </c>
      <c r="U12" s="51"/>
      <c r="V12" s="51"/>
      <c r="W12" s="51"/>
      <c r="X12" s="51"/>
      <c r="Y12" s="45"/>
      <c r="Z12" s="45"/>
      <c r="AA12" s="46"/>
    </row>
    <row r="13" spans="1:28" ht="13.5" customHeight="1" x14ac:dyDescent="0.2">
      <c r="A13" s="1992">
        <v>32046053002</v>
      </c>
      <c r="B13" s="1993"/>
      <c r="C13" s="1993"/>
      <c r="D13" s="1993"/>
      <c r="E13" s="1993"/>
      <c r="F13" s="1993"/>
      <c r="G13" s="1993"/>
      <c r="H13" s="1994"/>
      <c r="I13" s="31"/>
      <c r="J13" s="30"/>
      <c r="K13" s="28"/>
      <c r="L13" s="30"/>
      <c r="M13" s="30"/>
      <c r="N13" s="30"/>
      <c r="O13" s="30"/>
      <c r="P13" s="30"/>
      <c r="Q13" s="30"/>
      <c r="R13" s="30"/>
      <c r="S13" s="30"/>
      <c r="T13" s="1997" t="s">
        <v>2057</v>
      </c>
      <c r="U13" s="1998"/>
      <c r="V13" s="1998"/>
      <c r="W13" s="1998"/>
      <c r="X13" s="1998"/>
      <c r="Y13" s="1999"/>
      <c r="Z13" s="1999"/>
      <c r="AA13" s="2000"/>
    </row>
    <row r="14" spans="1:28" ht="14.1" customHeight="1" x14ac:dyDescent="0.2">
      <c r="A14" s="85" t="s">
        <v>713</v>
      </c>
      <c r="B14" s="76"/>
      <c r="C14" s="76"/>
      <c r="D14" s="76"/>
      <c r="E14" s="76"/>
      <c r="F14" s="76"/>
      <c r="G14" s="76"/>
      <c r="H14" s="53"/>
      <c r="I14" s="116"/>
      <c r="S14" s="48"/>
      <c r="T14" s="85" t="s">
        <v>1328</v>
      </c>
      <c r="U14" s="51"/>
      <c r="V14" s="51"/>
      <c r="W14" s="51"/>
      <c r="X14" s="51"/>
      <c r="Y14" s="45"/>
      <c r="Z14" s="45"/>
      <c r="AA14" s="46"/>
    </row>
    <row r="15" spans="1:28" ht="13.5" customHeight="1" x14ac:dyDescent="0.2">
      <c r="A15" s="1990" t="s">
        <v>2055</v>
      </c>
      <c r="B15" s="1995"/>
      <c r="C15" s="1995"/>
      <c r="D15" s="1995"/>
      <c r="E15" s="1995"/>
      <c r="F15" s="1995"/>
      <c r="G15" s="1995"/>
      <c r="H15" s="1996"/>
      <c r="T15" s="1958" t="s">
        <v>2056</v>
      </c>
      <c r="U15" s="1959"/>
      <c r="V15" s="1959"/>
      <c r="W15" s="1959"/>
      <c r="X15" s="1959"/>
      <c r="Y15" s="2001"/>
      <c r="Z15" s="2001"/>
      <c r="AA15" s="200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0" t="s">
        <v>2166</v>
      </c>
      <c r="B17" s="2020"/>
      <c r="C17" s="2020"/>
      <c r="D17" s="2020"/>
      <c r="E17" s="2020"/>
      <c r="F17" s="2020"/>
      <c r="G17" s="2020"/>
      <c r="H17" s="2021"/>
      <c r="T17" s="2007" t="s">
        <v>2059</v>
      </c>
      <c r="U17" s="2008"/>
      <c r="V17" s="2008"/>
      <c r="W17" s="2008"/>
      <c r="X17" s="2008"/>
      <c r="Y17" s="2008"/>
      <c r="Z17" s="2008"/>
      <c r="AA17" s="2009"/>
    </row>
    <row r="18" spans="1:27" ht="13.5" customHeight="1" x14ac:dyDescent="0.2">
      <c r="A18" s="85" t="s">
        <v>530</v>
      </c>
      <c r="B18" s="76"/>
      <c r="C18" s="72"/>
      <c r="D18" s="76"/>
      <c r="E18" s="76"/>
      <c r="F18" s="76"/>
      <c r="G18" s="76"/>
      <c r="H18" s="56"/>
      <c r="I18" s="2017" t="s">
        <v>676</v>
      </c>
      <c r="J18" s="2018"/>
      <c r="K18" s="2018"/>
      <c r="L18" s="2018"/>
      <c r="M18" s="2018"/>
      <c r="N18" s="2018"/>
      <c r="O18" s="2018"/>
      <c r="P18" s="2018"/>
      <c r="Q18" s="2018"/>
      <c r="R18" s="2018"/>
      <c r="S18" s="2019"/>
      <c r="T18" s="85" t="s">
        <v>711</v>
      </c>
      <c r="U18" s="51"/>
      <c r="V18" s="72"/>
      <c r="W18" s="50"/>
      <c r="X18" s="85" t="s">
        <v>266</v>
      </c>
      <c r="Y18" s="81"/>
      <c r="Z18" s="159" t="s">
        <v>677</v>
      </c>
      <c r="AA18" s="46"/>
    </row>
    <row r="19" spans="1:27" ht="13.5" customHeight="1" x14ac:dyDescent="0.2">
      <c r="A19" s="1990" t="s">
        <v>2058</v>
      </c>
      <c r="B19" s="1991"/>
      <c r="C19" s="1991"/>
      <c r="D19" s="1991"/>
      <c r="E19" s="1991"/>
      <c r="F19" s="1991"/>
      <c r="G19" s="1991"/>
      <c r="H19" s="1989"/>
      <c r="I19" s="30"/>
      <c r="J19" s="99"/>
      <c r="K19" s="40"/>
      <c r="L19" s="38"/>
      <c r="M19" s="112" t="s">
        <v>315</v>
      </c>
      <c r="P19" s="27"/>
      <c r="Q19" s="27"/>
      <c r="R19" s="27"/>
      <c r="S19" s="31"/>
      <c r="T19" s="1990" t="s">
        <v>2062</v>
      </c>
      <c r="U19" s="1988"/>
      <c r="V19" s="1988"/>
      <c r="W19" s="1989"/>
      <c r="X19" s="2005" t="s">
        <v>2060</v>
      </c>
      <c r="Y19" s="2006"/>
      <c r="Z19" s="2003">
        <v>60950</v>
      </c>
      <c r="AA19" s="200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7" t="s">
        <v>2061</v>
      </c>
      <c r="B21" s="1988"/>
      <c r="C21" s="1988"/>
      <c r="D21" s="1988"/>
      <c r="E21" s="1988"/>
      <c r="F21" s="1988"/>
      <c r="G21" s="1988"/>
      <c r="H21" s="1989"/>
      <c r="I21" s="2013" t="s">
        <v>678</v>
      </c>
      <c r="J21" s="1976"/>
      <c r="K21" s="1976"/>
      <c r="L21" s="1976"/>
      <c r="M21" s="1976"/>
      <c r="N21" s="1976"/>
      <c r="O21" s="1976"/>
      <c r="P21" s="1976"/>
      <c r="Q21" s="1976"/>
      <c r="R21" s="1976"/>
      <c r="S21" s="1977"/>
      <c r="T21" s="1955" t="s">
        <v>2064</v>
      </c>
      <c r="U21" s="1956"/>
      <c r="V21" s="1956"/>
      <c r="W21" s="1956"/>
      <c r="X21" s="1969" t="s">
        <v>2065</v>
      </c>
      <c r="Y21" s="1970"/>
      <c r="Z21" s="1970"/>
      <c r="AA21" s="1971"/>
    </row>
    <row r="22" spans="1:27" ht="13.5" customHeight="1" x14ac:dyDescent="0.2">
      <c r="A22" s="87" t="s">
        <v>531</v>
      </c>
      <c r="B22" s="59"/>
      <c r="C22" s="59"/>
      <c r="D22" s="59"/>
      <c r="E22" s="59"/>
      <c r="F22" s="59"/>
      <c r="G22" s="59"/>
      <c r="H22" s="60"/>
      <c r="I22" s="2014" t="s">
        <v>1428</v>
      </c>
      <c r="J22" s="2015"/>
      <c r="K22" s="2015"/>
      <c r="L22" s="2015"/>
      <c r="M22" s="2015"/>
      <c r="N22" s="2015"/>
      <c r="O22" s="2015"/>
      <c r="P22" s="2015"/>
      <c r="Q22" s="2015"/>
      <c r="R22" s="2015"/>
      <c r="S22" s="2016"/>
      <c r="T22" s="85" t="s">
        <v>1515</v>
      </c>
      <c r="U22" s="51"/>
      <c r="V22" s="72"/>
      <c r="W22" s="51"/>
      <c r="X22" s="160" t="s">
        <v>1317</v>
      </c>
      <c r="Z22" s="45"/>
      <c r="AA22" s="46"/>
    </row>
    <row r="23" spans="1:27" ht="13.5" customHeight="1" x14ac:dyDescent="0.2">
      <c r="A23" s="2010" t="s">
        <v>2063</v>
      </c>
      <c r="B23" s="2011"/>
      <c r="C23" s="2011"/>
      <c r="D23" s="2011"/>
      <c r="E23" s="2011"/>
      <c r="F23" s="2011"/>
      <c r="G23" s="2011"/>
      <c r="H23" s="2012"/>
      <c r="T23" s="1950">
        <v>65.023278000000005</v>
      </c>
      <c r="U23" s="1951"/>
      <c r="V23" s="1951"/>
      <c r="W23" s="1951"/>
      <c r="X23" s="1966">
        <v>44469</v>
      </c>
      <c r="Y23" s="1967"/>
      <c r="Z23" s="1967"/>
      <c r="AA23" s="1968"/>
    </row>
    <row r="24" spans="1:27" ht="14.1" customHeight="1" x14ac:dyDescent="0.2">
      <c r="A24" s="88" t="s">
        <v>677</v>
      </c>
      <c r="B24" s="49"/>
      <c r="C24" s="49"/>
      <c r="D24" s="49"/>
      <c r="E24" s="49"/>
      <c r="F24" s="49"/>
      <c r="G24" s="49"/>
      <c r="H24" s="61"/>
      <c r="J24" s="2052">
        <f>IF(B5="x",IF(AUDITCHECK!D29="AFR form Incomplete.","",IF(AUDITCHECK!D29="Deficit reduction plan is required.","School District must complete a deficit reduction plan in the 2019-2020 Budget",)),"")</f>
        <v>0</v>
      </c>
      <c r="K24" s="2052"/>
      <c r="L24" s="2052"/>
      <c r="M24" s="2052"/>
      <c r="N24" s="2052"/>
      <c r="O24" s="2052"/>
      <c r="P24" s="2052"/>
      <c r="Q24" s="2052"/>
      <c r="R24" s="2052"/>
      <c r="S24" s="2053"/>
      <c r="T24" s="105" t="s">
        <v>531</v>
      </c>
      <c r="U24" s="106"/>
      <c r="V24" s="106"/>
      <c r="W24" s="106"/>
      <c r="X24" s="107"/>
      <c r="Y24" s="107"/>
      <c r="Z24" s="107"/>
      <c r="AA24" s="108"/>
    </row>
    <row r="25" spans="1:27" ht="14.1" customHeight="1" x14ac:dyDescent="0.2">
      <c r="A25" s="1987">
        <v>60914</v>
      </c>
      <c r="B25" s="1988"/>
      <c r="C25" s="1988"/>
      <c r="D25" s="1988"/>
      <c r="E25" s="1988"/>
      <c r="F25" s="1988"/>
      <c r="G25" s="1988"/>
      <c r="H25" s="1989"/>
      <c r="I25" s="113"/>
      <c r="J25" s="2054"/>
      <c r="K25" s="2054"/>
      <c r="L25" s="2054"/>
      <c r="M25" s="2054"/>
      <c r="N25" s="2054"/>
      <c r="O25" s="2054"/>
      <c r="P25" s="2054"/>
      <c r="Q25" s="2054"/>
      <c r="R25" s="2054"/>
      <c r="S25" s="2055"/>
      <c r="T25" s="1947" t="s">
        <v>2066</v>
      </c>
      <c r="U25" s="1948"/>
      <c r="V25" s="1948"/>
      <c r="W25" s="1948"/>
      <c r="X25" s="1948"/>
      <c r="Y25" s="1948"/>
      <c r="Z25" s="1948"/>
      <c r="AA25" s="19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5" t="s">
        <v>1510</v>
      </c>
      <c r="J27" s="2018"/>
      <c r="K27" s="2018"/>
      <c r="L27" s="2018"/>
      <c r="M27" s="2018"/>
      <c r="N27" s="2018"/>
      <c r="O27" s="2018"/>
      <c r="P27" s="2018"/>
      <c r="Q27" s="2018"/>
      <c r="R27" s="2018"/>
      <c r="S27" s="201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2054</v>
      </c>
      <c r="F29" s="141" t="s">
        <v>1315</v>
      </c>
      <c r="G29" s="114"/>
      <c r="I29" s="54"/>
      <c r="J29" s="148" t="s">
        <v>2054</v>
      </c>
      <c r="K29" s="28" t="s">
        <v>576</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2054</v>
      </c>
      <c r="K30" s="28" t="s">
        <v>576</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2054</v>
      </c>
      <c r="M31" s="40" t="s">
        <v>99</v>
      </c>
      <c r="N31" s="32" t="s">
        <v>1596</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1"/>
      <c r="Q35" s="1988"/>
      <c r="R35" s="198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0" t="s">
        <v>2067</v>
      </c>
      <c r="B38" s="2020"/>
      <c r="C38" s="2020"/>
      <c r="D38" s="2020"/>
      <c r="E38" s="2020"/>
      <c r="F38" s="1988"/>
      <c r="G38" s="1988"/>
      <c r="H38" s="1989"/>
      <c r="I38" s="2039"/>
      <c r="J38" s="1959"/>
      <c r="K38" s="1959"/>
      <c r="L38" s="1959"/>
      <c r="M38" s="1959"/>
      <c r="N38" s="1959"/>
      <c r="O38" s="1959"/>
      <c r="P38" s="1960"/>
      <c r="Q38" s="1960"/>
      <c r="R38" s="1960"/>
      <c r="S38" s="1961"/>
      <c r="T38" s="1958"/>
      <c r="U38" s="1959"/>
      <c r="V38" s="1959"/>
      <c r="W38" s="1959"/>
      <c r="X38" s="1960"/>
      <c r="Y38" s="1960"/>
      <c r="Z38" s="1960"/>
      <c r="AA38" s="1961"/>
    </row>
    <row r="39" spans="1:27" ht="12" customHeight="1" x14ac:dyDescent="0.2">
      <c r="A39" s="2043" t="s">
        <v>531</v>
      </c>
      <c r="B39" s="2044"/>
      <c r="C39" s="72"/>
      <c r="D39" s="69"/>
      <c r="E39" s="69"/>
      <c r="F39" s="79"/>
      <c r="G39" s="69"/>
      <c r="H39" s="56"/>
      <c r="I39" s="2043" t="s">
        <v>531</v>
      </c>
      <c r="J39" s="2044"/>
      <c r="K39" s="2044"/>
      <c r="L39" s="2044"/>
      <c r="M39" s="2044"/>
      <c r="N39" s="67"/>
      <c r="O39" s="72"/>
      <c r="P39" s="72"/>
      <c r="Q39" s="78"/>
      <c r="R39" s="72"/>
      <c r="S39" s="56"/>
      <c r="T39" s="72" t="s">
        <v>531</v>
      </c>
      <c r="U39" s="51"/>
      <c r="V39" s="72"/>
      <c r="W39" s="50"/>
      <c r="X39" s="78"/>
      <c r="Y39" s="45"/>
      <c r="Z39" s="45"/>
      <c r="AA39" s="46"/>
    </row>
    <row r="40" spans="1:27" ht="13.5" customHeight="1" x14ac:dyDescent="0.2">
      <c r="A40" s="2046"/>
      <c r="B40" s="2047"/>
      <c r="C40" s="2048"/>
      <c r="D40" s="2048"/>
      <c r="E40" s="2048"/>
      <c r="F40" s="2049"/>
      <c r="G40" s="2049"/>
      <c r="H40" s="2050"/>
      <c r="I40" s="1962"/>
      <c r="J40" s="1964"/>
      <c r="K40" s="1964"/>
      <c r="L40" s="1964"/>
      <c r="M40" s="1964"/>
      <c r="N40" s="1964"/>
      <c r="O40" s="1964"/>
      <c r="P40" s="1964"/>
      <c r="Q40" s="1964"/>
      <c r="R40" s="1964"/>
      <c r="S40" s="1965"/>
      <c r="T40" s="1962"/>
      <c r="U40" s="1963"/>
      <c r="V40" s="1964"/>
      <c r="W40" s="1964"/>
      <c r="X40" s="1964"/>
      <c r="Y40" s="1964"/>
      <c r="Z40" s="1964"/>
      <c r="AA40" s="196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6" t="s">
        <v>2068</v>
      </c>
      <c r="B42" s="2037"/>
      <c r="C42" s="2038"/>
      <c r="D42" s="2051" t="s">
        <v>2069</v>
      </c>
      <c r="E42" s="2037"/>
      <c r="F42" s="2037"/>
      <c r="G42" s="2037"/>
      <c r="H42" s="2038"/>
      <c r="I42" s="1957"/>
      <c r="J42" s="1953"/>
      <c r="K42" s="1953"/>
      <c r="L42" s="1953"/>
      <c r="M42" s="1953"/>
      <c r="N42" s="1953"/>
      <c r="O42" s="1954"/>
      <c r="P42" s="1952"/>
      <c r="Q42" s="1953"/>
      <c r="R42" s="1953"/>
      <c r="S42" s="1954"/>
      <c r="T42" s="1957"/>
      <c r="U42" s="1953"/>
      <c r="V42" s="1953"/>
      <c r="W42" s="1954"/>
      <c r="X42" s="1952"/>
      <c r="Y42" s="1953"/>
      <c r="Z42" s="1953"/>
      <c r="AA42" s="195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0"/>
      <c r="B44" s="2041"/>
      <c r="C44" s="2041"/>
      <c r="D44" s="2041"/>
      <c r="E44" s="2041"/>
      <c r="F44" s="2041"/>
      <c r="G44" s="2041"/>
      <c r="H44" s="2042"/>
      <c r="I44" s="2032"/>
      <c r="J44" s="2034"/>
      <c r="K44" s="2034"/>
      <c r="L44" s="2034"/>
      <c r="M44" s="2034"/>
      <c r="N44" s="2034"/>
      <c r="O44" s="2034"/>
      <c r="P44" s="2034"/>
      <c r="Q44" s="2034"/>
      <c r="R44" s="2034"/>
      <c r="S44" s="2035"/>
      <c r="T44" s="2032"/>
      <c r="U44" s="2033"/>
      <c r="V44" s="2033"/>
      <c r="W44" s="2033"/>
      <c r="X44" s="2033"/>
      <c r="Y44" s="2033"/>
      <c r="Z44" s="2034"/>
      <c r="AA44" s="2035"/>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1931</v>
      </c>
      <c r="D46" s="41"/>
      <c r="E46" s="41"/>
      <c r="F46" s="41"/>
      <c r="G46" s="41"/>
      <c r="Q46" s="29" t="s">
        <v>1419</v>
      </c>
      <c r="R46" s="41"/>
      <c r="S46" s="41"/>
      <c r="T46" s="41"/>
      <c r="U46" s="41"/>
      <c r="V46" s="41"/>
      <c r="W46" s="41"/>
      <c r="X46" s="41"/>
      <c r="Y46" s="41"/>
      <c r="Z46" s="41"/>
      <c r="AA46" s="41"/>
    </row>
    <row r="47" spans="1:27" x14ac:dyDescent="0.2">
      <c r="A47" s="137"/>
      <c r="Q47" s="41" t="s">
        <v>1914</v>
      </c>
      <c r="R47" s="41"/>
      <c r="S47" s="41"/>
      <c r="T47" s="41"/>
      <c r="U47" s="41"/>
      <c r="V47" s="41"/>
      <c r="W47" s="41"/>
      <c r="X47" s="41"/>
      <c r="Y47" s="41"/>
      <c r="Z47" s="41"/>
      <c r="AA47" s="41"/>
    </row>
    <row r="48" spans="1:27" x14ac:dyDescent="0.2">
      <c r="Q48" s="41" t="s">
        <v>1915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9" t="s">
        <v>1792</v>
      </c>
      <c r="B2" s="1528" t="s">
        <v>1938</v>
      </c>
      <c r="C2" s="714" t="s">
        <v>1939</v>
      </c>
      <c r="D2" s="714" t="s">
        <v>1940</v>
      </c>
      <c r="E2" s="714" t="s">
        <v>1941</v>
      </c>
      <c r="F2" s="714" t="s">
        <v>1942</v>
      </c>
    </row>
    <row r="3" spans="1:6" ht="12" customHeight="1" x14ac:dyDescent="0.2">
      <c r="A3" s="2190"/>
      <c r="B3" s="1525"/>
      <c r="C3" s="1526"/>
      <c r="D3" s="1527" t="s">
        <v>256</v>
      </c>
      <c r="E3" s="1526"/>
      <c r="F3" s="1527" t="s">
        <v>257</v>
      </c>
    </row>
    <row r="4" spans="1:6" ht="13.7" customHeight="1" x14ac:dyDescent="0.2">
      <c r="A4" s="715" t="s">
        <v>1155</v>
      </c>
      <c r="B4" s="1749">
        <f>'Revenues 9-14'!C5</f>
        <v>10014321</v>
      </c>
      <c r="C4" s="1524"/>
      <c r="D4" s="1752">
        <f>B4-C4</f>
        <v>10014321</v>
      </c>
      <c r="E4" s="1524">
        <v>10056868</v>
      </c>
      <c r="F4" s="1752">
        <f>E4-C4</f>
        <v>10056868</v>
      </c>
    </row>
    <row r="5" spans="1:6" ht="13.7" customHeight="1" x14ac:dyDescent="0.2">
      <c r="A5" s="715" t="s">
        <v>870</v>
      </c>
      <c r="B5" s="1750">
        <f>'Revenues 9-14'!D5</f>
        <v>2095972</v>
      </c>
      <c r="C5" s="585"/>
      <c r="D5" s="1753">
        <f t="shared" ref="D5:D18" si="0">B5-C5</f>
        <v>2095972</v>
      </c>
      <c r="E5" s="585">
        <v>2105190</v>
      </c>
      <c r="F5" s="1753">
        <f>E5-C5</f>
        <v>2105190</v>
      </c>
    </row>
    <row r="6" spans="1:6" ht="13.7" customHeight="1" x14ac:dyDescent="0.2">
      <c r="A6" s="715" t="s">
        <v>411</v>
      </c>
      <c r="B6" s="1750">
        <f>'Revenues 9-14'!E5</f>
        <v>1277386</v>
      </c>
      <c r="C6" s="585"/>
      <c r="D6" s="1753">
        <f t="shared" si="0"/>
        <v>1277386</v>
      </c>
      <c r="E6" s="585">
        <v>1266608</v>
      </c>
      <c r="F6" s="1753">
        <f t="shared" ref="F6:F18" si="1">E6-C6</f>
        <v>1266608</v>
      </c>
    </row>
    <row r="7" spans="1:6" ht="13.7" customHeight="1" x14ac:dyDescent="0.2">
      <c r="A7" s="715" t="s">
        <v>155</v>
      </c>
      <c r="B7" s="1750">
        <f>'Revenues 9-14'!F5</f>
        <v>593087</v>
      </c>
      <c r="C7" s="585"/>
      <c r="D7" s="1753">
        <f t="shared" si="0"/>
        <v>593087</v>
      </c>
      <c r="E7" s="585">
        <v>595743</v>
      </c>
      <c r="F7" s="1753">
        <f t="shared" si="1"/>
        <v>595743</v>
      </c>
    </row>
    <row r="8" spans="1:6" ht="13.7" customHeight="1" x14ac:dyDescent="0.2">
      <c r="A8" s="715" t="s">
        <v>1179</v>
      </c>
      <c r="B8" s="1750">
        <f>'Revenues 9-14'!G5</f>
        <v>426483</v>
      </c>
      <c r="C8" s="585"/>
      <c r="D8" s="1753">
        <f t="shared" si="0"/>
        <v>426483</v>
      </c>
      <c r="E8" s="585">
        <v>428463</v>
      </c>
      <c r="F8" s="1753">
        <f t="shared" si="1"/>
        <v>428463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103691</v>
      </c>
      <c r="C11" s="585"/>
      <c r="D11" s="1753">
        <f t="shared" si="0"/>
        <v>103691</v>
      </c>
      <c r="E11" s="585">
        <v>104386</v>
      </c>
      <c r="F11" s="1753">
        <f t="shared" si="1"/>
        <v>104386</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339924</v>
      </c>
      <c r="C16" s="585"/>
      <c r="D16" s="1753">
        <f t="shared" si="0"/>
        <v>339924</v>
      </c>
      <c r="E16" s="585">
        <v>341547</v>
      </c>
      <c r="F16" s="1753">
        <f t="shared" si="1"/>
        <v>341547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14850864</v>
      </c>
      <c r="C19" s="1751">
        <f>SUM(C4:C18)</f>
        <v>0</v>
      </c>
      <c r="D19" s="1751">
        <f>SUM(D4:D18)</f>
        <v>14850864</v>
      </c>
      <c r="E19" s="1751">
        <f>SUM(E4:E18)</f>
        <v>14898805</v>
      </c>
      <c r="F19" s="1751">
        <f>SUM(F4:F18)</f>
        <v>14898805</v>
      </c>
    </row>
    <row r="20" spans="1:6" ht="13.5" thickTop="1" x14ac:dyDescent="0.2">
      <c r="B20" s="713"/>
      <c r="F20" s="716"/>
    </row>
    <row r="21" spans="1:6" x14ac:dyDescent="0.2">
      <c r="A21" s="717" t="s">
        <v>1798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H33" sqref="H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629</v>
      </c>
      <c r="B1" s="2196"/>
      <c r="C1" s="721"/>
    </row>
    <row r="2" spans="1:7" ht="33.75" x14ac:dyDescent="0.2">
      <c r="A2" s="2204" t="s">
        <v>1792</v>
      </c>
      <c r="B2" s="2205"/>
      <c r="C2" s="1884" t="s">
        <v>1943</v>
      </c>
      <c r="D2" s="723" t="s">
        <v>1944</v>
      </c>
      <c r="E2" s="723" t="s">
        <v>1945</v>
      </c>
      <c r="F2" s="1884" t="s">
        <v>1946</v>
      </c>
    </row>
    <row r="3" spans="1:7" ht="15.75" customHeight="1" x14ac:dyDescent="0.2">
      <c r="A3" s="2208" t="s">
        <v>1114</v>
      </c>
      <c r="B3" s="2209"/>
      <c r="C3" s="2197"/>
      <c r="D3" s="2198"/>
      <c r="E3" s="2198"/>
      <c r="F3" s="2199"/>
    </row>
    <row r="4" spans="1:7" ht="12.75" customHeight="1" thickBot="1" x14ac:dyDescent="0.25">
      <c r="A4" s="2206" t="s">
        <v>630</v>
      </c>
      <c r="B4" s="2207"/>
      <c r="C4" s="581"/>
      <c r="D4" s="581"/>
      <c r="E4" s="581"/>
      <c r="F4" s="1755">
        <f>SUM(C4+D4)-E4</f>
        <v>0</v>
      </c>
    </row>
    <row r="5" spans="1:7" ht="15.75" customHeight="1" thickTop="1" x14ac:dyDescent="0.2">
      <c r="A5" s="2191" t="s">
        <v>1110</v>
      </c>
      <c r="B5" s="2192"/>
      <c r="C5" s="2200"/>
      <c r="D5" s="2201"/>
      <c r="E5" s="2201"/>
      <c r="F5" s="220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3" t="s">
        <v>1111</v>
      </c>
      <c r="B16" s="2192"/>
      <c r="C16" s="2200"/>
      <c r="D16" s="2201"/>
      <c r="E16" s="2201"/>
      <c r="F16" s="2202"/>
    </row>
    <row r="17" spans="1:11" ht="12.75" customHeight="1" thickBot="1" x14ac:dyDescent="0.25">
      <c r="A17" s="2216" t="s">
        <v>64</v>
      </c>
      <c r="B17" s="2217"/>
      <c r="C17" s="726"/>
      <c r="D17" s="585"/>
      <c r="E17" s="726"/>
      <c r="F17" s="1755">
        <f>SUM(C17+D17)-E17</f>
        <v>0</v>
      </c>
    </row>
    <row r="18" spans="1:11" ht="12.75" customHeight="1" thickTop="1" thickBot="1" x14ac:dyDescent="0.25">
      <c r="A18" s="2216" t="s">
        <v>6</v>
      </c>
      <c r="B18" s="2217"/>
      <c r="C18" s="726"/>
      <c r="D18" s="585"/>
      <c r="E18" s="726"/>
      <c r="F18" s="1755">
        <f>SUM(C18+D18)-E18</f>
        <v>0</v>
      </c>
    </row>
    <row r="19" spans="1:11" ht="12.75" customHeight="1" thickTop="1" thickBot="1" x14ac:dyDescent="0.25">
      <c r="A19" s="2216" t="s">
        <v>388</v>
      </c>
      <c r="B19" s="2217"/>
      <c r="C19" s="726"/>
      <c r="D19" s="585"/>
      <c r="E19" s="726"/>
      <c r="F19" s="1755">
        <f>SUM(C19+D19)-E19</f>
        <v>0</v>
      </c>
    </row>
    <row r="20" spans="1:11" ht="12.75" customHeight="1" thickTop="1" thickBot="1" x14ac:dyDescent="0.25">
      <c r="A20" s="2216" t="s">
        <v>448</v>
      </c>
      <c r="B20" s="2217"/>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218" t="s">
        <v>1112</v>
      </c>
      <c r="B22" s="2192"/>
      <c r="C22" s="2200"/>
      <c r="D22" s="2201"/>
      <c r="E22" s="2201"/>
      <c r="F22" s="2202"/>
    </row>
    <row r="23" spans="1:11" ht="13.5" thickBot="1" x14ac:dyDescent="0.25">
      <c r="A23" s="2206" t="s">
        <v>633</v>
      </c>
      <c r="B23" s="2207"/>
      <c r="C23" s="581"/>
      <c r="D23" s="581"/>
      <c r="E23" s="581"/>
      <c r="F23" s="1755">
        <f>SUM(C23+D23)-E23</f>
        <v>0</v>
      </c>
      <c r="G23" s="552"/>
    </row>
    <row r="24" spans="1:11" ht="15.75" customHeight="1" thickTop="1" x14ac:dyDescent="0.2">
      <c r="A24" s="2218" t="s">
        <v>1113</v>
      </c>
      <c r="B24" s="2192"/>
      <c r="C24" s="2200"/>
      <c r="D24" s="2201"/>
      <c r="E24" s="2201"/>
      <c r="F24" s="2202"/>
    </row>
    <row r="25" spans="1:11" ht="13.5" thickBot="1" x14ac:dyDescent="0.25">
      <c r="A25" s="2206" t="s">
        <v>634</v>
      </c>
      <c r="B25" s="2207"/>
      <c r="C25" s="581"/>
      <c r="D25" s="581"/>
      <c r="E25" s="581"/>
      <c r="F25" s="1755">
        <f>SUM(C25+D25)-E25</f>
        <v>0</v>
      </c>
      <c r="G25" s="552"/>
    </row>
    <row r="26" spans="1:11" ht="15.75" customHeight="1" thickTop="1" x14ac:dyDescent="0.2">
      <c r="A26" s="2191" t="s">
        <v>657</v>
      </c>
      <c r="B26" s="2192"/>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219" t="s">
        <v>582</v>
      </c>
      <c r="B29" s="2196"/>
      <c r="C29" s="729"/>
      <c r="D29" s="729"/>
      <c r="E29" s="729"/>
      <c r="F29" s="729"/>
      <c r="G29" s="729"/>
      <c r="H29" s="729"/>
      <c r="I29" s="729"/>
      <c r="J29" s="729"/>
    </row>
    <row r="30" spans="1:11" ht="33.75" x14ac:dyDescent="0.2">
      <c r="A30" s="1529" t="s">
        <v>1071</v>
      </c>
      <c r="B30" s="730" t="s">
        <v>1124</v>
      </c>
      <c r="C30" s="1885" t="s">
        <v>583</v>
      </c>
      <c r="D30" s="1885" t="s">
        <v>1669</v>
      </c>
      <c r="E30" s="1885" t="s">
        <v>1947</v>
      </c>
      <c r="F30" s="1885" t="s">
        <v>1948</v>
      </c>
      <c r="G30" s="1885" t="s">
        <v>1899</v>
      </c>
      <c r="H30" s="1885" t="s">
        <v>1949</v>
      </c>
      <c r="I30" s="1885" t="s">
        <v>1950</v>
      </c>
      <c r="J30" s="1886" t="s">
        <v>2</v>
      </c>
      <c r="K30" s="731"/>
    </row>
    <row r="31" spans="1:11" ht="12" customHeight="1" x14ac:dyDescent="0.2">
      <c r="A31" s="732" t="s">
        <v>2070</v>
      </c>
      <c r="B31" s="733">
        <v>41184</v>
      </c>
      <c r="C31" s="734">
        <v>6695000</v>
      </c>
      <c r="D31" s="735">
        <v>3</v>
      </c>
      <c r="E31" s="734">
        <v>4105000</v>
      </c>
      <c r="F31" s="734"/>
      <c r="G31" s="734"/>
      <c r="H31" s="734">
        <v>535000</v>
      </c>
      <c r="I31" s="1756">
        <f>((E31+F31)-H31)+G31</f>
        <v>3570000</v>
      </c>
      <c r="J31" s="734"/>
      <c r="K31" s="736"/>
    </row>
    <row r="32" spans="1:11" ht="12" customHeight="1" x14ac:dyDescent="0.2">
      <c r="A32" s="732" t="s">
        <v>2071</v>
      </c>
      <c r="B32" s="733">
        <v>41184</v>
      </c>
      <c r="C32" s="734">
        <v>1750000</v>
      </c>
      <c r="D32" s="735">
        <v>3</v>
      </c>
      <c r="E32" s="734">
        <v>1000000</v>
      </c>
      <c r="F32" s="734"/>
      <c r="G32" s="734"/>
      <c r="H32" s="734">
        <v>130000</v>
      </c>
      <c r="I32" s="1756">
        <f>((E32+F32)-H32)+G32</f>
        <v>870000</v>
      </c>
      <c r="J32" s="734"/>
      <c r="K32" s="736"/>
    </row>
    <row r="33" spans="1:11" ht="12" customHeight="1" x14ac:dyDescent="0.2">
      <c r="A33" s="732" t="s">
        <v>2071</v>
      </c>
      <c r="B33" s="733">
        <v>42186</v>
      </c>
      <c r="C33" s="734">
        <v>1360000</v>
      </c>
      <c r="D33" s="735">
        <v>3</v>
      </c>
      <c r="E33" s="734">
        <v>390000</v>
      </c>
      <c r="F33" s="734"/>
      <c r="G33" s="734"/>
      <c r="H33" s="734">
        <v>390000</v>
      </c>
      <c r="I33" s="1756">
        <f t="shared" ref="I33:I48" si="1">((E33+F33)-H33)+G33</f>
        <v>0</v>
      </c>
      <c r="J33" s="734"/>
      <c r="K33" s="736"/>
    </row>
    <row r="34" spans="1:11" ht="12" customHeight="1" x14ac:dyDescent="0.2">
      <c r="A34" s="732" t="s">
        <v>2072</v>
      </c>
      <c r="B34" s="733">
        <v>42865</v>
      </c>
      <c r="C34" s="734">
        <v>1900000</v>
      </c>
      <c r="D34" s="735">
        <v>1</v>
      </c>
      <c r="E34" s="734">
        <v>1900000</v>
      </c>
      <c r="F34" s="734"/>
      <c r="G34" s="734"/>
      <c r="H34" s="734">
        <v>15000</v>
      </c>
      <c r="I34" s="1756">
        <f t="shared" si="1"/>
        <v>1885000</v>
      </c>
      <c r="J34" s="734"/>
      <c r="K34" s="737"/>
    </row>
    <row r="35" spans="1:11" ht="12" customHeight="1" x14ac:dyDescent="0.2">
      <c r="A35" s="732" t="s">
        <v>2072</v>
      </c>
      <c r="B35" s="733">
        <v>43600</v>
      </c>
      <c r="C35" s="738">
        <v>4565000</v>
      </c>
      <c r="D35" s="735">
        <v>1</v>
      </c>
      <c r="E35" s="738"/>
      <c r="F35" s="738">
        <v>4565000</v>
      </c>
      <c r="G35" s="738"/>
      <c r="H35" s="738"/>
      <c r="I35" s="1756">
        <f t="shared" si="1"/>
        <v>4565000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16270000</v>
      </c>
      <c r="D49" s="745"/>
      <c r="E49" s="1756">
        <f t="shared" ref="E49:J49" si="2">SUM(E31:E48)</f>
        <v>7395000</v>
      </c>
      <c r="F49" s="1756">
        <f t="shared" si="2"/>
        <v>4565000</v>
      </c>
      <c r="G49" s="1756">
        <f t="shared" si="2"/>
        <v>0</v>
      </c>
      <c r="H49" s="1756">
        <f t="shared" si="2"/>
        <v>1070000</v>
      </c>
      <c r="I49" s="1756">
        <f t="shared" si="2"/>
        <v>10890000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1797</v>
      </c>
      <c r="B51" s="746"/>
      <c r="C51" s="737"/>
      <c r="D51" s="737"/>
      <c r="E51" s="737"/>
      <c r="F51" s="737"/>
      <c r="G51" s="737"/>
      <c r="H51" s="736"/>
      <c r="I51" s="736"/>
      <c r="J51" s="746"/>
    </row>
    <row r="52" spans="1:11" ht="11.25" customHeight="1" x14ac:dyDescent="0.2">
      <c r="A52" s="748" t="s">
        <v>912</v>
      </c>
      <c r="B52" s="2210" t="s">
        <v>584</v>
      </c>
      <c r="C52" s="2211"/>
      <c r="D52" s="2211"/>
      <c r="E52" s="749" t="s">
        <v>845</v>
      </c>
      <c r="F52" s="2212"/>
      <c r="G52" s="2213"/>
      <c r="H52" s="736"/>
      <c r="I52" s="736"/>
      <c r="J52" s="746"/>
    </row>
    <row r="53" spans="1:11" ht="11.25" customHeight="1" x14ac:dyDescent="0.2">
      <c r="A53" s="750" t="s">
        <v>913</v>
      </c>
      <c r="B53" s="751" t="s">
        <v>951</v>
      </c>
      <c r="C53" s="746"/>
      <c r="D53" s="737"/>
      <c r="E53" s="749" t="s">
        <v>497</v>
      </c>
      <c r="F53" s="2214"/>
      <c r="G53" s="2215"/>
      <c r="H53" s="736"/>
      <c r="I53" s="736"/>
      <c r="J53" s="746"/>
    </row>
    <row r="54" spans="1:11" ht="11.25" customHeight="1" x14ac:dyDescent="0.2">
      <c r="A54" s="752" t="s">
        <v>914</v>
      </c>
      <c r="B54" s="747" t="s">
        <v>952</v>
      </c>
      <c r="C54" s="746"/>
      <c r="D54" s="737"/>
      <c r="E54" s="749" t="s">
        <v>498</v>
      </c>
      <c r="F54" s="2214"/>
      <c r="G54" s="221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856</v>
      </c>
      <c r="B1" s="2245"/>
      <c r="C1" s="2245"/>
      <c r="D1" s="2245"/>
      <c r="E1" s="2245"/>
      <c r="F1" s="2245"/>
      <c r="G1" s="2246"/>
      <c r="H1" s="1530"/>
      <c r="I1" s="760"/>
      <c r="J1" s="433"/>
    </row>
    <row r="2" spans="1:11" ht="26.25" x14ac:dyDescent="0.2">
      <c r="A2" s="2223" t="s">
        <v>1673</v>
      </c>
      <c r="B2" s="2224"/>
      <c r="C2" s="2224"/>
      <c r="D2" s="2224"/>
      <c r="E2" s="2225"/>
      <c r="F2" s="761" t="s">
        <v>904</v>
      </c>
      <c r="G2" s="762" t="s">
        <v>1670</v>
      </c>
      <c r="H2" s="762" t="s">
        <v>410</v>
      </c>
      <c r="I2" s="762" t="s">
        <v>1158</v>
      </c>
      <c r="J2" s="762" t="s">
        <v>1802</v>
      </c>
      <c r="K2" s="762" t="s">
        <v>138</v>
      </c>
    </row>
    <row r="3" spans="1:11" x14ac:dyDescent="0.2">
      <c r="A3" s="2226" t="s">
        <v>1951</v>
      </c>
      <c r="B3" s="2227"/>
      <c r="C3" s="2227"/>
      <c r="D3" s="2227"/>
      <c r="E3" s="2228"/>
      <c r="F3" s="763"/>
      <c r="G3" s="764"/>
      <c r="H3" s="764"/>
      <c r="I3" s="764"/>
      <c r="J3" s="765"/>
      <c r="K3" s="765"/>
    </row>
    <row r="4" spans="1:11" x14ac:dyDescent="0.2">
      <c r="A4" s="2229" t="s">
        <v>369</v>
      </c>
      <c r="B4" s="2230"/>
      <c r="C4" s="2230"/>
      <c r="D4" s="2230"/>
      <c r="E4" s="2211"/>
      <c r="F4" s="766"/>
      <c r="G4" s="767"/>
      <c r="H4" s="768"/>
      <c r="I4" s="767"/>
      <c r="J4" s="769"/>
      <c r="K4" s="769"/>
    </row>
    <row r="5" spans="1:11" x14ac:dyDescent="0.2">
      <c r="A5" s="2247" t="s">
        <v>1069</v>
      </c>
      <c r="B5" s="2220"/>
      <c r="C5" s="2220"/>
      <c r="D5" s="2220"/>
      <c r="E5" s="224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7" t="s">
        <v>1803</v>
      </c>
      <c r="B10" s="2220"/>
      <c r="C10" s="2220"/>
      <c r="D10" s="2220"/>
      <c r="E10" s="2249"/>
      <c r="F10" s="783" t="s">
        <v>862</v>
      </c>
      <c r="G10" s="782"/>
      <c r="H10" s="784"/>
      <c r="I10" s="764"/>
      <c r="J10" s="765"/>
      <c r="K10" s="765"/>
    </row>
    <row r="11" spans="1:11" x14ac:dyDescent="0.2">
      <c r="A11" s="2247" t="s">
        <v>160</v>
      </c>
      <c r="B11" s="2220"/>
      <c r="C11" s="2220"/>
      <c r="D11" s="2220"/>
      <c r="E11" s="2248"/>
      <c r="F11" s="770" t="s">
        <v>852</v>
      </c>
      <c r="G11" s="771"/>
      <c r="H11" s="764"/>
      <c r="I11" s="764"/>
      <c r="J11" s="765"/>
      <c r="K11" s="773"/>
    </row>
    <row r="12" spans="1:11" ht="13.5" thickBot="1" x14ac:dyDescent="0.25">
      <c r="A12" s="2237" t="s">
        <v>905</v>
      </c>
      <c r="B12" s="2238"/>
      <c r="C12" s="2238"/>
      <c r="D12" s="2238"/>
      <c r="E12" s="2239"/>
      <c r="F12" s="1757"/>
      <c r="G12" s="1758">
        <f>SUM(G5:G11)</f>
        <v>0</v>
      </c>
      <c r="H12" s="1758">
        <f>SUM(H5:H11)</f>
        <v>0</v>
      </c>
      <c r="I12" s="1758">
        <f>SUM(I5:I11)</f>
        <v>0</v>
      </c>
      <c r="J12" s="1758">
        <f>SUM(J5:J11)</f>
        <v>0</v>
      </c>
      <c r="K12" s="1758">
        <f>SUM(K5:K11)</f>
        <v>0</v>
      </c>
    </row>
    <row r="13" spans="1:11" ht="13.5" thickTop="1" x14ac:dyDescent="0.2">
      <c r="A13" s="2231" t="s">
        <v>370</v>
      </c>
      <c r="B13" s="2232"/>
      <c r="C13" s="2232"/>
      <c r="D13" s="2232"/>
      <c r="E13" s="2233"/>
      <c r="F13" s="785"/>
      <c r="G13" s="786"/>
      <c r="H13" s="787"/>
      <c r="I13" s="788"/>
      <c r="J13" s="788"/>
      <c r="K13" s="788"/>
    </row>
    <row r="14" spans="1:11" x14ac:dyDescent="0.2">
      <c r="A14" s="2253" t="s">
        <v>456</v>
      </c>
      <c r="B14" s="2253"/>
      <c r="C14" s="2253"/>
      <c r="D14" s="2253"/>
      <c r="E14" s="2254"/>
      <c r="F14" s="789" t="s">
        <v>854</v>
      </c>
      <c r="G14" s="782"/>
      <c r="H14" s="764"/>
      <c r="I14" s="771"/>
      <c r="J14" s="773"/>
      <c r="K14" s="765"/>
    </row>
    <row r="15" spans="1:11" x14ac:dyDescent="0.2">
      <c r="A15" s="2220" t="s">
        <v>4</v>
      </c>
      <c r="B15" s="2220"/>
      <c r="C15" s="2220"/>
      <c r="D15" s="2220"/>
      <c r="E15" s="2248"/>
      <c r="F15" s="789" t="s">
        <v>855</v>
      </c>
      <c r="G15" s="771"/>
      <c r="H15" s="764"/>
      <c r="I15" s="764"/>
      <c r="J15" s="765"/>
      <c r="K15" s="765"/>
    </row>
    <row r="16" spans="1:11" x14ac:dyDescent="0.2">
      <c r="A16" s="2220" t="s">
        <v>298</v>
      </c>
      <c r="B16" s="2220"/>
      <c r="C16" s="2220"/>
      <c r="D16" s="2220"/>
      <c r="E16" s="2248"/>
      <c r="F16" s="789" t="s">
        <v>923</v>
      </c>
      <c r="G16" s="772"/>
      <c r="H16" s="767"/>
      <c r="I16" s="767"/>
      <c r="J16" s="769"/>
      <c r="K16" s="769"/>
    </row>
    <row r="17" spans="1:11" x14ac:dyDescent="0.2">
      <c r="A17" s="2242" t="s">
        <v>935</v>
      </c>
      <c r="B17" s="2242"/>
      <c r="C17" s="2242"/>
      <c r="D17" s="2242"/>
      <c r="E17" s="2243"/>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55" t="s">
        <v>1799</v>
      </c>
      <c r="B19" s="2255"/>
      <c r="C19" s="2255"/>
      <c r="D19" s="2255"/>
      <c r="E19" s="2256"/>
      <c r="F19" s="789" t="s">
        <v>933</v>
      </c>
      <c r="G19" s="782"/>
      <c r="H19" s="782"/>
      <c r="I19" s="782"/>
      <c r="J19" s="765"/>
      <c r="K19" s="795"/>
    </row>
    <row r="20" spans="1:11" x14ac:dyDescent="0.2">
      <c r="A20" s="2234" t="s">
        <v>1804</v>
      </c>
      <c r="B20" s="2235"/>
      <c r="C20" s="2235"/>
      <c r="D20" s="2235"/>
      <c r="E20" s="2236"/>
      <c r="F20" s="789" t="s">
        <v>934</v>
      </c>
      <c r="G20" s="782"/>
      <c r="H20" s="782"/>
      <c r="I20" s="782"/>
      <c r="J20" s="765"/>
      <c r="K20" s="795"/>
    </row>
    <row r="21" spans="1:11" ht="13.5" thickBot="1" x14ac:dyDescent="0.25">
      <c r="A21" s="2240" t="s">
        <v>638</v>
      </c>
      <c r="B21" s="2240"/>
      <c r="C21" s="2240"/>
      <c r="D21" s="2240"/>
      <c r="E21" s="2240"/>
      <c r="F21" s="1759"/>
      <c r="G21" s="792"/>
      <c r="H21" s="796"/>
      <c r="I21" s="796"/>
      <c r="J21" s="1760">
        <f>SUM(J18:J20)</f>
        <v>0</v>
      </c>
      <c r="K21" s="793"/>
    </row>
    <row r="22" spans="1:11" ht="13.5" thickTop="1" x14ac:dyDescent="0.2">
      <c r="A22" s="2220" t="s">
        <v>1805</v>
      </c>
      <c r="B22" s="2220"/>
      <c r="C22" s="2220"/>
      <c r="D22" s="2220"/>
      <c r="E22" s="2248"/>
      <c r="F22" s="789" t="s">
        <v>862</v>
      </c>
      <c r="G22" s="782"/>
      <c r="H22" s="764"/>
      <c r="I22" s="764"/>
      <c r="J22" s="797"/>
      <c r="K22" s="765"/>
    </row>
    <row r="23" spans="1:11" ht="13.5" thickBot="1" x14ac:dyDescent="0.25">
      <c r="A23" s="2241" t="s">
        <v>906</v>
      </c>
      <c r="B23" s="2240"/>
      <c r="C23" s="2240"/>
      <c r="D23" s="2240"/>
      <c r="E23" s="2240"/>
      <c r="F23" s="1761"/>
      <c r="G23" s="1758">
        <f>SUM(G14:G16,G21,G22)</f>
        <v>0</v>
      </c>
      <c r="H23" s="1758">
        <f>SUM(H14:H16,H21,H22)</f>
        <v>0</v>
      </c>
      <c r="I23" s="1758">
        <f>SUM(I14:I16,I21,I22)</f>
        <v>0</v>
      </c>
      <c r="J23" s="1758">
        <f>SUM(J14:J16,J21,J22)</f>
        <v>0</v>
      </c>
      <c r="K23" s="1758">
        <f>SUM(K14:K16,K21,K22)</f>
        <v>0</v>
      </c>
    </row>
    <row r="24" spans="1:11" ht="14.25" thickTop="1" thickBot="1" x14ac:dyDescent="0.25">
      <c r="A24" s="2241" t="s">
        <v>1952</v>
      </c>
      <c r="B24" s="2240"/>
      <c r="C24" s="2240"/>
      <c r="D24" s="2240"/>
      <c r="E24" s="2240"/>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1898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0"/>
      <c r="I31" s="2251"/>
      <c r="J31" s="2251"/>
      <c r="K31" s="2251"/>
    </row>
    <row r="32" spans="1:11" x14ac:dyDescent="0.2">
      <c r="A32" s="809"/>
      <c r="B32" s="237"/>
      <c r="C32" s="237"/>
      <c r="D32" s="237"/>
      <c r="E32" s="805"/>
      <c r="F32" s="811" t="s">
        <v>540</v>
      </c>
      <c r="G32" s="764"/>
      <c r="H32" s="2252"/>
      <c r="I32" s="2251"/>
      <c r="J32" s="2251"/>
      <c r="K32" s="2251"/>
    </row>
    <row r="33" spans="1:11" ht="1.5" customHeight="1" x14ac:dyDescent="0.2">
      <c r="A33" s="812" t="s">
        <v>1169</v>
      </c>
      <c r="B33" s="364"/>
      <c r="C33" s="364"/>
      <c r="D33" s="364"/>
      <c r="E33" s="364"/>
      <c r="F33" s="364"/>
      <c r="G33" s="813"/>
      <c r="H33" s="2252"/>
      <c r="I33" s="2251"/>
      <c r="J33" s="2251"/>
      <c r="K33" s="2251"/>
    </row>
    <row r="34" spans="1:11" x14ac:dyDescent="0.2">
      <c r="A34" s="814" t="s">
        <v>1806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21"/>
      <c r="C41" s="2221"/>
      <c r="D41" s="2221"/>
      <c r="E41" s="2221"/>
      <c r="F41" s="222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1800</v>
      </c>
      <c r="B46" s="408" t="s">
        <v>1671</v>
      </c>
    </row>
    <row r="47" spans="1:11" s="823" customFormat="1" ht="12.75" customHeight="1" x14ac:dyDescent="0.2">
      <c r="A47" s="821"/>
      <c r="B47" s="822" t="s">
        <v>1672</v>
      </c>
      <c r="E47" s="822"/>
      <c r="K47" s="824"/>
    </row>
    <row r="48" spans="1:11" ht="12.75" customHeight="1" x14ac:dyDescent="0.2">
      <c r="A48" s="1532" t="s">
        <v>1801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7"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1897</v>
      </c>
      <c r="B1" s="2260"/>
      <c r="C1" s="2261"/>
      <c r="D1" s="826"/>
      <c r="E1" s="827"/>
      <c r="F1" s="827"/>
      <c r="G1" s="828"/>
      <c r="H1" s="829"/>
      <c r="I1" s="830"/>
      <c r="J1" s="2257"/>
      <c r="K1" s="2258"/>
      <c r="L1" s="2258"/>
    </row>
    <row r="2" spans="1:14" ht="69.75" customHeight="1" x14ac:dyDescent="0.2">
      <c r="A2" s="831" t="s">
        <v>1674</v>
      </c>
      <c r="B2" s="832" t="s">
        <v>378</v>
      </c>
      <c r="C2" s="833" t="s">
        <v>1953</v>
      </c>
      <c r="D2" s="833" t="s">
        <v>1954</v>
      </c>
      <c r="E2" s="833" t="s">
        <v>1955</v>
      </c>
      <c r="F2" s="833" t="s">
        <v>1956</v>
      </c>
      <c r="G2" s="833" t="s">
        <v>605</v>
      </c>
      <c r="H2" s="833" t="s">
        <v>1957</v>
      </c>
      <c r="I2" s="833" t="s">
        <v>1958</v>
      </c>
      <c r="J2" s="833" t="s">
        <v>1959</v>
      </c>
      <c r="K2" s="833" t="s">
        <v>1960</v>
      </c>
      <c r="L2" s="833" t="s">
        <v>1961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1136737</v>
      </c>
      <c r="D5" s="841"/>
      <c r="E5" s="841"/>
      <c r="F5" s="1760">
        <f>(C5+D5)-E5</f>
        <v>1136737</v>
      </c>
      <c r="G5" s="837"/>
      <c r="H5" s="842"/>
      <c r="I5" s="842"/>
      <c r="J5" s="842"/>
      <c r="K5" s="793"/>
      <c r="L5" s="1769">
        <f>F5-K5</f>
        <v>1136737</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39510953</v>
      </c>
      <c r="D8" s="844"/>
      <c r="E8" s="844"/>
      <c r="F8" s="1760">
        <f>(C8+D8)-E8</f>
        <v>39510953</v>
      </c>
      <c r="G8" s="843">
        <v>50</v>
      </c>
      <c r="H8" s="765">
        <v>17807090</v>
      </c>
      <c r="I8" s="765">
        <v>988555</v>
      </c>
      <c r="J8" s="765"/>
      <c r="K8" s="1769">
        <f>(H8+I8)-J8</f>
        <v>18795645</v>
      </c>
      <c r="L8" s="1769">
        <f>F8-K8</f>
        <v>20715308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2186399</v>
      </c>
      <c r="D10" s="846"/>
      <c r="E10" s="846"/>
      <c r="F10" s="1764">
        <f>(C10+D10)-E10</f>
        <v>2186399</v>
      </c>
      <c r="G10" s="843">
        <v>20</v>
      </c>
      <c r="H10" s="847">
        <v>211374</v>
      </c>
      <c r="I10" s="847">
        <v>108986</v>
      </c>
      <c r="J10" s="847"/>
      <c r="K10" s="1769">
        <f>(H10+I10)-J10</f>
        <v>320360</v>
      </c>
      <c r="L10" s="1769">
        <f>F10-K10</f>
        <v>1866039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7937206</v>
      </c>
      <c r="D12" s="844"/>
      <c r="E12" s="844"/>
      <c r="F12" s="1760">
        <f>(C12+D12)-E12</f>
        <v>7937206</v>
      </c>
      <c r="G12" s="843">
        <v>10</v>
      </c>
      <c r="H12" s="765">
        <v>6865816</v>
      </c>
      <c r="I12" s="765">
        <v>290535</v>
      </c>
      <c r="J12" s="765"/>
      <c r="K12" s="1769">
        <f>(H12+I12)-J12</f>
        <v>7156351</v>
      </c>
      <c r="L12" s="1769">
        <f>F12-K12</f>
        <v>780855</v>
      </c>
    </row>
    <row r="13" spans="1:14" ht="14.25" thickTop="1" thickBot="1" x14ac:dyDescent="0.25">
      <c r="A13" s="848" t="s">
        <v>1122</v>
      </c>
      <c r="B13" s="840">
        <v>252</v>
      </c>
      <c r="C13" s="844">
        <v>3058483</v>
      </c>
      <c r="D13" s="844"/>
      <c r="E13" s="844"/>
      <c r="F13" s="1760">
        <f>(C13+D13)-E13</f>
        <v>3058483</v>
      </c>
      <c r="G13" s="843">
        <v>5</v>
      </c>
      <c r="H13" s="765">
        <v>2599558</v>
      </c>
      <c r="I13" s="765">
        <v>422730</v>
      </c>
      <c r="J13" s="765"/>
      <c r="K13" s="1769">
        <f>(H13+I13)-J13</f>
        <v>3022288</v>
      </c>
      <c r="L13" s="1769">
        <f>F13-K13</f>
        <v>36195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53829778</v>
      </c>
      <c r="D16" s="1760">
        <f>SUM(D3,D5:D6,D8:D10,D12:D15)</f>
        <v>0</v>
      </c>
      <c r="E16" s="1760">
        <f>SUM(E3,E5:E6,E8:E10,E12:E15)</f>
        <v>0</v>
      </c>
      <c r="F16" s="1760">
        <f>SUM(F3,F5:F6,F8:F10,F12:F15)</f>
        <v>53829778</v>
      </c>
      <c r="G16" s="843"/>
      <c r="H16" s="1760">
        <f>SUM(H3,H6,H8:H10,H12:H14,)</f>
        <v>27483838</v>
      </c>
      <c r="I16" s="1760">
        <f>SUM(I3,I6,I8:I10,I12:I14,)</f>
        <v>1810806</v>
      </c>
      <c r="J16" s="1760">
        <f>SUM(J3,J6,J8:J10,J12:J14,)</f>
        <v>0</v>
      </c>
      <c r="K16" s="1760">
        <f>(H16+I16)-J16</f>
        <v>29294644</v>
      </c>
      <c r="L16" s="1760">
        <f>F16-K16</f>
        <v>24535134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49249</v>
      </c>
      <c r="G17" s="837">
        <v>10</v>
      </c>
      <c r="H17" s="769"/>
      <c r="I17" s="1769">
        <f>F17/G17</f>
        <v>4924.8999999999996</v>
      </c>
      <c r="J17" s="769"/>
      <c r="K17" s="795"/>
      <c r="L17" s="795"/>
    </row>
    <row r="18" spans="1:12" ht="14.25" thickTop="1" thickBot="1" x14ac:dyDescent="0.25">
      <c r="A18" s="1767" t="s">
        <v>685</v>
      </c>
      <c r="B18" s="1768"/>
      <c r="C18" s="771"/>
      <c r="D18" s="771"/>
      <c r="E18" s="771"/>
      <c r="F18" s="850"/>
      <c r="G18" s="851"/>
      <c r="H18" s="773"/>
      <c r="I18" s="1760">
        <f>SUM(I16,I17)</f>
        <v>1815730.9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1" activePane="bottomLeft" state="frozen"/>
      <selection activeCell="A47" sqref="A47"/>
      <selection pane="bottomLeft" activeCell="F73" sqref="F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1962</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1467</v>
      </c>
      <c r="C8" s="871"/>
      <c r="D8" s="869" t="s">
        <v>501</v>
      </c>
      <c r="E8" s="868" t="s">
        <v>958</v>
      </c>
      <c r="F8" s="1908">
        <f>'Expenditures 15-22'!K114</f>
        <v>19040207</v>
      </c>
      <c r="G8" s="865"/>
    </row>
    <row r="9" spans="1:7" x14ac:dyDescent="0.2">
      <c r="A9" s="869" t="s">
        <v>460</v>
      </c>
      <c r="B9" s="870" t="s">
        <v>1865</v>
      </c>
      <c r="C9" s="871"/>
      <c r="D9" s="869" t="s">
        <v>501</v>
      </c>
      <c r="E9" s="868"/>
      <c r="F9" s="1909">
        <f>'Expenditures 15-22'!K151</f>
        <v>3236377</v>
      </c>
      <c r="G9" s="872"/>
    </row>
    <row r="10" spans="1:7" x14ac:dyDescent="0.2">
      <c r="A10" s="869" t="s">
        <v>499</v>
      </c>
      <c r="B10" s="870" t="s">
        <v>1866</v>
      </c>
      <c r="C10" s="871"/>
      <c r="D10" s="869" t="s">
        <v>501</v>
      </c>
      <c r="E10" s="868"/>
      <c r="F10" s="1909">
        <f>'Expenditures 15-22'!K174</f>
        <v>1244988</v>
      </c>
      <c r="G10" s="872"/>
    </row>
    <row r="11" spans="1:7" x14ac:dyDescent="0.2">
      <c r="A11" s="869" t="s">
        <v>461</v>
      </c>
      <c r="B11" s="870" t="s">
        <v>1867</v>
      </c>
      <c r="C11" s="871"/>
      <c r="D11" s="869" t="s">
        <v>501</v>
      </c>
      <c r="E11" s="868"/>
      <c r="F11" s="1909">
        <f>'Expenditures 15-22'!K210</f>
        <v>1415348</v>
      </c>
      <c r="G11" s="872"/>
    </row>
    <row r="12" spans="1:7" x14ac:dyDescent="0.2">
      <c r="A12" s="869" t="s">
        <v>462</v>
      </c>
      <c r="B12" s="870" t="s">
        <v>1868</v>
      </c>
      <c r="C12" s="871"/>
      <c r="D12" s="869" t="s">
        <v>501</v>
      </c>
      <c r="E12" s="868"/>
      <c r="F12" s="1909">
        <f>'Expenditures 15-22'!K295</f>
        <v>701405</v>
      </c>
      <c r="G12" s="872"/>
    </row>
    <row r="13" spans="1:7" x14ac:dyDescent="0.2">
      <c r="A13" s="869" t="s">
        <v>106</v>
      </c>
      <c r="B13" s="870" t="s">
        <v>1869</v>
      </c>
      <c r="C13" s="871"/>
      <c r="D13" s="869" t="s">
        <v>501</v>
      </c>
      <c r="E13" s="868"/>
      <c r="F13" s="1909">
        <f>'Expenditures 15-22'!K342</f>
        <v>32053</v>
      </c>
      <c r="G13" s="873"/>
    </row>
    <row r="14" spans="1:7" ht="12" customHeight="1" thickBot="1" x14ac:dyDescent="0.25">
      <c r="A14" s="1770"/>
      <c r="B14" s="1771"/>
      <c r="C14" s="1772"/>
      <c r="D14" s="1773" t="s">
        <v>501</v>
      </c>
      <c r="E14" s="1774" t="s">
        <v>958</v>
      </c>
      <c r="F14" s="1775">
        <f>SUM(F8:F13)</f>
        <v>25670378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1986</v>
      </c>
      <c r="C30" s="880">
        <f>'Revenues 9-14'!B150</f>
        <v>3499</v>
      </c>
      <c r="D30" s="881" t="str">
        <f>'Revenues 9-14'!A150</f>
        <v>Adult Ed - Other (Describe &amp; Itemize)</v>
      </c>
      <c r="E30" s="868"/>
      <c r="F30" s="1914">
        <f>('Revenues 9-14'!D150+'Revenues 9-14'!F150)</f>
        <v>0</v>
      </c>
      <c r="G30" s="865"/>
    </row>
    <row r="31" spans="1:7" x14ac:dyDescent="0.2">
      <c r="A31" s="869" t="s">
        <v>1097</v>
      </c>
      <c r="B31" s="870" t="s">
        <v>1987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1988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1989</v>
      </c>
      <c r="C33" s="875">
        <f>'Revenues 9-14'!B222</f>
        <v>4810</v>
      </c>
      <c r="D33" s="883" t="str">
        <f>'Revenues 9-14'!A222</f>
        <v>Federal - Adult Education</v>
      </c>
      <c r="E33" s="868"/>
      <c r="F33" s="1913">
        <f>'Revenues 9-14'!D222</f>
        <v>0</v>
      </c>
      <c r="G33" s="865"/>
    </row>
    <row r="34" spans="1:7" x14ac:dyDescent="0.2">
      <c r="A34" s="869" t="s">
        <v>459</v>
      </c>
      <c r="B34" s="869" t="s">
        <v>1468</v>
      </c>
      <c r="C34" s="886" t="str">
        <f>'Expenditures 15-22'!B7</f>
        <v>1125</v>
      </c>
      <c r="D34" s="887" t="str">
        <f>'Expenditures 15-22'!A7</f>
        <v>Pre-K Programs</v>
      </c>
      <c r="E34" s="868"/>
      <c r="F34" s="1913">
        <f>'Expenditures 15-22'!K7-SUM('Expenditures 15-22'!G7,'Expenditures 15-22'!I7)</f>
        <v>172971</v>
      </c>
      <c r="G34" s="865"/>
    </row>
    <row r="35" spans="1:7" x14ac:dyDescent="0.2">
      <c r="A35" s="869" t="s">
        <v>459</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1471</v>
      </c>
      <c r="C38" s="886">
        <f>'Expenditures 15-22'!B15</f>
        <v>1600</v>
      </c>
      <c r="D38" s="888" t="str">
        <f>'Expenditures 15-22'!A15</f>
        <v>Summer School Programs</v>
      </c>
      <c r="E38" s="868"/>
      <c r="F38" s="1913">
        <f>'Expenditures 15-22'!K15-SUM('Expenditures 15-22'!G15,'Expenditures 15-22'!I15)</f>
        <v>69711</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514756</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1473</v>
      </c>
      <c r="C52" s="889" t="str">
        <f>'Expenditures 15-22'!B75</f>
        <v>3000</v>
      </c>
      <c r="D52" s="888" t="s">
        <v>449</v>
      </c>
      <c r="E52" s="868"/>
      <c r="F52" s="1913">
        <f>'Expenditures 15-22'!K75-SUM('Expenditures 15-22'!G75,'Expenditures 15-22'!I75)</f>
        <v>62830</v>
      </c>
      <c r="G52" s="865"/>
    </row>
    <row r="53" spans="1:7" x14ac:dyDescent="0.2">
      <c r="A53" s="869" t="s">
        <v>459</v>
      </c>
      <c r="B53" s="869" t="s">
        <v>1474</v>
      </c>
      <c r="C53" s="889">
        <f>'Expenditures 15-22'!B102</f>
        <v>4000</v>
      </c>
      <c r="D53" s="888" t="str">
        <f>'Expenditures 15-22'!A102</f>
        <v>Total Payments to Other Govt Units</v>
      </c>
      <c r="E53" s="868"/>
      <c r="F53" s="1913">
        <f>'Expenditures 15-22'!K102</f>
        <v>0</v>
      </c>
      <c r="G53" s="865"/>
    </row>
    <row r="54" spans="1:7" x14ac:dyDescent="0.2">
      <c r="A54" s="869" t="s">
        <v>459</v>
      </c>
      <c r="B54" s="869" t="s">
        <v>1475</v>
      </c>
      <c r="C54" s="889" t="s">
        <v>982</v>
      </c>
      <c r="D54" s="885" t="s">
        <v>1095</v>
      </c>
      <c r="E54" s="868"/>
      <c r="F54" s="1913">
        <f>'Expenditures 15-22'!G114</f>
        <v>219528</v>
      </c>
      <c r="G54" s="865"/>
    </row>
    <row r="55" spans="1:7" x14ac:dyDescent="0.2">
      <c r="A55" s="869" t="s">
        <v>459</v>
      </c>
      <c r="B55" s="869" t="s">
        <v>1476</v>
      </c>
      <c r="C55" s="889" t="s">
        <v>982</v>
      </c>
      <c r="D55" s="885" t="s">
        <v>291</v>
      </c>
      <c r="E55" s="868"/>
      <c r="F55" s="1913">
        <f>'Expenditures 15-22'!I114</f>
        <v>44817</v>
      </c>
      <c r="G55" s="865"/>
    </row>
    <row r="56" spans="1:7" x14ac:dyDescent="0.2">
      <c r="A56" s="869" t="s">
        <v>460</v>
      </c>
      <c r="B56" s="869" t="s">
        <v>1477</v>
      </c>
      <c r="C56" s="886" t="str">
        <f>'Expenditures 15-22'!B130</f>
        <v>3000</v>
      </c>
      <c r="D56" s="892" t="s">
        <v>449</v>
      </c>
      <c r="E56" s="868"/>
      <c r="F56" s="1913">
        <f>'Expenditures 15-22'!K130-SUM('Expenditures 15-22'!G130+'Expenditures 15-22'!I130)</f>
        <v>0</v>
      </c>
      <c r="G56" s="865"/>
    </row>
    <row r="57" spans="1:7" x14ac:dyDescent="0.2">
      <c r="A57" s="869" t="s">
        <v>460</v>
      </c>
      <c r="B57" s="869" t="s">
        <v>1870</v>
      </c>
      <c r="C57" s="889">
        <f>'Expenditures 15-22'!B139</f>
        <v>4000</v>
      </c>
      <c r="D57" s="887" t="str">
        <f>'Expenditures 15-22'!A139</f>
        <v>Total Payments to Other Govt Units</v>
      </c>
      <c r="E57" s="868"/>
      <c r="F57" s="1913">
        <f>'Expenditures 15-22'!K139</f>
        <v>0</v>
      </c>
      <c r="G57" s="865"/>
    </row>
    <row r="58" spans="1:7" x14ac:dyDescent="0.2">
      <c r="A58" s="869" t="s">
        <v>460</v>
      </c>
      <c r="B58" s="869" t="s">
        <v>1871</v>
      </c>
      <c r="C58" s="886" t="s">
        <v>982</v>
      </c>
      <c r="D58" s="885" t="s">
        <v>1095</v>
      </c>
      <c r="E58" s="868"/>
      <c r="F58" s="1915">
        <f>'Expenditures 15-22'!G151</f>
        <v>1339547</v>
      </c>
      <c r="G58" s="865"/>
    </row>
    <row r="59" spans="1:7" x14ac:dyDescent="0.2">
      <c r="A59" s="893" t="s">
        <v>460</v>
      </c>
      <c r="B59" s="856" t="s">
        <v>1872</v>
      </c>
      <c r="C59" s="894" t="s">
        <v>982</v>
      </c>
      <c r="D59" s="856" t="s">
        <v>291</v>
      </c>
      <c r="F59" s="1916">
        <f>'Expenditures 15-22'!I151</f>
        <v>4432</v>
      </c>
      <c r="G59" s="865"/>
    </row>
    <row r="60" spans="1:7" x14ac:dyDescent="0.2">
      <c r="A60" s="893" t="s">
        <v>499</v>
      </c>
      <c r="B60" s="856" t="s">
        <v>1873</v>
      </c>
      <c r="C60" s="894">
        <v>4000</v>
      </c>
      <c r="D60" s="856" t="s">
        <v>312</v>
      </c>
      <c r="F60" s="1914">
        <f>'Expenditures 15-22'!K160</f>
        <v>0</v>
      </c>
      <c r="G60" s="865"/>
    </row>
    <row r="61" spans="1:7" x14ac:dyDescent="0.2">
      <c r="A61" s="895" t="s">
        <v>499</v>
      </c>
      <c r="B61" s="895" t="s">
        <v>1874</v>
      </c>
      <c r="C61" s="896" t="str">
        <f>'Expenditures 15-22'!B170</f>
        <v>5300</v>
      </c>
      <c r="D61" s="897" t="s">
        <v>311</v>
      </c>
      <c r="E61" s="879"/>
      <c r="F61" s="1913">
        <f>'Expenditures 15-22'!K170</f>
        <v>1070000</v>
      </c>
      <c r="G61" s="865"/>
    </row>
    <row r="62" spans="1:7" x14ac:dyDescent="0.2">
      <c r="A62" s="869" t="s">
        <v>461</v>
      </c>
      <c r="B62" s="869" t="s">
        <v>1875</v>
      </c>
      <c r="C62" s="886">
        <f>'Expenditures 15-22'!B185</f>
        <v>3000</v>
      </c>
      <c r="D62" s="876" t="s">
        <v>449</v>
      </c>
      <c r="E62" s="868"/>
      <c r="F62" s="1913">
        <f>'Expenditures 15-22'!K185-SUM('Expenditures 15-22'!G185,'Expenditures 15-22'!I185)</f>
        <v>0</v>
      </c>
      <c r="G62" s="865"/>
    </row>
    <row r="63" spans="1:7" x14ac:dyDescent="0.2">
      <c r="A63" s="869" t="s">
        <v>461</v>
      </c>
      <c r="B63" s="869" t="s">
        <v>1876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1877</v>
      </c>
      <c r="C64" s="896" t="str">
        <f>'Expenditures 15-22'!B206</f>
        <v>5300</v>
      </c>
      <c r="D64" s="892" t="s">
        <v>311</v>
      </c>
      <c r="E64" s="868"/>
      <c r="F64" s="1913">
        <f>'Expenditures 15-22'!K206</f>
        <v>0</v>
      </c>
      <c r="G64" s="865"/>
    </row>
    <row r="65" spans="1:8" x14ac:dyDescent="0.2">
      <c r="A65" s="869" t="s">
        <v>461</v>
      </c>
      <c r="B65" s="869" t="s">
        <v>1878</v>
      </c>
      <c r="C65" s="886" t="s">
        <v>982</v>
      </c>
      <c r="D65" s="885" t="s">
        <v>1095</v>
      </c>
      <c r="E65" s="868"/>
      <c r="F65" s="1913">
        <f>'Expenditures 15-22'!G210</f>
        <v>59174</v>
      </c>
      <c r="G65" s="865"/>
    </row>
    <row r="66" spans="1:8" x14ac:dyDescent="0.2">
      <c r="A66" s="869" t="s">
        <v>461</v>
      </c>
      <c r="B66" s="869" t="s">
        <v>1879</v>
      </c>
      <c r="C66" s="886" t="s">
        <v>982</v>
      </c>
      <c r="D66" s="885" t="s">
        <v>291</v>
      </c>
      <c r="E66" s="868"/>
      <c r="F66" s="1913">
        <f>'Expenditures 15-22'!I210</f>
        <v>0</v>
      </c>
      <c r="G66" s="865"/>
    </row>
    <row r="67" spans="1:8" x14ac:dyDescent="0.2">
      <c r="A67" s="869" t="s">
        <v>462</v>
      </c>
      <c r="B67" s="869" t="s">
        <v>1880</v>
      </c>
      <c r="C67" s="886" t="str">
        <f>'Expenditures 15-22'!B216</f>
        <v>1125</v>
      </c>
      <c r="D67" s="892" t="str">
        <f>'Expenditures 15-22'!A216</f>
        <v>Pre-K Programs</v>
      </c>
      <c r="E67" s="868"/>
      <c r="F67" s="1913">
        <f>'Expenditures 15-22'!K216</f>
        <v>0</v>
      </c>
      <c r="G67" s="865"/>
    </row>
    <row r="68" spans="1:8" x14ac:dyDescent="0.2">
      <c r="A68" s="869" t="s">
        <v>462</v>
      </c>
      <c r="B68" s="869" t="s">
        <v>1478</v>
      </c>
      <c r="C68" s="886" t="str">
        <f>'Expenditures 15-22'!B218</f>
        <v>1225</v>
      </c>
      <c r="D68" s="892" t="str">
        <f>'Expenditures 15-22'!A218</f>
        <v>Special Education Programs - Pre-K</v>
      </c>
      <c r="E68" s="868"/>
      <c r="F68" s="1913">
        <f>'Expenditures 15-22'!K218</f>
        <v>0</v>
      </c>
      <c r="G68" s="865"/>
    </row>
    <row r="69" spans="1:8" x14ac:dyDescent="0.2">
      <c r="A69" s="869" t="s">
        <v>462</v>
      </c>
      <c r="B69" s="869" t="s">
        <v>1881</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1882</v>
      </c>
      <c r="C70" s="886">
        <f>'Expenditures 15-22'!B221</f>
        <v>1300</v>
      </c>
      <c r="D70" s="887" t="str">
        <f>'Expenditures 15-22'!A221</f>
        <v>Adult/Continuing Education Programs</v>
      </c>
      <c r="E70" s="868"/>
      <c r="F70" s="1913">
        <f>'Expenditures 15-22'!K221</f>
        <v>0</v>
      </c>
      <c r="G70" s="865"/>
    </row>
    <row r="71" spans="1:8" x14ac:dyDescent="0.2">
      <c r="A71" s="869" t="s">
        <v>462</v>
      </c>
      <c r="B71" s="869" t="s">
        <v>1883</v>
      </c>
      <c r="C71" s="886">
        <f>'Expenditures 15-22'!B224</f>
        <v>1600</v>
      </c>
      <c r="D71" s="887" t="str">
        <f>'Expenditures 15-22'!A224</f>
        <v>Summer School Programs</v>
      </c>
      <c r="E71" s="868"/>
      <c r="F71" s="1913">
        <f>'Expenditures 15-22'!K224</f>
        <v>3391</v>
      </c>
      <c r="G71" s="865"/>
    </row>
    <row r="72" spans="1:8" x14ac:dyDescent="0.2">
      <c r="A72" s="869" t="s">
        <v>462</v>
      </c>
      <c r="B72" s="869" t="s">
        <v>1884</v>
      </c>
      <c r="C72" s="886">
        <f>'Expenditures 15-22'!B280</f>
        <v>3000</v>
      </c>
      <c r="D72" s="876" t="s">
        <v>449</v>
      </c>
      <c r="E72" s="868"/>
      <c r="F72" s="1913">
        <f>'Expenditures 15-22'!K280</f>
        <v>1040</v>
      </c>
      <c r="G72" s="865"/>
    </row>
    <row r="73" spans="1:8" x14ac:dyDescent="0.2">
      <c r="A73" s="869" t="s">
        <v>462</v>
      </c>
      <c r="B73" s="869" t="s">
        <v>1885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1886</v>
      </c>
      <c r="C74" s="886" t="s">
        <v>860</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1887</v>
      </c>
      <c r="E76" s="1774" t="s">
        <v>958</v>
      </c>
      <c r="F76" s="1778">
        <f>SUM(F18:F74)</f>
        <v>3562197</v>
      </c>
      <c r="G76" s="865"/>
    </row>
    <row r="77" spans="1:8" s="893" customFormat="1" ht="12" customHeight="1" thickTop="1" thickBot="1" x14ac:dyDescent="0.25">
      <c r="A77" s="1779"/>
      <c r="B77" s="1776"/>
      <c r="C77" s="1772"/>
      <c r="D77" s="1777" t="s">
        <v>1888</v>
      </c>
      <c r="E77" s="1774"/>
      <c r="F77" s="1780">
        <f>(F14-F76)</f>
        <v>22108181</v>
      </c>
      <c r="G77" s="869"/>
    </row>
    <row r="78" spans="1:8" s="893" customFormat="1" ht="12" customHeight="1" thickTop="1" x14ac:dyDescent="0.2">
      <c r="A78" s="1781"/>
      <c r="B78" s="1776"/>
      <c r="C78" s="1772"/>
      <c r="D78" s="1777" t="s">
        <v>2049</v>
      </c>
      <c r="E78" s="1774"/>
      <c r="F78" s="898">
        <v>2226.9</v>
      </c>
      <c r="G78" s="899"/>
      <c r="H78" s="869"/>
    </row>
    <row r="79" spans="1:8" s="893" customFormat="1" ht="12" customHeight="1" thickBot="1" x14ac:dyDescent="0.25">
      <c r="A79" s="1782"/>
      <c r="B79" s="1776"/>
      <c r="C79" s="1772"/>
      <c r="D79" s="1777" t="s">
        <v>1889</v>
      </c>
      <c r="E79" s="1774" t="s">
        <v>958</v>
      </c>
      <c r="F79" s="1783">
        <f>IF(F78&gt;0,F77/F78," Complete Line 78")</f>
        <v>9927.7834658044812</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4382</v>
      </c>
      <c r="G95" s="912"/>
    </row>
    <row r="96" spans="1:7" x14ac:dyDescent="0.2">
      <c r="A96" s="908" t="s">
        <v>459</v>
      </c>
      <c r="B96" s="908" t="s">
        <v>176</v>
      </c>
      <c r="C96" s="910">
        <f>'Revenues 9-14'!B84</f>
        <v>1811</v>
      </c>
      <c r="D96" s="911" t="str">
        <f>'Revenues 9-14'!A84</f>
        <v>Rentals - Regular Textbooks</v>
      </c>
      <c r="E96" s="906"/>
      <c r="F96" s="1789">
        <f>'Revenues 9-14'!C84</f>
        <v>15569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348060</v>
      </c>
      <c r="G99" s="912"/>
    </row>
    <row r="100" spans="1:7" x14ac:dyDescent="0.2">
      <c r="A100" s="908" t="s">
        <v>459</v>
      </c>
      <c r="B100" s="908" t="s">
        <v>180</v>
      </c>
      <c r="C100" s="910">
        <f>'Revenues 9-14'!B92</f>
        <v>1890</v>
      </c>
      <c r="D100" s="911" t="str">
        <f>'Revenues 9-14'!A92</f>
        <v>Other (Describe &amp; Itemize)</v>
      </c>
      <c r="E100" s="906"/>
      <c r="F100" s="1789">
        <f>'Revenues 9-14'!C92</f>
        <v>220890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1990</v>
      </c>
      <c r="C105" s="913">
        <v>3100</v>
      </c>
      <c r="D105" s="919" t="str">
        <f>'Revenues 9-14'!A132</f>
        <v>Total Special Education</v>
      </c>
      <c r="E105" s="906"/>
      <c r="F105" s="1789">
        <f>SUM('Revenues 9-14'!C132:D132,'Revenues 9-14'!F132)</f>
        <v>236635</v>
      </c>
      <c r="G105" s="912"/>
    </row>
    <row r="106" spans="1:7" x14ac:dyDescent="0.2">
      <c r="A106" s="908" t="s">
        <v>673</v>
      </c>
      <c r="B106" s="908" t="s">
        <v>1991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1992</v>
      </c>
      <c r="C107" s="920">
        <v>3300</v>
      </c>
      <c r="D107" s="911" t="str">
        <f>'Revenues 9-14'!A145</f>
        <v>Total Bilingual Ed</v>
      </c>
      <c r="E107" s="906"/>
      <c r="F107" s="1789">
        <f>SUM('Revenues 9-14'!C145,'Revenues 9-14'!G145)</f>
        <v>0</v>
      </c>
      <c r="G107" s="912"/>
    </row>
    <row r="108" spans="1:7" x14ac:dyDescent="0.2">
      <c r="A108" s="908" t="s">
        <v>459</v>
      </c>
      <c r="B108" s="908" t="s">
        <v>1993</v>
      </c>
      <c r="C108" s="920">
        <f>'Revenues 9-14'!B146</f>
        <v>3360</v>
      </c>
      <c r="D108" s="911" t="str">
        <f>'Revenues 9-14'!A146</f>
        <v>State Free Lunch &amp; Breakfast</v>
      </c>
      <c r="E108" s="906"/>
      <c r="F108" s="1789">
        <f>'Revenues 9-14'!C146</f>
        <v>10668</v>
      </c>
      <c r="G108" s="912"/>
    </row>
    <row r="109" spans="1:7" x14ac:dyDescent="0.2">
      <c r="A109" s="908" t="s">
        <v>673</v>
      </c>
      <c r="B109" s="908" t="s">
        <v>1994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1995</v>
      </c>
      <c r="C110" s="920">
        <f>'Revenues 9-14'!B148</f>
        <v>3370</v>
      </c>
      <c r="D110" s="911" t="str">
        <f>'Revenues 9-14'!A148</f>
        <v>Driver Education</v>
      </c>
      <c r="E110" s="906"/>
      <c r="F110" s="1789">
        <f>SUM('Revenues 9-14'!C148,'Revenues 9-14'!D148)</f>
        <v>0</v>
      </c>
      <c r="G110" s="912"/>
    </row>
    <row r="111" spans="1:7" x14ac:dyDescent="0.2">
      <c r="A111" s="908" t="s">
        <v>668</v>
      </c>
      <c r="B111" s="908" t="s">
        <v>1996</v>
      </c>
      <c r="C111" s="922">
        <v>3500</v>
      </c>
      <c r="D111" s="911" t="str">
        <f>'Revenues 9-14'!A155</f>
        <v>Total Transportation</v>
      </c>
      <c r="E111" s="906"/>
      <c r="F111" s="1789">
        <f>SUM('Revenues 9-14'!C155,'Revenues 9-14'!D155,'Revenues 9-14'!F155,'Revenues 9-14'!G155)</f>
        <v>704093</v>
      </c>
      <c r="G111" s="912"/>
    </row>
    <row r="112" spans="1:7" x14ac:dyDescent="0.2">
      <c r="A112" s="908" t="s">
        <v>459</v>
      </c>
      <c r="B112" s="908" t="s">
        <v>1997</v>
      </c>
      <c r="C112" s="920">
        <f>'Revenues 9-14'!B156</f>
        <v>3610</v>
      </c>
      <c r="D112" s="911" t="str">
        <f>'Revenues 9-14'!A156</f>
        <v>Learning Improvement - Change Grants</v>
      </c>
      <c r="E112" s="906"/>
      <c r="F112" s="1789">
        <f>'Revenues 9-14'!C156</f>
        <v>0</v>
      </c>
      <c r="G112" s="912"/>
    </row>
    <row r="113" spans="1:7" x14ac:dyDescent="0.2">
      <c r="A113" s="908" t="s">
        <v>668</v>
      </c>
      <c r="B113" s="908" t="s">
        <v>1998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1999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2002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2003</v>
      </c>
      <c r="C118" s="924">
        <f>'Revenues 9-14'!B163</f>
        <v>3780</v>
      </c>
      <c r="D118" s="925" t="str">
        <f>'Revenues 9-14'!A163</f>
        <v>Technology - Technology for Success</v>
      </c>
      <c r="E118" s="906"/>
      <c r="F118" s="1907">
        <f>SUM('Revenues 9-14'!C163:G163)</f>
        <v>0</v>
      </c>
      <c r="G118" s="912"/>
    </row>
    <row r="119" spans="1:7" x14ac:dyDescent="0.2">
      <c r="A119" s="923" t="s">
        <v>504</v>
      </c>
      <c r="B119" s="923" t="s">
        <v>2004</v>
      </c>
      <c r="C119" s="924">
        <f>'Revenues 9-14'!B164</f>
        <v>3815</v>
      </c>
      <c r="D119" s="925" t="str">
        <f>'Revenues 9-14'!A164</f>
        <v>State Charter Schools</v>
      </c>
      <c r="E119" s="906"/>
      <c r="F119" s="1907">
        <f>SUM('Revenues 9-14'!C164,'Revenues 9-14'!F164)</f>
        <v>0</v>
      </c>
      <c r="G119" s="912"/>
    </row>
    <row r="120" spans="1:7" x14ac:dyDescent="0.2">
      <c r="A120" s="927" t="s">
        <v>460</v>
      </c>
      <c r="B120" s="927" t="s">
        <v>2005</v>
      </c>
      <c r="C120" s="928">
        <f>'Revenues 9-14'!B167</f>
        <v>3925</v>
      </c>
      <c r="D120" s="929" t="str">
        <f>'Revenues 9-14'!A167</f>
        <v>School Infrastructure - Maintenance Projects</v>
      </c>
      <c r="E120" s="906"/>
      <c r="F120" s="1789">
        <f>'Revenues 9-14'!D167</f>
        <v>0</v>
      </c>
      <c r="G120" s="930"/>
    </row>
    <row r="121" spans="1:7" x14ac:dyDescent="0.2">
      <c r="A121" s="927" t="s">
        <v>500</v>
      </c>
      <c r="B121" s="927" t="s">
        <v>2006</v>
      </c>
      <c r="C121" s="928">
        <f>'Revenues 9-14'!B168</f>
        <v>3999</v>
      </c>
      <c r="D121" s="929" t="s">
        <v>543</v>
      </c>
      <c r="E121" s="931"/>
      <c r="F121" s="1789">
        <f>SUM('Revenues 9-14'!C168:G168,'Revenues 9-14'!J168)</f>
        <v>0</v>
      </c>
      <c r="G121" s="930"/>
    </row>
    <row r="122" spans="1:7" x14ac:dyDescent="0.2">
      <c r="A122" s="927" t="s">
        <v>459</v>
      </c>
      <c r="B122" s="927" t="s">
        <v>2007</v>
      </c>
      <c r="C122" s="932">
        <f>'Revenues 9-14'!B177</f>
        <v>4045</v>
      </c>
      <c r="D122" s="929" t="str">
        <f>'Revenues 9-14'!A177 &amp; " (Subtract)"</f>
        <v>Head Start (Subtract)</v>
      </c>
      <c r="E122" s="906"/>
      <c r="F122" s="1789">
        <f>SUM(-'Revenues 9-14'!C177)</f>
        <v>0</v>
      </c>
      <c r="G122" s="930"/>
    </row>
    <row r="123" spans="1:7" x14ac:dyDescent="0.2">
      <c r="A123" s="927" t="s">
        <v>668</v>
      </c>
      <c r="B123" s="927" t="s">
        <v>2008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2009</v>
      </c>
      <c r="C124" s="932">
        <v>4100</v>
      </c>
      <c r="D124" s="933" t="str">
        <f>'Revenues 9-14'!A188</f>
        <v>Total Title V</v>
      </c>
      <c r="E124" s="906"/>
      <c r="F124" s="1789">
        <f>SUM('Revenues 9-14'!C188,'Revenues 9-14'!D188,'Revenues 9-14'!F188,'Revenues 9-14'!G188)</f>
        <v>0</v>
      </c>
      <c r="G124" s="930"/>
    </row>
    <row r="125" spans="1:7" x14ac:dyDescent="0.2">
      <c r="A125" s="927" t="s">
        <v>664</v>
      </c>
      <c r="B125" s="927" t="s">
        <v>2010</v>
      </c>
      <c r="C125" s="932">
        <v>4200</v>
      </c>
      <c r="D125" s="929" t="str">
        <f>'Revenues 9-14'!A198</f>
        <v>Total Food Service</v>
      </c>
      <c r="E125" s="906"/>
      <c r="F125" s="1789">
        <f>SUM('Revenues 9-14'!C198,'Revenues 9-14'!G198)</f>
        <v>614769</v>
      </c>
      <c r="G125" s="930"/>
    </row>
    <row r="126" spans="1:7" x14ac:dyDescent="0.2">
      <c r="A126" s="927" t="s">
        <v>668</v>
      </c>
      <c r="B126" s="927" t="s">
        <v>2011</v>
      </c>
      <c r="C126" s="932">
        <v>4300</v>
      </c>
      <c r="D126" s="933" t="str">
        <f>'Revenues 9-14'!A204</f>
        <v>Total Title I</v>
      </c>
      <c r="E126" s="906"/>
      <c r="F126" s="1789">
        <f>SUM('Revenues 9-14'!C204,'Revenues 9-14'!D204,'Revenues 9-14'!F204,'Revenues 9-14'!G204)</f>
        <v>572650</v>
      </c>
      <c r="G126" s="930"/>
    </row>
    <row r="127" spans="1:7" x14ac:dyDescent="0.2">
      <c r="A127" s="927" t="s">
        <v>668</v>
      </c>
      <c r="B127" s="927" t="s">
        <v>2012</v>
      </c>
      <c r="C127" s="932">
        <v>4400</v>
      </c>
      <c r="D127" s="933" t="str">
        <f>'Revenues 9-14'!A209</f>
        <v>Total Title IV</v>
      </c>
      <c r="E127" s="906"/>
      <c r="F127" s="1789">
        <f>SUM('Revenues 9-14'!C209,'Revenues 9-14'!D209,'Revenues 9-14'!F209,'Revenues 9-14'!G209)</f>
        <v>30401</v>
      </c>
      <c r="G127" s="930"/>
    </row>
    <row r="128" spans="1:7" x14ac:dyDescent="0.2">
      <c r="A128" s="927" t="s">
        <v>668</v>
      </c>
      <c r="B128" s="927" t="s">
        <v>2013</v>
      </c>
      <c r="C128" s="932">
        <f>'Revenues 9-14'!B213</f>
        <v>4620</v>
      </c>
      <c r="D128" s="933" t="str">
        <f>'Revenues 9-14'!A213</f>
        <v>Fed - Spec Education - IDEA - Flow Through</v>
      </c>
      <c r="E128" s="906"/>
      <c r="F128" s="1789">
        <f>SUM('Revenues 9-14'!C213:D213,'Revenues 9-14'!F213:G213)</f>
        <v>455300</v>
      </c>
      <c r="G128" s="930"/>
    </row>
    <row r="129" spans="1:7" x14ac:dyDescent="0.2">
      <c r="A129" s="927" t="s">
        <v>668</v>
      </c>
      <c r="B129" s="927" t="s">
        <v>2014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2015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2016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2017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2018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2019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2022</v>
      </c>
      <c r="C138" s="935" t="s">
        <v>212</v>
      </c>
      <c r="D138" s="936" t="str">
        <f>'Revenues 9-14'!A229</f>
        <v>ARRA - IDEA - Part B - Preschool</v>
      </c>
      <c r="E138" s="937"/>
      <c r="F138" s="1789">
        <v>0</v>
      </c>
      <c r="G138" s="905"/>
    </row>
    <row r="139" spans="1:7" s="867" customFormat="1" hidden="1" x14ac:dyDescent="0.2">
      <c r="A139" s="934" t="s">
        <v>206</v>
      </c>
      <c r="B139" s="934" t="s">
        <v>2023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2024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2025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2026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2027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2028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2029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2031</v>
      </c>
      <c r="C157" s="940" t="s">
        <v>841</v>
      </c>
      <c r="D157" s="941" t="s">
        <v>777</v>
      </c>
      <c r="E157" s="942"/>
      <c r="F157" s="1789">
        <f>SUM(F133:F156)</f>
        <v>0</v>
      </c>
      <c r="G157" s="905"/>
    </row>
    <row r="158" spans="1:7" s="867" customFormat="1" x14ac:dyDescent="0.2">
      <c r="A158" s="938" t="s">
        <v>459</v>
      </c>
      <c r="B158" s="939" t="s">
        <v>2032</v>
      </c>
      <c r="C158" s="940" t="s">
        <v>1426</v>
      </c>
      <c r="D158" s="941" t="s">
        <v>1427</v>
      </c>
      <c r="E158" s="942"/>
      <c r="F158" s="1789">
        <f>SUM('Revenues 9-14'!C253)</f>
        <v>0</v>
      </c>
      <c r="G158" s="905"/>
    </row>
    <row r="159" spans="1:7" s="867" customFormat="1" x14ac:dyDescent="0.2">
      <c r="A159" s="938" t="s">
        <v>500</v>
      </c>
      <c r="B159" s="939" t="s">
        <v>2033</v>
      </c>
      <c r="C159" s="940" t="s">
        <v>1465</v>
      </c>
      <c r="D159" s="941" t="s">
        <v>1466</v>
      </c>
      <c r="E159" s="942"/>
      <c r="F159" s="1789">
        <f>SUM('Revenues 9-14'!C254:H254,'Revenues 9-14'!J254:K254)</f>
        <v>0</v>
      </c>
      <c r="G159" s="905"/>
    </row>
    <row r="160" spans="1:7" x14ac:dyDescent="0.2">
      <c r="A160" s="927" t="s">
        <v>5</v>
      </c>
      <c r="B160" s="927" t="s">
        <v>2034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2035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2036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2037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2038</v>
      </c>
      <c r="C164" s="932">
        <f>'Revenues 9-14'!B259</f>
        <v>4932</v>
      </c>
      <c r="D164" s="933" t="str">
        <f>'Revenues 9-14'!A259</f>
        <v>Title II - Teacher Quality</v>
      </c>
      <c r="E164" s="906"/>
      <c r="F164" s="1907">
        <f>SUM('Revenues 9-14'!C259,'Revenues 9-14'!D259,'Revenues 9-14'!F259,'Revenues 9-14'!G259)</f>
        <v>43975</v>
      </c>
      <c r="G164" s="930"/>
    </row>
    <row r="165" spans="1:7" x14ac:dyDescent="0.2">
      <c r="A165" s="927" t="s">
        <v>668</v>
      </c>
      <c r="B165" s="927" t="s">
        <v>2039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1984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1985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2040</v>
      </c>
      <c r="C168" s="932">
        <f>'Revenues 9-14'!B263</f>
        <v>4991</v>
      </c>
      <c r="D168" s="933" t="str">
        <f>'Revenues 9-14'!A263</f>
        <v>Medicaid Matching Funds - Administrative Outreach</v>
      </c>
      <c r="E168" s="906"/>
      <c r="F168" s="1789">
        <f>SUM('Revenues 9-14'!C263:D263,'Revenues 9-14'!F263:G263)</f>
        <v>30350</v>
      </c>
      <c r="G168" s="947">
        <v>6320</v>
      </c>
    </row>
    <row r="169" spans="1:7" x14ac:dyDescent="0.2">
      <c r="A169" s="927" t="s">
        <v>668</v>
      </c>
      <c r="B169" s="927" t="s">
        <v>2041</v>
      </c>
      <c r="C169" s="932">
        <f>'Revenues 9-14'!B264</f>
        <v>4992</v>
      </c>
      <c r="D169" s="933" t="str">
        <f>'Revenues 9-14'!A264</f>
        <v>Medicaid Matching Funds - Fee-for-Service Program</v>
      </c>
      <c r="E169" s="906"/>
      <c r="F169" s="1789">
        <f>SUM('Revenues 9-14'!C264:D264,'Revenues 9-14'!F264:G264)</f>
        <v>66618</v>
      </c>
      <c r="G169" s="947"/>
    </row>
    <row r="170" spans="1:7" x14ac:dyDescent="0.2">
      <c r="A170" s="948" t="s">
        <v>668</v>
      </c>
      <c r="B170" s="944" t="s">
        <v>2042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1908</v>
      </c>
      <c r="C171" s="1920">
        <v>3100</v>
      </c>
      <c r="D171" s="1921" t="s">
        <v>1910</v>
      </c>
      <c r="E171" s="906"/>
      <c r="F171" s="1906"/>
      <c r="G171" s="927"/>
    </row>
    <row r="172" spans="1:7" x14ac:dyDescent="0.2">
      <c r="A172" s="1918" t="s">
        <v>664</v>
      </c>
      <c r="B172" s="1919" t="s">
        <v>1908</v>
      </c>
      <c r="C172" s="1920">
        <v>3300</v>
      </c>
      <c r="D172" s="1921" t="s">
        <v>1911</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2043</v>
      </c>
      <c r="E174" s="1787" t="s">
        <v>958</v>
      </c>
      <c r="F174" s="1788">
        <f>SUM(F84:F132,F157:F172)</f>
        <v>3354360</v>
      </c>
    </row>
    <row r="175" spans="1:7" ht="12" customHeight="1" x14ac:dyDescent="0.2">
      <c r="A175" s="1770"/>
      <c r="B175" s="1784"/>
      <c r="C175" s="1785"/>
      <c r="D175" s="1786" t="s">
        <v>2044</v>
      </c>
      <c r="E175" s="1787"/>
      <c r="F175" s="1789">
        <f>'PCTC-OEPP 27-28'!F77-F174</f>
        <v>18753821</v>
      </c>
    </row>
    <row r="176" spans="1:7" ht="12" customHeight="1" x14ac:dyDescent="0.2">
      <c r="A176" s="1770"/>
      <c r="B176" s="1784"/>
      <c r="C176" s="1785"/>
      <c r="D176" s="1786" t="s">
        <v>1807</v>
      </c>
      <c r="E176" s="1787"/>
      <c r="F176" s="1789">
        <f>'Cap Outlay Deprec 26'!I18</f>
        <v>1815730.9</v>
      </c>
    </row>
    <row r="177" spans="1:7" ht="12" customHeight="1" x14ac:dyDescent="0.2">
      <c r="A177" s="1770"/>
      <c r="B177" s="1784"/>
      <c r="C177" s="1785"/>
      <c r="D177" s="1786" t="s">
        <v>2045</v>
      </c>
      <c r="E177" s="1787"/>
      <c r="F177" s="1789">
        <f>F175+F176</f>
        <v>20569551.899999999</v>
      </c>
    </row>
    <row r="178" spans="1:7" ht="12" customHeight="1" x14ac:dyDescent="0.2">
      <c r="A178" s="1770"/>
      <c r="B178" s="1790"/>
      <c r="C178" s="1785"/>
      <c r="D178" s="1786" t="str">
        <f>D78</f>
        <v>9 Month ADA from District Average Daily Attendance/Prior General State Aid Inquiry 2018-2019</v>
      </c>
      <c r="E178" s="1787"/>
      <c r="F178" s="1791">
        <f>'PCTC-OEPP 27-28'!F78</f>
        <v>2226.9</v>
      </c>
      <c r="G178" s="930"/>
    </row>
    <row r="179" spans="1:7" ht="12" customHeight="1" thickBot="1" x14ac:dyDescent="0.25">
      <c r="A179" s="1770"/>
      <c r="B179" s="1790"/>
      <c r="C179" s="1785"/>
      <c r="D179" s="1786" t="s">
        <v>2046</v>
      </c>
      <c r="E179" s="1787" t="s">
        <v>1544</v>
      </c>
      <c r="F179" s="1792">
        <f>F177/F178</f>
        <v>9236.8547756971566</v>
      </c>
      <c r="G179" s="856">
        <v>6323</v>
      </c>
    </row>
    <row r="180" spans="1:7" ht="12" thickTop="1" x14ac:dyDescent="0.2">
      <c r="B180" s="930"/>
      <c r="C180" s="949"/>
      <c r="D180" s="930"/>
      <c r="E180" s="949"/>
      <c r="F180" s="930"/>
      <c r="G180" s="951">
        <v>6326</v>
      </c>
    </row>
    <row r="181" spans="1:7" ht="12.2" customHeight="1" x14ac:dyDescent="0.2">
      <c r="A181" s="930" t="s">
        <v>1909</v>
      </c>
      <c r="B181" s="930"/>
      <c r="C181" s="949"/>
      <c r="D181" s="930"/>
      <c r="E181" s="949"/>
      <c r="F181" s="930"/>
      <c r="G181" s="930"/>
    </row>
    <row r="182" spans="1:7" s="1922" customFormat="1" ht="12.2" customHeight="1" x14ac:dyDescent="0.2">
      <c r="A182" s="1922" t="s">
        <v>1981</v>
      </c>
      <c r="B182" s="1923"/>
      <c r="C182" s="1924"/>
      <c r="D182" s="1923"/>
      <c r="E182" s="1924"/>
      <c r="F182" s="1923"/>
      <c r="G182" s="1923"/>
    </row>
    <row r="183" spans="1:7" s="1922" customFormat="1" ht="12.2" customHeight="1" x14ac:dyDescent="0.2">
      <c r="A183" s="1925" t="s">
        <v>1983</v>
      </c>
      <c r="C183" s="1924"/>
      <c r="D183" s="1923"/>
      <c r="E183" s="1924"/>
      <c r="F183" s="1923"/>
      <c r="G183" s="1923"/>
    </row>
    <row r="184" spans="1:7" ht="12" customHeight="1" x14ac:dyDescent="0.2">
      <c r="C184" s="949"/>
      <c r="D184" s="930"/>
      <c r="E184" s="949"/>
      <c r="F184" s="930"/>
      <c r="G184" s="930"/>
    </row>
    <row r="185" spans="1:7" x14ac:dyDescent="0.2">
      <c r="A185" s="1926" t="s">
        <v>1913</v>
      </c>
      <c r="B185" s="1927" t="s">
        <v>1912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8" zoomScaleNormal="100" workbookViewId="0">
      <selection activeCell="G53" sqref="G5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6" t="s">
        <v>1808</v>
      </c>
      <c r="B4" s="2277"/>
      <c r="C4" s="2277"/>
      <c r="D4" s="2277"/>
      <c r="E4" s="2277"/>
      <c r="F4" s="2277"/>
      <c r="G4" s="2278"/>
    </row>
    <row r="5" spans="1:7" x14ac:dyDescent="0.25">
      <c r="A5" s="2279"/>
      <c r="B5" s="2280"/>
      <c r="C5" s="2280"/>
      <c r="D5" s="2280"/>
      <c r="E5" s="2280"/>
      <c r="F5" s="2280"/>
      <c r="G5" s="2281"/>
    </row>
    <row r="6" spans="1:7" ht="18.75" x14ac:dyDescent="0.25">
      <c r="A6" s="1936" t="s">
        <v>2053</v>
      </c>
      <c r="B6" s="1937"/>
      <c r="C6" s="1937"/>
      <c r="D6" s="1937"/>
      <c r="E6" s="1937"/>
      <c r="F6" s="1937"/>
      <c r="G6" s="1938"/>
    </row>
    <row r="7" spans="1:7" ht="18.75" x14ac:dyDescent="0.25">
      <c r="A7" s="1534" t="s">
        <v>1809</v>
      </c>
      <c r="B7" s="1535"/>
      <c r="C7" s="1535"/>
      <c r="D7" s="1535"/>
      <c r="E7" s="1535"/>
      <c r="F7" s="1535"/>
      <c r="G7" s="1536"/>
    </row>
    <row r="8" spans="1:7" ht="30.75" customHeight="1" x14ac:dyDescent="0.25">
      <c r="A8" s="2282" t="s">
        <v>1920</v>
      </c>
      <c r="B8" s="2283"/>
      <c r="C8" s="2283"/>
      <c r="D8" s="2283"/>
      <c r="E8" s="2283"/>
      <c r="F8" s="2283"/>
      <c r="G8" s="2284"/>
    </row>
    <row r="9" spans="1:7" ht="15.75" customHeight="1" x14ac:dyDescent="0.25">
      <c r="A9" s="2285" t="s">
        <v>1895</v>
      </c>
      <c r="B9" s="2286"/>
      <c r="C9" s="2286"/>
      <c r="D9" s="2286"/>
      <c r="E9" s="2286"/>
      <c r="F9" s="2286"/>
      <c r="G9" s="2287"/>
    </row>
    <row r="10" spans="1:7" ht="35.25" customHeight="1" x14ac:dyDescent="0.25">
      <c r="A10" s="2282" t="s">
        <v>2052</v>
      </c>
      <c r="B10" s="2283"/>
      <c r="C10" s="2283"/>
      <c r="D10" s="2283"/>
      <c r="E10" s="2283"/>
      <c r="F10" s="2283"/>
      <c r="G10" s="2284"/>
    </row>
    <row r="11" spans="1:7" ht="15" customHeight="1" x14ac:dyDescent="0.25">
      <c r="A11" s="1537" t="s">
        <v>1810</v>
      </c>
      <c r="B11" s="1538"/>
      <c r="C11" s="1538"/>
      <c r="D11" s="1538"/>
      <c r="E11" s="1538"/>
      <c r="F11" s="1538"/>
      <c r="G11" s="1539"/>
    </row>
    <row r="12" spans="1:7" ht="17.25" customHeight="1" x14ac:dyDescent="0.25">
      <c r="A12" s="2282" t="s">
        <v>1922</v>
      </c>
      <c r="B12" s="2283"/>
      <c r="C12" s="2283"/>
      <c r="D12" s="2283"/>
      <c r="E12" s="2283"/>
      <c r="F12" s="2283"/>
      <c r="G12" s="2284"/>
    </row>
    <row r="13" spans="1:7" ht="15" customHeight="1" x14ac:dyDescent="0.25">
      <c r="A13" s="1537" t="s">
        <v>1815</v>
      </c>
      <c r="B13" s="1538"/>
      <c r="C13" s="1538"/>
      <c r="D13" s="1538"/>
      <c r="E13" s="1538"/>
      <c r="F13" s="1538"/>
      <c r="G13" s="1539"/>
    </row>
    <row r="14" spans="1:7" ht="32.25" customHeight="1" x14ac:dyDescent="0.25">
      <c r="A14" s="2273" t="s">
        <v>1963</v>
      </c>
      <c r="B14" s="2274"/>
      <c r="C14" s="2274"/>
      <c r="D14" s="2274"/>
      <c r="E14" s="2274"/>
      <c r="F14" s="2274"/>
      <c r="G14" s="2275"/>
    </row>
    <row r="15" spans="1:7" x14ac:dyDescent="0.25">
      <c r="A15" s="1661" t="s">
        <v>1823</v>
      </c>
      <c r="B15" s="1662"/>
      <c r="C15" s="1662"/>
      <c r="D15" s="1662"/>
      <c r="E15" s="1662"/>
      <c r="F15" s="1662"/>
      <c r="G15" s="1663"/>
    </row>
    <row r="16" spans="1:7" ht="61.5" customHeight="1" x14ac:dyDescent="0.25">
      <c r="A16" s="1546" t="s">
        <v>1816</v>
      </c>
      <c r="B16" s="1546" t="s">
        <v>1817</v>
      </c>
      <c r="C16" s="1546" t="s">
        <v>1818</v>
      </c>
      <c r="D16" s="1547" t="s">
        <v>1819</v>
      </c>
      <c r="E16" s="1547" t="s">
        <v>1811</v>
      </c>
      <c r="F16" s="1547" t="s">
        <v>1820</v>
      </c>
      <c r="G16" s="1547" t="s">
        <v>1821</v>
      </c>
    </row>
    <row r="17" spans="1:8" x14ac:dyDescent="0.25">
      <c r="A17" s="1648" t="s">
        <v>1824</v>
      </c>
      <c r="B17" s="1649" t="s">
        <v>1814</v>
      </c>
      <c r="C17" s="1650" t="s">
        <v>1812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4" t="s">
        <v>2125</v>
      </c>
      <c r="B18" s="2493" t="s">
        <v>2158</v>
      </c>
      <c r="C18" s="1945" t="s">
        <v>2124</v>
      </c>
      <c r="D18" s="1844">
        <v>2470</v>
      </c>
      <c r="E18" s="1540">
        <f t="shared" ref="E18:E142" si="0">IF(D18&lt;=25000,D18,IF(D18&gt;25000,25000,0))</f>
        <v>2470</v>
      </c>
      <c r="F18" s="1935">
        <v>2470</v>
      </c>
      <c r="G18" s="1793">
        <f>IF(F18=0,0,D18-F18)</f>
        <v>0</v>
      </c>
      <c r="H18" s="1647"/>
    </row>
    <row r="19" spans="1:8" x14ac:dyDescent="0.25">
      <c r="A19" s="1944" t="s">
        <v>2125</v>
      </c>
      <c r="B19" s="2493" t="s">
        <v>2158</v>
      </c>
      <c r="C19" s="1945" t="s">
        <v>2126</v>
      </c>
      <c r="D19" s="1844">
        <v>53649</v>
      </c>
      <c r="E19" s="1540">
        <f t="shared" ref="E19:E141" si="1">IF(D19&lt;=25000,D19,IF(D19&gt;25000,25000,0))</f>
        <v>25000</v>
      </c>
      <c r="F19" s="1935">
        <v>25000</v>
      </c>
      <c r="G19" s="1793">
        <f t="shared" ref="G19:G141" si="2">IF(F19=0,0,D19-F19)</f>
        <v>28649</v>
      </c>
    </row>
    <row r="20" spans="1:8" x14ac:dyDescent="0.25">
      <c r="A20" s="1944" t="s">
        <v>2125</v>
      </c>
      <c r="B20" s="2493" t="s">
        <v>2158</v>
      </c>
      <c r="C20" s="1945" t="s">
        <v>2127</v>
      </c>
      <c r="D20" s="1844">
        <v>8552</v>
      </c>
      <c r="E20" s="1540">
        <f t="shared" si="1"/>
        <v>8552</v>
      </c>
      <c r="F20" s="1935">
        <v>8552</v>
      </c>
      <c r="G20" s="1793">
        <f t="shared" si="2"/>
        <v>0</v>
      </c>
    </row>
    <row r="21" spans="1:8" x14ac:dyDescent="0.25">
      <c r="A21" s="1944" t="s">
        <v>2125</v>
      </c>
      <c r="B21" s="2493" t="s">
        <v>2158</v>
      </c>
      <c r="C21" s="1945" t="s">
        <v>2128</v>
      </c>
      <c r="D21" s="1844">
        <v>1750</v>
      </c>
      <c r="E21" s="1540">
        <f t="shared" si="1"/>
        <v>1750</v>
      </c>
      <c r="F21" s="1935">
        <v>1750</v>
      </c>
      <c r="G21" s="1793">
        <f t="shared" si="2"/>
        <v>0</v>
      </c>
    </row>
    <row r="22" spans="1:8" x14ac:dyDescent="0.25">
      <c r="A22" s="1944" t="s">
        <v>2125</v>
      </c>
      <c r="B22" s="2493" t="s">
        <v>2158</v>
      </c>
      <c r="C22" s="1945" t="s">
        <v>2128</v>
      </c>
      <c r="D22" s="1844">
        <v>130.47</v>
      </c>
      <c r="E22" s="1540">
        <f t="shared" si="1"/>
        <v>130.47</v>
      </c>
      <c r="F22" s="1935">
        <v>130</v>
      </c>
      <c r="G22" s="1793">
        <f t="shared" si="2"/>
        <v>0.46999999999999886</v>
      </c>
    </row>
    <row r="23" spans="1:8" x14ac:dyDescent="0.25">
      <c r="A23" s="1944" t="s">
        <v>2125</v>
      </c>
      <c r="B23" s="2493" t="s">
        <v>2158</v>
      </c>
      <c r="C23" s="1945" t="s">
        <v>2128</v>
      </c>
      <c r="D23" s="1844">
        <v>5123</v>
      </c>
      <c r="E23" s="1540">
        <f t="shared" si="1"/>
        <v>5123</v>
      </c>
      <c r="F23" s="1935">
        <v>5123</v>
      </c>
      <c r="G23" s="1793">
        <f t="shared" si="2"/>
        <v>0</v>
      </c>
    </row>
    <row r="24" spans="1:8" x14ac:dyDescent="0.25">
      <c r="A24" s="1944" t="s">
        <v>2125</v>
      </c>
      <c r="B24" s="2493" t="s">
        <v>2158</v>
      </c>
      <c r="C24" s="1945" t="s">
        <v>2126</v>
      </c>
      <c r="D24" s="1844">
        <v>300</v>
      </c>
      <c r="E24" s="1540">
        <f t="shared" si="1"/>
        <v>300</v>
      </c>
      <c r="F24" s="1935">
        <v>300</v>
      </c>
      <c r="G24" s="1793">
        <f t="shared" si="2"/>
        <v>0</v>
      </c>
    </row>
    <row r="25" spans="1:8" x14ac:dyDescent="0.25">
      <c r="A25" s="1944" t="s">
        <v>2125</v>
      </c>
      <c r="B25" s="2493" t="s">
        <v>2158</v>
      </c>
      <c r="C25" s="1945" t="s">
        <v>2129</v>
      </c>
      <c r="D25" s="1844">
        <v>2550</v>
      </c>
      <c r="E25" s="1540">
        <f t="shared" si="1"/>
        <v>2550</v>
      </c>
      <c r="F25" s="1935">
        <v>2550</v>
      </c>
      <c r="G25" s="1793">
        <f t="shared" si="2"/>
        <v>0</v>
      </c>
    </row>
    <row r="26" spans="1:8" x14ac:dyDescent="0.25">
      <c r="A26" s="1944" t="s">
        <v>2125</v>
      </c>
      <c r="B26" s="2493" t="s">
        <v>2158</v>
      </c>
      <c r="C26" s="1945" t="s">
        <v>2130</v>
      </c>
      <c r="D26" s="1844">
        <v>1415</v>
      </c>
      <c r="E26" s="1540">
        <f t="shared" si="1"/>
        <v>1415</v>
      </c>
      <c r="F26" s="1935">
        <v>1415</v>
      </c>
      <c r="G26" s="1793">
        <f t="shared" si="2"/>
        <v>0</v>
      </c>
    </row>
    <row r="27" spans="1:8" x14ac:dyDescent="0.25">
      <c r="A27" s="1944" t="s">
        <v>2125</v>
      </c>
      <c r="B27" s="2493" t="s">
        <v>2158</v>
      </c>
      <c r="C27" s="1945" t="s">
        <v>2131</v>
      </c>
      <c r="D27" s="1844">
        <v>20133</v>
      </c>
      <c r="E27" s="1540">
        <f t="shared" si="1"/>
        <v>20133</v>
      </c>
      <c r="F27" s="1935">
        <v>20133</v>
      </c>
      <c r="G27" s="1793">
        <f t="shared" si="2"/>
        <v>0</v>
      </c>
    </row>
    <row r="28" spans="1:8" x14ac:dyDescent="0.25">
      <c r="A28" s="1944" t="s">
        <v>2125</v>
      </c>
      <c r="B28" s="2493" t="s">
        <v>2158</v>
      </c>
      <c r="C28" s="1945" t="s">
        <v>2132</v>
      </c>
      <c r="D28" s="1844">
        <v>7035</v>
      </c>
      <c r="E28" s="1540">
        <f t="shared" si="1"/>
        <v>7035</v>
      </c>
      <c r="F28" s="1935">
        <v>7035</v>
      </c>
      <c r="G28" s="1793">
        <f t="shared" si="2"/>
        <v>0</v>
      </c>
    </row>
    <row r="29" spans="1:8" x14ac:dyDescent="0.25">
      <c r="A29" s="1944" t="s">
        <v>2125</v>
      </c>
      <c r="B29" s="2493" t="s">
        <v>2158</v>
      </c>
      <c r="C29" s="1945" t="s">
        <v>2133</v>
      </c>
      <c r="D29" s="1844">
        <v>2974</v>
      </c>
      <c r="E29" s="1540">
        <f t="shared" si="1"/>
        <v>2974</v>
      </c>
      <c r="F29" s="1935">
        <v>2974</v>
      </c>
      <c r="G29" s="1793">
        <f t="shared" si="2"/>
        <v>0</v>
      </c>
    </row>
    <row r="30" spans="1:8" x14ac:dyDescent="0.25">
      <c r="A30" s="1944" t="s">
        <v>2125</v>
      </c>
      <c r="B30" s="2493" t="s">
        <v>2158</v>
      </c>
      <c r="C30" s="1945" t="s">
        <v>2134</v>
      </c>
      <c r="D30" s="1844">
        <v>119</v>
      </c>
      <c r="E30" s="1540">
        <f t="shared" si="1"/>
        <v>119</v>
      </c>
      <c r="F30" s="1935">
        <v>119</v>
      </c>
      <c r="G30" s="1793">
        <f t="shared" si="2"/>
        <v>0</v>
      </c>
    </row>
    <row r="31" spans="1:8" x14ac:dyDescent="0.25">
      <c r="A31" s="1944" t="s">
        <v>2125</v>
      </c>
      <c r="B31" s="2493" t="s">
        <v>2158</v>
      </c>
      <c r="C31" s="1945" t="s">
        <v>2135</v>
      </c>
      <c r="D31" s="1844">
        <v>162</v>
      </c>
      <c r="E31" s="1540">
        <f t="shared" si="1"/>
        <v>162</v>
      </c>
      <c r="F31" s="1935">
        <v>162</v>
      </c>
      <c r="G31" s="1793">
        <f t="shared" si="2"/>
        <v>0</v>
      </c>
    </row>
    <row r="32" spans="1:8" x14ac:dyDescent="0.25">
      <c r="A32" s="1944" t="s">
        <v>2125</v>
      </c>
      <c r="B32" s="2493" t="s">
        <v>2158</v>
      </c>
      <c r="C32" s="1945" t="s">
        <v>2136</v>
      </c>
      <c r="D32" s="1844">
        <v>2030</v>
      </c>
      <c r="E32" s="1540">
        <f t="shared" si="1"/>
        <v>2030</v>
      </c>
      <c r="F32" s="1935">
        <v>2030</v>
      </c>
      <c r="G32" s="1793">
        <f t="shared" si="2"/>
        <v>0</v>
      </c>
    </row>
    <row r="33" spans="1:7" x14ac:dyDescent="0.25">
      <c r="A33" s="1944" t="s">
        <v>2125</v>
      </c>
      <c r="B33" s="2493" t="s">
        <v>2158</v>
      </c>
      <c r="C33" s="1945" t="s">
        <v>2137</v>
      </c>
      <c r="D33" s="1844">
        <v>50</v>
      </c>
      <c r="E33" s="1540">
        <f t="shared" si="1"/>
        <v>50</v>
      </c>
      <c r="F33" s="1935">
        <v>50</v>
      </c>
      <c r="G33" s="1793">
        <f t="shared" si="2"/>
        <v>0</v>
      </c>
    </row>
    <row r="34" spans="1:7" x14ac:dyDescent="0.25">
      <c r="A34" s="1944" t="s">
        <v>2125</v>
      </c>
      <c r="B34" s="2493" t="s">
        <v>2158</v>
      </c>
      <c r="C34" s="1945" t="s">
        <v>2138</v>
      </c>
      <c r="D34" s="1844">
        <v>2000</v>
      </c>
      <c r="E34" s="1540">
        <f t="shared" si="1"/>
        <v>2000</v>
      </c>
      <c r="F34" s="1935">
        <v>2000</v>
      </c>
      <c r="G34" s="1793">
        <f t="shared" si="2"/>
        <v>0</v>
      </c>
    </row>
    <row r="35" spans="1:7" x14ac:dyDescent="0.25">
      <c r="A35" s="1944" t="s">
        <v>2125</v>
      </c>
      <c r="B35" s="2493" t="s">
        <v>2158</v>
      </c>
      <c r="C35" s="1945" t="s">
        <v>2139</v>
      </c>
      <c r="D35" s="1844">
        <v>5213</v>
      </c>
      <c r="E35" s="1540">
        <f t="shared" si="1"/>
        <v>5213</v>
      </c>
      <c r="F35" s="1935">
        <v>5213</v>
      </c>
      <c r="G35" s="1793">
        <f t="shared" si="2"/>
        <v>0</v>
      </c>
    </row>
    <row r="36" spans="1:7" x14ac:dyDescent="0.25">
      <c r="A36" s="1944" t="s">
        <v>2125</v>
      </c>
      <c r="B36" s="2493" t="s">
        <v>2158</v>
      </c>
      <c r="C36" s="1945" t="s">
        <v>2140</v>
      </c>
      <c r="D36" s="1844">
        <v>9950</v>
      </c>
      <c r="E36" s="1540">
        <f t="shared" si="1"/>
        <v>9950</v>
      </c>
      <c r="F36" s="1935">
        <v>9950</v>
      </c>
      <c r="G36" s="1793">
        <f t="shared" si="2"/>
        <v>0</v>
      </c>
    </row>
    <row r="37" spans="1:7" x14ac:dyDescent="0.25">
      <c r="A37" s="1944" t="s">
        <v>2125</v>
      </c>
      <c r="B37" s="2493" t="s">
        <v>2158</v>
      </c>
      <c r="C37" s="1945" t="s">
        <v>2141</v>
      </c>
      <c r="D37" s="1844">
        <v>1728</v>
      </c>
      <c r="E37" s="1540">
        <f t="shared" si="1"/>
        <v>1728</v>
      </c>
      <c r="F37" s="1935">
        <v>1728</v>
      </c>
      <c r="G37" s="1793">
        <f t="shared" si="2"/>
        <v>0</v>
      </c>
    </row>
    <row r="38" spans="1:7" x14ac:dyDescent="0.25">
      <c r="A38" s="1944" t="s">
        <v>2125</v>
      </c>
      <c r="B38" s="2493" t="s">
        <v>2159</v>
      </c>
      <c r="C38" s="1945" t="s">
        <v>2144</v>
      </c>
      <c r="D38" s="1844">
        <v>10221</v>
      </c>
      <c r="E38" s="1540">
        <f t="shared" si="1"/>
        <v>10221</v>
      </c>
      <c r="F38" s="1935">
        <v>10221</v>
      </c>
      <c r="G38" s="1793">
        <f t="shared" si="2"/>
        <v>0</v>
      </c>
    </row>
    <row r="39" spans="1:7" x14ac:dyDescent="0.25">
      <c r="A39" s="1944" t="s">
        <v>2155</v>
      </c>
      <c r="B39" s="2493" t="s">
        <v>2160</v>
      </c>
      <c r="C39" s="1945" t="s">
        <v>2142</v>
      </c>
      <c r="D39" s="1844">
        <v>31600</v>
      </c>
      <c r="E39" s="1540">
        <f t="shared" ref="E39:E40" si="3">IF(D39&lt;=25000,D39,IF(D39&gt;25000,25000,0))</f>
        <v>25000</v>
      </c>
      <c r="F39" s="1935">
        <v>25000</v>
      </c>
      <c r="G39" s="1793">
        <f t="shared" ref="G39:G40" si="4">IF(F39=0,0,D39-F39)</f>
        <v>6600</v>
      </c>
    </row>
    <row r="40" spans="1:7" x14ac:dyDescent="0.25">
      <c r="A40" s="1944" t="s">
        <v>2155</v>
      </c>
      <c r="B40" s="2493" t="s">
        <v>2160</v>
      </c>
      <c r="C40" s="1945" t="s">
        <v>2143</v>
      </c>
      <c r="D40" s="1844">
        <v>15049</v>
      </c>
      <c r="E40" s="1540">
        <f t="shared" si="3"/>
        <v>15049</v>
      </c>
      <c r="F40" s="1935">
        <v>15049</v>
      </c>
      <c r="G40" s="1793">
        <f t="shared" si="4"/>
        <v>0</v>
      </c>
    </row>
    <row r="41" spans="1:7" x14ac:dyDescent="0.25">
      <c r="A41" s="1944" t="s">
        <v>2155</v>
      </c>
      <c r="B41" s="2493" t="s">
        <v>2160</v>
      </c>
      <c r="C41" s="1945" t="s">
        <v>2145</v>
      </c>
      <c r="D41" s="1844">
        <v>2550</v>
      </c>
      <c r="E41" s="1540">
        <f t="shared" si="1"/>
        <v>2550</v>
      </c>
      <c r="F41" s="1935">
        <v>2550</v>
      </c>
      <c r="G41" s="1793">
        <f t="shared" si="2"/>
        <v>0</v>
      </c>
    </row>
    <row r="42" spans="1:7" x14ac:dyDescent="0.25">
      <c r="A42" s="1944" t="s">
        <v>2156</v>
      </c>
      <c r="B42" s="2493" t="s">
        <v>2161</v>
      </c>
      <c r="C42" s="1945" t="s">
        <v>2146</v>
      </c>
      <c r="D42" s="1844">
        <v>11743</v>
      </c>
      <c r="E42" s="1540">
        <f t="shared" si="1"/>
        <v>11743</v>
      </c>
      <c r="F42" s="1935">
        <v>11743</v>
      </c>
      <c r="G42" s="1793">
        <f t="shared" si="2"/>
        <v>0</v>
      </c>
    </row>
    <row r="43" spans="1:7" x14ac:dyDescent="0.25">
      <c r="A43" s="1944" t="s">
        <v>2157</v>
      </c>
      <c r="B43" s="2494" t="s">
        <v>2162</v>
      </c>
      <c r="C43" s="1945" t="s">
        <v>2147</v>
      </c>
      <c r="D43" s="1844">
        <v>3369</v>
      </c>
      <c r="E43" s="1540">
        <f t="shared" si="1"/>
        <v>3369</v>
      </c>
      <c r="F43" s="1935">
        <v>3369</v>
      </c>
      <c r="G43" s="1793">
        <f t="shared" si="2"/>
        <v>0</v>
      </c>
    </row>
    <row r="44" spans="1:7" x14ac:dyDescent="0.25">
      <c r="A44" s="1944" t="s">
        <v>2123</v>
      </c>
      <c r="B44" s="2494" t="s">
        <v>2163</v>
      </c>
      <c r="C44" s="1945" t="s">
        <v>2148</v>
      </c>
      <c r="D44" s="1844">
        <v>27536.25</v>
      </c>
      <c r="E44" s="1540">
        <f t="shared" si="1"/>
        <v>25000</v>
      </c>
      <c r="F44" s="1935">
        <v>25000</v>
      </c>
      <c r="G44" s="1793">
        <f t="shared" si="2"/>
        <v>2536.25</v>
      </c>
    </row>
    <row r="45" spans="1:7" x14ac:dyDescent="0.25">
      <c r="A45" s="1653"/>
      <c r="B45" s="1933"/>
      <c r="C45" s="1654"/>
      <c r="D45" s="1844"/>
      <c r="E45" s="1540">
        <f t="shared" si="1"/>
        <v>0</v>
      </c>
      <c r="F45" s="1935">
        <f t="shared" ref="F45:F81" si="5">(IF(D45="",0,(IF(OR(B45="10-1000-100",B45="10-1000-200",B45="10-1000-300",B45="10-1000-400",B45="10-1000-600",B45="10-1000-800",B45="50-1000-200",B45="10-2100-100",B45="10-2100-200",B45="10-2100-300",B45="10-2100-400",B45="10-2100-600",B45="10-2100-800",B45="20-2100-100",B45="20-2100-200",B45="20-2100-300",B45="20-2100-400",B45="20-2100-600",B45="20-2100-800",B45="40-2100-100",B45="40-2100-200",B45="40-2100-300",B45="40-2100-400",B45="40-2100-600",B45="40-2100-800",B45="50-2100-200",B45="10-2200-100",B45="10-2200-200",B45="10-2200-300",B45="10-2200-400",B45="10-2200-600",B45="10-2200-800",B45="50-2200-200",B45="10-2300-100",B45="10-2300-200",B45="10-2300-300",B45="10-2300-400",B45="10-2300-600",B45="10-2300-800",B45="50-2300-200",B45="80-2300-100",B45="80-2300-200",B45="80-2300-300",B45="80-2300-400",B45="80-2300-600",B45="80-2300-800",B45="10-2400-100",B45="10-2400-200",B45="10-2400-300",B45="10-2400-400",B45="10-2400-600",B45="10-2400-800",B45="50-2400-200",B45="10-2510-100",B45="10-2510-200",B45="10-2510-300",B45="10-2510-400",B45="10-2510-600",B45="10-2510-800",B45="20-2510-100",B45="20-2510-200",B45="20-2510-300",B45="20-2510-400",B45="20-2510-600",B45="20-2510-800",B45="50-2510-200",B45="10-2520-100",B45="10-2520-200",B45="10-2520-300",B45="10-2520-400",B45="10-2520-600",B45="10-2520-800",B45="50-2520-200",B45="10-2540-100",B45="10-2540-200",B45="10-2540-300",B45="10-2540-400",B45="10-2540-600",B45="10-2540-800",B45="20-2540-100",B45="20-2540-200",B45="20-2540-300",B45="20-2540-400",B45="20-2540-600",B45="20-2540-800",B45="50-2540-200",B45="10-2550-100",B45="10-2550-200",B45="10-2550-300",B45="10-2550-400",B45="10-2550-600",B45="10-2550-800",B45="20-2550-100",B45="20-2550-200",B45="20-2550-300",B45="20-2550-400",B45="20-2550-600",B45="20-2550-800",B45="40-2550-100",B45="40-2550-200",B45="40-2550-300",B45="40-2550-400",B45="40-2550-600",B45="40-2550-800",B45="50-2550-200",B45="10-2560-100",B45="10-2560-200",B45="10-2560-300",B45="10-2560-400",B45="10-2560-600",B45="10-2560-800",B45="50-2560-200",B45="10-2570-100",B45="10-2570-200",B45="10-2570-300",B45="10-2570-400",B45="10-2570-600",B45="10-2570-800",B45="50-2570-200",B45="10-2610-100",B45="10-2610-200",B45="10-2610-300",B45="10-2610-400",B45="10-2610-600",B45="10-2610-800",B45="50-2610-200",B45="10-2620-100",B45="10-2620-200",B45="10-2620-300",B45="10-2620-400",B45="10-2620-600",B45="10-2620-800",B45="50-2620-200",B45="10-2630-100",B45="10-2630-200",B45="10-2630-300",B45="10-2630-400",B45="10-2630-600",B45="10-2630-800",B45="50-2630-200",B45="10-2640-100",B45="10-2640-200",B45="10-2640-300",B45="10-2640-400",B45="10-2640-600",B45="10-2640-800",B45="50-2640-200",B45="10-2660-100",B45="10-2660-200",B45="10-2660-300",B45="10-2660-400",B45="10-2660-600",B45="10-2660-800",B45="50-2660-200",B45="10-2900-100",B45="10-2900-200",B45="10-2900-300",B45="10-2900-400",B45="10-2900-600",B45="10-2900-800",B45="20-2900-100",B45="20-2900-200",B45="20-2900-300",B45="20-2900-400",B45="20-2900-600",B45="20-2900-800",B45="40-2900-100",B45="40-2900-200",B45="40-2900-300",B45="40-2900-400",B45="40-2900-600",B45="40-2900-800",B45="50-2900-200",B45="10-3000-100",B45="10-3000-200",B45="10-3000-300",B45="10-3000-400",B45="10-3000-600",B45="10-3000-800",B45="20-3000-100",B45="20-3000-200",B45="20-3000-300",B45="20-3000-400",B45="20-3000-600",B45="20-3000-800",B45="40-3000-100",B45="40-3000-200",B45="40-3000-300",B45="40-3000-400",B45="40-3000-600",B45="40-3000-800",B45="50-3000-200"),E45,"Check func/obj # in Colm B"))))</f>
        <v>0</v>
      </c>
      <c r="G45" s="1793">
        <f t="shared" si="2"/>
        <v>0</v>
      </c>
    </row>
    <row r="46" spans="1:7" x14ac:dyDescent="0.25">
      <c r="A46" s="1944" t="s">
        <v>2149</v>
      </c>
      <c r="B46" s="2494" t="s">
        <v>2164</v>
      </c>
      <c r="C46" s="1945" t="s">
        <v>2150</v>
      </c>
      <c r="D46" s="1844">
        <v>4735</v>
      </c>
      <c r="E46" s="1540">
        <f t="shared" si="1"/>
        <v>4735</v>
      </c>
      <c r="F46" s="1935">
        <v>4735</v>
      </c>
      <c r="G46" s="1793">
        <f t="shared" si="2"/>
        <v>0</v>
      </c>
    </row>
    <row r="47" spans="1:7" x14ac:dyDescent="0.25">
      <c r="A47" s="1944" t="s">
        <v>2149</v>
      </c>
      <c r="B47" s="2494" t="s">
        <v>2164</v>
      </c>
      <c r="C47" s="1945" t="s">
        <v>2154</v>
      </c>
      <c r="D47" s="1844">
        <v>3990</v>
      </c>
      <c r="E47" s="1540">
        <f t="shared" si="1"/>
        <v>3990</v>
      </c>
      <c r="F47" s="1935">
        <v>3990</v>
      </c>
      <c r="G47" s="1793">
        <f t="shared" si="2"/>
        <v>0</v>
      </c>
    </row>
    <row r="48" spans="1:7" x14ac:dyDescent="0.25">
      <c r="A48" s="1944" t="s">
        <v>2149</v>
      </c>
      <c r="B48" s="2494" t="s">
        <v>2165</v>
      </c>
      <c r="C48" s="1945" t="s">
        <v>2151</v>
      </c>
      <c r="D48" s="1844">
        <v>729294</v>
      </c>
      <c r="E48" s="1540">
        <f t="shared" si="1"/>
        <v>25000</v>
      </c>
      <c r="F48" s="1935">
        <v>25000</v>
      </c>
      <c r="G48" s="1793">
        <f t="shared" si="2"/>
        <v>704294</v>
      </c>
    </row>
    <row r="49" spans="1:7" x14ac:dyDescent="0.25">
      <c r="A49" s="1944" t="s">
        <v>2149</v>
      </c>
      <c r="B49" s="2494" t="s">
        <v>2164</v>
      </c>
      <c r="C49" s="1945" t="s">
        <v>2152</v>
      </c>
      <c r="D49" s="1844">
        <v>42296</v>
      </c>
      <c r="E49" s="1540">
        <f t="shared" si="1"/>
        <v>25000</v>
      </c>
      <c r="F49" s="1935">
        <v>25000</v>
      </c>
      <c r="G49" s="1793">
        <f t="shared" si="2"/>
        <v>17296</v>
      </c>
    </row>
    <row r="50" spans="1:7" x14ac:dyDescent="0.25">
      <c r="A50" s="1944" t="s">
        <v>2149</v>
      </c>
      <c r="B50" s="2494" t="s">
        <v>2164</v>
      </c>
      <c r="C50" s="1945" t="s">
        <v>2153</v>
      </c>
      <c r="D50" s="1844">
        <v>21404</v>
      </c>
      <c r="E50" s="1540">
        <f t="shared" si="1"/>
        <v>21404</v>
      </c>
      <c r="F50" s="1935">
        <v>21404</v>
      </c>
      <c r="G50" s="1793">
        <f t="shared" si="2"/>
        <v>0</v>
      </c>
    </row>
    <row r="51" spans="1:7" x14ac:dyDescent="0.25">
      <c r="A51" s="1653"/>
      <c r="B51" s="1667"/>
      <c r="C51" s="1654"/>
      <c r="D51" s="1844"/>
      <c r="E51" s="1540">
        <f t="shared" si="1"/>
        <v>0</v>
      </c>
      <c r="F51" s="1935">
        <f t="shared" si="5"/>
        <v>0</v>
      </c>
      <c r="G51" s="1793">
        <f t="shared" si="2"/>
        <v>0</v>
      </c>
    </row>
    <row r="52" spans="1:7" x14ac:dyDescent="0.25">
      <c r="A52" s="1944" t="s">
        <v>156</v>
      </c>
      <c r="B52" s="1667"/>
      <c r="C52" s="1654"/>
      <c r="D52" s="1844">
        <f>SUM(D18:D50)</f>
        <v>1031120.72</v>
      </c>
      <c r="E52" s="1540">
        <f t="shared" si="1"/>
        <v>25000</v>
      </c>
      <c r="F52" s="1844">
        <f>SUM(F18:F50)</f>
        <v>271745</v>
      </c>
      <c r="G52" s="1793">
        <f t="shared" si="2"/>
        <v>759375.72</v>
      </c>
    </row>
    <row r="53" spans="1:7" x14ac:dyDescent="0.25">
      <c r="A53" s="1653"/>
      <c r="B53" s="1667"/>
      <c r="C53" s="1654"/>
      <c r="D53" s="1844"/>
      <c r="E53" s="1540">
        <f t="shared" si="1"/>
        <v>0</v>
      </c>
      <c r="F53" s="1935">
        <f t="shared" si="5"/>
        <v>0</v>
      </c>
      <c r="G53" s="1793">
        <f t="shared" si="2"/>
        <v>0</v>
      </c>
    </row>
    <row r="54" spans="1:7" x14ac:dyDescent="0.25">
      <c r="A54" s="1653"/>
      <c r="B54" s="1667"/>
      <c r="C54" s="1654"/>
      <c r="D54" s="1844"/>
      <c r="E54" s="1540">
        <f t="shared" si="1"/>
        <v>0</v>
      </c>
      <c r="F54" s="1935">
        <f t="shared" si="5"/>
        <v>0</v>
      </c>
      <c r="G54" s="1793">
        <f t="shared" si="2"/>
        <v>0</v>
      </c>
    </row>
    <row r="55" spans="1:7" x14ac:dyDescent="0.25">
      <c r="A55" s="1653"/>
      <c r="B55" s="1667"/>
      <c r="C55" s="1654"/>
      <c r="D55" s="1844"/>
      <c r="E55" s="1540">
        <f t="shared" si="1"/>
        <v>0</v>
      </c>
      <c r="F55" s="1935">
        <f t="shared" si="5"/>
        <v>0</v>
      </c>
      <c r="G55" s="1793">
        <f t="shared" si="2"/>
        <v>0</v>
      </c>
    </row>
    <row r="56" spans="1:7" x14ac:dyDescent="0.25">
      <c r="A56" s="1653"/>
      <c r="B56" s="1667"/>
      <c r="C56" s="1654"/>
      <c r="D56" s="1844"/>
      <c r="E56" s="1540">
        <f t="shared" si="1"/>
        <v>0</v>
      </c>
      <c r="F56" s="1935">
        <f t="shared" si="5"/>
        <v>0</v>
      </c>
      <c r="G56" s="1793">
        <f t="shared" si="2"/>
        <v>0</v>
      </c>
    </row>
    <row r="57" spans="1:7" x14ac:dyDescent="0.25">
      <c r="A57" s="1653"/>
      <c r="B57" s="1667"/>
      <c r="C57" s="1654"/>
      <c r="D57" s="1844"/>
      <c r="E57" s="1540">
        <f t="shared" si="1"/>
        <v>0</v>
      </c>
      <c r="F57" s="1935">
        <f t="shared" si="5"/>
        <v>0</v>
      </c>
      <c r="G57" s="1793">
        <f t="shared" si="2"/>
        <v>0</v>
      </c>
    </row>
    <row r="58" spans="1:7" x14ac:dyDescent="0.25">
      <c r="A58" s="1653"/>
      <c r="B58" s="1667"/>
      <c r="C58" s="1654"/>
      <c r="D58" s="1844"/>
      <c r="E58" s="1540">
        <f t="shared" si="1"/>
        <v>0</v>
      </c>
      <c r="F58" s="1935">
        <f t="shared" si="5"/>
        <v>0</v>
      </c>
      <c r="G58" s="1793">
        <f t="shared" si="2"/>
        <v>0</v>
      </c>
    </row>
    <row r="59" spans="1:7" x14ac:dyDescent="0.25">
      <c r="A59" s="1653"/>
      <c r="B59" s="1667"/>
      <c r="C59" s="1654"/>
      <c r="D59" s="1844"/>
      <c r="E59" s="1540">
        <f t="shared" si="1"/>
        <v>0</v>
      </c>
      <c r="F59" s="1935">
        <f t="shared" si="5"/>
        <v>0</v>
      </c>
      <c r="G59" s="1793">
        <f t="shared" si="2"/>
        <v>0</v>
      </c>
    </row>
    <row r="60" spans="1:7" x14ac:dyDescent="0.25">
      <c r="A60" s="1653"/>
      <c r="B60" s="1667"/>
      <c r="C60" s="1654"/>
      <c r="D60" s="1844"/>
      <c r="E60" s="1540">
        <f t="shared" si="1"/>
        <v>0</v>
      </c>
      <c r="F60" s="1935">
        <f t="shared" si="5"/>
        <v>0</v>
      </c>
      <c r="G60" s="1793">
        <f t="shared" si="2"/>
        <v>0</v>
      </c>
    </row>
    <row r="61" spans="1:7" x14ac:dyDescent="0.25">
      <c r="A61" s="1653"/>
      <c r="B61" s="1667"/>
      <c r="C61" s="1654"/>
      <c r="D61" s="1844"/>
      <c r="E61" s="1540">
        <f t="shared" si="1"/>
        <v>0</v>
      </c>
      <c r="F61" s="1935">
        <f t="shared" si="5"/>
        <v>0</v>
      </c>
      <c r="G61" s="1793">
        <f t="shared" si="2"/>
        <v>0</v>
      </c>
    </row>
    <row r="62" spans="1:7" x14ac:dyDescent="0.25">
      <c r="A62" s="1653"/>
      <c r="B62" s="1667"/>
      <c r="C62" s="1654"/>
      <c r="D62" s="1844"/>
      <c r="E62" s="1540">
        <f t="shared" si="1"/>
        <v>0</v>
      </c>
      <c r="F62" s="1935">
        <f t="shared" si="5"/>
        <v>0</v>
      </c>
      <c r="G62" s="1793">
        <f t="shared" si="2"/>
        <v>0</v>
      </c>
    </row>
    <row r="63" spans="1:7" x14ac:dyDescent="0.25">
      <c r="A63" s="1653"/>
      <c r="B63" s="1667"/>
      <c r="C63" s="1654"/>
      <c r="D63" s="1844"/>
      <c r="E63" s="1540">
        <f t="shared" si="1"/>
        <v>0</v>
      </c>
      <c r="F63" s="1935">
        <f t="shared" si="5"/>
        <v>0</v>
      </c>
      <c r="G63" s="1793">
        <f t="shared" si="2"/>
        <v>0</v>
      </c>
    </row>
    <row r="64" spans="1:7" x14ac:dyDescent="0.25">
      <c r="A64" s="1653"/>
      <c r="B64" s="1667"/>
      <c r="C64" s="1654"/>
      <c r="D64" s="1844"/>
      <c r="E64" s="1540">
        <f t="shared" si="1"/>
        <v>0</v>
      </c>
      <c r="F64" s="1935">
        <f t="shared" si="5"/>
        <v>0</v>
      </c>
      <c r="G64" s="1793">
        <f t="shared" si="2"/>
        <v>0</v>
      </c>
    </row>
    <row r="65" spans="1:7" x14ac:dyDescent="0.25">
      <c r="A65" s="1655"/>
      <c r="B65" s="1667"/>
      <c r="C65" s="1656"/>
      <c r="D65" s="1844"/>
      <c r="E65" s="1540">
        <f t="shared" si="1"/>
        <v>0</v>
      </c>
      <c r="F65" s="1935">
        <f t="shared" si="5"/>
        <v>0</v>
      </c>
      <c r="G65" s="1793">
        <f t="shared" si="2"/>
        <v>0</v>
      </c>
    </row>
    <row r="66" spans="1:7" x14ac:dyDescent="0.25">
      <c r="A66" s="1653"/>
      <c r="B66" s="1667"/>
      <c r="C66" s="1654"/>
      <c r="D66" s="1844"/>
      <c r="E66" s="1540">
        <f t="shared" si="1"/>
        <v>0</v>
      </c>
      <c r="F66" s="1935">
        <f t="shared" si="5"/>
        <v>0</v>
      </c>
      <c r="G66" s="1793">
        <f t="shared" si="2"/>
        <v>0</v>
      </c>
    </row>
    <row r="67" spans="1:7" x14ac:dyDescent="0.25">
      <c r="A67" s="1653"/>
      <c r="B67" s="1667"/>
      <c r="C67" s="1654"/>
      <c r="D67" s="1844"/>
      <c r="E67" s="1540">
        <f t="shared" si="1"/>
        <v>0</v>
      </c>
      <c r="F67" s="1935">
        <f t="shared" si="5"/>
        <v>0</v>
      </c>
      <c r="G67" s="1793">
        <f t="shared" si="2"/>
        <v>0</v>
      </c>
    </row>
    <row r="68" spans="1:7" x14ac:dyDescent="0.25">
      <c r="A68" s="1653"/>
      <c r="B68" s="1667"/>
      <c r="C68" s="1654"/>
      <c r="D68" s="1844"/>
      <c r="E68" s="1540">
        <f t="shared" si="1"/>
        <v>0</v>
      </c>
      <c r="F68" s="1935">
        <f t="shared" si="5"/>
        <v>0</v>
      </c>
      <c r="G68" s="1793">
        <f t="shared" si="2"/>
        <v>0</v>
      </c>
    </row>
    <row r="69" spans="1:7" x14ac:dyDescent="0.25">
      <c r="A69" s="1653"/>
      <c r="B69" s="1667"/>
      <c r="C69" s="1654"/>
      <c r="D69" s="1844"/>
      <c r="E69" s="1540">
        <f t="shared" si="1"/>
        <v>0</v>
      </c>
      <c r="F69" s="1935">
        <f t="shared" si="5"/>
        <v>0</v>
      </c>
      <c r="G69" s="1793">
        <f t="shared" si="2"/>
        <v>0</v>
      </c>
    </row>
    <row r="70" spans="1:7" x14ac:dyDescent="0.25">
      <c r="A70" s="1653"/>
      <c r="B70" s="1667"/>
      <c r="C70" s="1654"/>
      <c r="D70" s="1844"/>
      <c r="E70" s="1540">
        <f t="shared" si="1"/>
        <v>0</v>
      </c>
      <c r="F70" s="1935">
        <f t="shared" si="5"/>
        <v>0</v>
      </c>
      <c r="G70" s="1793">
        <f t="shared" si="2"/>
        <v>0</v>
      </c>
    </row>
    <row r="71" spans="1:7" x14ac:dyDescent="0.25">
      <c r="A71" s="1653"/>
      <c r="B71" s="1667"/>
      <c r="C71" s="1654"/>
      <c r="D71" s="1844"/>
      <c r="E71" s="1540">
        <f t="shared" si="1"/>
        <v>0</v>
      </c>
      <c r="F71" s="1935">
        <f t="shared" si="5"/>
        <v>0</v>
      </c>
      <c r="G71" s="1793">
        <f t="shared" si="2"/>
        <v>0</v>
      </c>
    </row>
    <row r="72" spans="1:7" x14ac:dyDescent="0.25">
      <c r="A72" s="1653"/>
      <c r="B72" s="1667"/>
      <c r="C72" s="1654"/>
      <c r="D72" s="1844"/>
      <c r="E72" s="1540">
        <f t="shared" si="1"/>
        <v>0</v>
      </c>
      <c r="F72" s="1935">
        <f t="shared" si="5"/>
        <v>0</v>
      </c>
      <c r="G72" s="1793">
        <f t="shared" si="2"/>
        <v>0</v>
      </c>
    </row>
    <row r="73" spans="1:7" x14ac:dyDescent="0.25">
      <c r="A73" s="1653"/>
      <c r="B73" s="1667"/>
      <c r="C73" s="1654"/>
      <c r="D73" s="1844"/>
      <c r="E73" s="1540">
        <f t="shared" si="1"/>
        <v>0</v>
      </c>
      <c r="F73" s="1935">
        <f t="shared" si="5"/>
        <v>0</v>
      </c>
      <c r="G73" s="1793">
        <f t="shared" si="2"/>
        <v>0</v>
      </c>
    </row>
    <row r="74" spans="1:7" x14ac:dyDescent="0.25">
      <c r="A74" s="1653"/>
      <c r="B74" s="1667"/>
      <c r="C74" s="1654"/>
      <c r="D74" s="1844"/>
      <c r="E74" s="1540">
        <f t="shared" ref="E74:E85" si="6">IF(D74&lt;=25000,D74,IF(D74&gt;25000,25000,0))</f>
        <v>0</v>
      </c>
      <c r="F74" s="1935">
        <f t="shared" si="5"/>
        <v>0</v>
      </c>
      <c r="G74" s="1793">
        <f t="shared" ref="G74:G85" si="7">IF(F74=0,0,D74-F74)</f>
        <v>0</v>
      </c>
    </row>
    <row r="75" spans="1:7" x14ac:dyDescent="0.25">
      <c r="A75" s="1653"/>
      <c r="B75" s="1667"/>
      <c r="C75" s="1654"/>
      <c r="D75" s="1844"/>
      <c r="E75" s="1540">
        <f t="shared" si="6"/>
        <v>0</v>
      </c>
      <c r="F75" s="1935">
        <f t="shared" si="5"/>
        <v>0</v>
      </c>
      <c r="G75" s="1793">
        <f t="shared" si="7"/>
        <v>0</v>
      </c>
    </row>
    <row r="76" spans="1:7" x14ac:dyDescent="0.25">
      <c r="A76" s="1653"/>
      <c r="B76" s="1667"/>
      <c r="C76" s="1654"/>
      <c r="D76" s="1844"/>
      <c r="E76" s="1540">
        <f t="shared" si="6"/>
        <v>0</v>
      </c>
      <c r="F76" s="1935">
        <f t="shared" si="5"/>
        <v>0</v>
      </c>
      <c r="G76" s="1793">
        <f t="shared" si="7"/>
        <v>0</v>
      </c>
    </row>
    <row r="77" spans="1:7" x14ac:dyDescent="0.25">
      <c r="A77" s="1653"/>
      <c r="B77" s="1667"/>
      <c r="C77" s="1654"/>
      <c r="D77" s="1844"/>
      <c r="E77" s="1540">
        <f t="shared" si="6"/>
        <v>0</v>
      </c>
      <c r="F77" s="1935">
        <f t="shared" si="5"/>
        <v>0</v>
      </c>
      <c r="G77" s="1793">
        <f t="shared" si="7"/>
        <v>0</v>
      </c>
    </row>
    <row r="78" spans="1:7" x14ac:dyDescent="0.25">
      <c r="A78" s="1653"/>
      <c r="B78" s="1667"/>
      <c r="C78" s="1654"/>
      <c r="D78" s="1844"/>
      <c r="E78" s="1540">
        <f t="shared" si="6"/>
        <v>0</v>
      </c>
      <c r="F78" s="1935">
        <f t="shared" si="5"/>
        <v>0</v>
      </c>
      <c r="G78" s="1793">
        <f t="shared" si="7"/>
        <v>0</v>
      </c>
    </row>
    <row r="79" spans="1:7" x14ac:dyDescent="0.25">
      <c r="A79" s="1653"/>
      <c r="B79" s="1667"/>
      <c r="C79" s="1654"/>
      <c r="D79" s="1844"/>
      <c r="E79" s="1540">
        <f t="shared" si="6"/>
        <v>0</v>
      </c>
      <c r="F79" s="1935">
        <f t="shared" si="5"/>
        <v>0</v>
      </c>
      <c r="G79" s="1793">
        <f t="shared" si="7"/>
        <v>0</v>
      </c>
    </row>
    <row r="80" spans="1:7" x14ac:dyDescent="0.25">
      <c r="A80" s="1653"/>
      <c r="B80" s="1667"/>
      <c r="C80" s="1654"/>
      <c r="D80" s="1844"/>
      <c r="E80" s="1540">
        <f t="shared" si="6"/>
        <v>0</v>
      </c>
      <c r="F80" s="1935">
        <f t="shared" si="5"/>
        <v>0</v>
      </c>
      <c r="G80" s="1793">
        <f t="shared" si="7"/>
        <v>0</v>
      </c>
    </row>
    <row r="81" spans="1:7" x14ac:dyDescent="0.25">
      <c r="A81" s="1653"/>
      <c r="B81" s="1667"/>
      <c r="C81" s="1654"/>
      <c r="D81" s="1844"/>
      <c r="E81" s="1540">
        <f t="shared" si="6"/>
        <v>0</v>
      </c>
      <c r="F81" s="1935">
        <f t="shared" si="5"/>
        <v>0</v>
      </c>
      <c r="G81" s="1793">
        <f t="shared" si="7"/>
        <v>0</v>
      </c>
    </row>
    <row r="82" spans="1:7" x14ac:dyDescent="0.25">
      <c r="A82" s="1653"/>
      <c r="B82" s="1667"/>
      <c r="C82" s="1654"/>
      <c r="D82" s="1844"/>
      <c r="E82" s="1540">
        <f t="shared" si="6"/>
        <v>0</v>
      </c>
      <c r="F82" s="1935">
        <f t="shared" ref="F82:F141" si="8">(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7"/>
        <v>0</v>
      </c>
    </row>
    <row r="83" spans="1:7" x14ac:dyDescent="0.25">
      <c r="A83" s="1653"/>
      <c r="B83" s="1667"/>
      <c r="C83" s="1654"/>
      <c r="D83" s="1844"/>
      <c r="E83" s="1540">
        <f t="shared" si="6"/>
        <v>0</v>
      </c>
      <c r="F83" s="1935">
        <f t="shared" si="8"/>
        <v>0</v>
      </c>
      <c r="G83" s="1793">
        <f t="shared" si="7"/>
        <v>0</v>
      </c>
    </row>
    <row r="84" spans="1:7" x14ac:dyDescent="0.25">
      <c r="A84" s="1653"/>
      <c r="B84" s="1667"/>
      <c r="C84" s="1654"/>
      <c r="D84" s="1844"/>
      <c r="E84" s="1540">
        <f t="shared" si="6"/>
        <v>0</v>
      </c>
      <c r="F84" s="1935">
        <f t="shared" si="8"/>
        <v>0</v>
      </c>
      <c r="G84" s="1793">
        <f t="shared" si="7"/>
        <v>0</v>
      </c>
    </row>
    <row r="85" spans="1:7" x14ac:dyDescent="0.25">
      <c r="A85" s="1653"/>
      <c r="B85" s="1667"/>
      <c r="C85" s="1654"/>
      <c r="D85" s="1844"/>
      <c r="E85" s="1540">
        <f t="shared" si="6"/>
        <v>0</v>
      </c>
      <c r="F85" s="1935">
        <f t="shared" si="8"/>
        <v>0</v>
      </c>
      <c r="G85" s="1793">
        <f t="shared" si="7"/>
        <v>0</v>
      </c>
    </row>
    <row r="86" spans="1:7" x14ac:dyDescent="0.25">
      <c r="A86" s="1653"/>
      <c r="B86" s="1667"/>
      <c r="C86" s="1654"/>
      <c r="D86" s="1844"/>
      <c r="E86" s="1540">
        <f t="shared" si="1"/>
        <v>0</v>
      </c>
      <c r="F86" s="1935">
        <f t="shared" si="8"/>
        <v>0</v>
      </c>
      <c r="G86" s="1793">
        <f t="shared" si="2"/>
        <v>0</v>
      </c>
    </row>
    <row r="87" spans="1:7" x14ac:dyDescent="0.25">
      <c r="A87" s="1653"/>
      <c r="B87" s="1667"/>
      <c r="C87" s="1654"/>
      <c r="D87" s="1844"/>
      <c r="E87" s="1540">
        <f t="shared" si="1"/>
        <v>0</v>
      </c>
      <c r="F87" s="1935">
        <f t="shared" si="8"/>
        <v>0</v>
      </c>
      <c r="G87" s="1793">
        <f t="shared" si="2"/>
        <v>0</v>
      </c>
    </row>
    <row r="88" spans="1:7" x14ac:dyDescent="0.25">
      <c r="A88" s="1653"/>
      <c r="B88" s="1667"/>
      <c r="C88" s="1654"/>
      <c r="D88" s="1844"/>
      <c r="E88" s="1540">
        <f t="shared" si="1"/>
        <v>0</v>
      </c>
      <c r="F88" s="1935">
        <f t="shared" si="8"/>
        <v>0</v>
      </c>
      <c r="G88" s="1793">
        <f t="shared" si="2"/>
        <v>0</v>
      </c>
    </row>
    <row r="89" spans="1:7" x14ac:dyDescent="0.25">
      <c r="A89" s="1653"/>
      <c r="B89" s="1667"/>
      <c r="C89" s="1654"/>
      <c r="D89" s="1844"/>
      <c r="E89" s="1540">
        <f t="shared" si="1"/>
        <v>0</v>
      </c>
      <c r="F89" s="1935">
        <f t="shared" si="8"/>
        <v>0</v>
      </c>
      <c r="G89" s="1793">
        <f t="shared" si="2"/>
        <v>0</v>
      </c>
    </row>
    <row r="90" spans="1:7" x14ac:dyDescent="0.25">
      <c r="A90" s="1653"/>
      <c r="B90" s="1667"/>
      <c r="C90" s="1654"/>
      <c r="D90" s="1844"/>
      <c r="E90" s="1540">
        <f t="shared" si="1"/>
        <v>0</v>
      </c>
      <c r="F90" s="1935">
        <f t="shared" si="8"/>
        <v>0</v>
      </c>
      <c r="G90" s="1793">
        <f t="shared" si="2"/>
        <v>0</v>
      </c>
    </row>
    <row r="91" spans="1:7" x14ac:dyDescent="0.25">
      <c r="A91" s="1653"/>
      <c r="B91" s="1667"/>
      <c r="C91" s="1654"/>
      <c r="D91" s="1844"/>
      <c r="E91" s="1540">
        <f t="shared" si="1"/>
        <v>0</v>
      </c>
      <c r="F91" s="1935">
        <f t="shared" si="8"/>
        <v>0</v>
      </c>
      <c r="G91" s="1793">
        <f t="shared" si="2"/>
        <v>0</v>
      </c>
    </row>
    <row r="92" spans="1:7" x14ac:dyDescent="0.25">
      <c r="A92" s="1653"/>
      <c r="B92" s="1667"/>
      <c r="C92" s="1654"/>
      <c r="D92" s="1844"/>
      <c r="E92" s="1540">
        <f t="shared" si="1"/>
        <v>0</v>
      </c>
      <c r="F92" s="1935">
        <f t="shared" si="8"/>
        <v>0</v>
      </c>
      <c r="G92" s="1793">
        <f t="shared" si="2"/>
        <v>0</v>
      </c>
    </row>
    <row r="93" spans="1:7" x14ac:dyDescent="0.25">
      <c r="A93" s="1653"/>
      <c r="B93" s="1667"/>
      <c r="C93" s="1654"/>
      <c r="D93" s="1844"/>
      <c r="E93" s="1540">
        <f t="shared" si="1"/>
        <v>0</v>
      </c>
      <c r="F93" s="1935">
        <f t="shared" si="8"/>
        <v>0</v>
      </c>
      <c r="G93" s="1793">
        <f t="shared" si="2"/>
        <v>0</v>
      </c>
    </row>
    <row r="94" spans="1:7" x14ac:dyDescent="0.25">
      <c r="A94" s="1653"/>
      <c r="B94" s="1667"/>
      <c r="C94" s="1654"/>
      <c r="D94" s="1844"/>
      <c r="E94" s="1540">
        <f t="shared" ref="E94" si="9">IF(D94&lt;=25000,D94,IF(D94&gt;25000,25000,0))</f>
        <v>0</v>
      </c>
      <c r="F94" s="1935">
        <f t="shared" si="8"/>
        <v>0</v>
      </c>
      <c r="G94" s="1793">
        <f t="shared" ref="G94" si="10">IF(F94=0,0,D94-F94)</f>
        <v>0</v>
      </c>
    </row>
    <row r="95" spans="1:7" x14ac:dyDescent="0.25">
      <c r="A95" s="1653"/>
      <c r="B95" s="1667"/>
      <c r="C95" s="1654"/>
      <c r="D95" s="1844"/>
      <c r="E95" s="1540">
        <f t="shared" si="1"/>
        <v>0</v>
      </c>
      <c r="F95" s="1935">
        <f t="shared" si="8"/>
        <v>0</v>
      </c>
      <c r="G95" s="1793">
        <f t="shared" si="2"/>
        <v>0</v>
      </c>
    </row>
    <row r="96" spans="1:7" x14ac:dyDescent="0.25">
      <c r="A96" s="1653"/>
      <c r="B96" s="1667"/>
      <c r="C96" s="1654"/>
      <c r="D96" s="1844"/>
      <c r="E96" s="1540">
        <f t="shared" ref="E96:E99" si="11">IF(D96&lt;=25000,D96,IF(D96&gt;25000,25000,0))</f>
        <v>0</v>
      </c>
      <c r="F96" s="1935">
        <f t="shared" si="8"/>
        <v>0</v>
      </c>
      <c r="G96" s="1793">
        <f t="shared" ref="G96:G99" si="12">IF(F96=0,0,D96-F96)</f>
        <v>0</v>
      </c>
    </row>
    <row r="97" spans="1:7" x14ac:dyDescent="0.25">
      <c r="A97" s="1653"/>
      <c r="B97" s="1667"/>
      <c r="C97" s="1654"/>
      <c r="D97" s="1844"/>
      <c r="E97" s="1540">
        <f t="shared" si="11"/>
        <v>0</v>
      </c>
      <c r="F97" s="1935">
        <f t="shared" si="8"/>
        <v>0</v>
      </c>
      <c r="G97" s="1793">
        <f t="shared" si="12"/>
        <v>0</v>
      </c>
    </row>
    <row r="98" spans="1:7" x14ac:dyDescent="0.25">
      <c r="A98" s="1653"/>
      <c r="B98" s="1667"/>
      <c r="C98" s="1654"/>
      <c r="D98" s="1844"/>
      <c r="E98" s="1540">
        <f t="shared" si="11"/>
        <v>0</v>
      </c>
      <c r="F98" s="1935">
        <f t="shared" si="8"/>
        <v>0</v>
      </c>
      <c r="G98" s="1793">
        <f t="shared" si="12"/>
        <v>0</v>
      </c>
    </row>
    <row r="99" spans="1:7" x14ac:dyDescent="0.25">
      <c r="A99" s="1653"/>
      <c r="B99" s="1667"/>
      <c r="C99" s="1654"/>
      <c r="D99" s="1844"/>
      <c r="E99" s="1540">
        <f t="shared" si="11"/>
        <v>0</v>
      </c>
      <c r="F99" s="1935">
        <f t="shared" si="8"/>
        <v>0</v>
      </c>
      <c r="G99" s="1793">
        <f t="shared" si="12"/>
        <v>0</v>
      </c>
    </row>
    <row r="100" spans="1:7" x14ac:dyDescent="0.25">
      <c r="A100" s="1653"/>
      <c r="B100" s="1667"/>
      <c r="C100" s="1654"/>
      <c r="D100" s="1844"/>
      <c r="E100" s="1540">
        <f t="shared" ref="E100" si="13">IF(D100&lt;=25000,D100,IF(D100&gt;25000,25000,0))</f>
        <v>0</v>
      </c>
      <c r="F100" s="1935">
        <f t="shared" si="8"/>
        <v>0</v>
      </c>
      <c r="G100" s="1793">
        <f t="shared" ref="G100" si="14">IF(F100=0,0,D100-F100)</f>
        <v>0</v>
      </c>
    </row>
    <row r="101" spans="1:7" x14ac:dyDescent="0.25">
      <c r="A101" s="1653"/>
      <c r="B101" s="1667"/>
      <c r="C101" s="1654"/>
      <c r="D101" s="1844"/>
      <c r="E101" s="1540">
        <f t="shared" ref="E101:E113" si="15">IF(D101&lt;=25000,D101,IF(D101&gt;25000,25000,0))</f>
        <v>0</v>
      </c>
      <c r="F101" s="1935">
        <f t="shared" si="8"/>
        <v>0</v>
      </c>
      <c r="G101" s="1793">
        <f t="shared" ref="G101:G113" si="16">IF(F101=0,0,D101-F101)</f>
        <v>0</v>
      </c>
    </row>
    <row r="102" spans="1:7" x14ac:dyDescent="0.25">
      <c r="A102" s="1653"/>
      <c r="B102" s="1667"/>
      <c r="C102" s="1654"/>
      <c r="D102" s="1844"/>
      <c r="E102" s="1540">
        <f t="shared" si="15"/>
        <v>0</v>
      </c>
      <c r="F102" s="1935">
        <f t="shared" si="8"/>
        <v>0</v>
      </c>
      <c r="G102" s="1793">
        <f t="shared" si="16"/>
        <v>0</v>
      </c>
    </row>
    <row r="103" spans="1:7" x14ac:dyDescent="0.25">
      <c r="A103" s="1653"/>
      <c r="B103" s="1667"/>
      <c r="C103" s="1654"/>
      <c r="D103" s="1844"/>
      <c r="E103" s="1540">
        <f t="shared" si="15"/>
        <v>0</v>
      </c>
      <c r="F103" s="1935">
        <f t="shared" si="8"/>
        <v>0</v>
      </c>
      <c r="G103" s="1793">
        <f t="shared" si="16"/>
        <v>0</v>
      </c>
    </row>
    <row r="104" spans="1:7" x14ac:dyDescent="0.25">
      <c r="A104" s="1653"/>
      <c r="B104" s="1667"/>
      <c r="C104" s="1654"/>
      <c r="D104" s="1844"/>
      <c r="E104" s="1540">
        <f t="shared" si="15"/>
        <v>0</v>
      </c>
      <c r="F104" s="1935">
        <f t="shared" si="8"/>
        <v>0</v>
      </c>
      <c r="G104" s="1793">
        <f t="shared" si="16"/>
        <v>0</v>
      </c>
    </row>
    <row r="105" spans="1:7" x14ac:dyDescent="0.25">
      <c r="A105" s="1653"/>
      <c r="B105" s="1667"/>
      <c r="C105" s="1654"/>
      <c r="D105" s="1844"/>
      <c r="E105" s="1540">
        <f t="shared" si="15"/>
        <v>0</v>
      </c>
      <c r="F105" s="1935">
        <f t="shared" si="8"/>
        <v>0</v>
      </c>
      <c r="G105" s="1793">
        <f t="shared" si="16"/>
        <v>0</v>
      </c>
    </row>
    <row r="106" spans="1:7" x14ac:dyDescent="0.25">
      <c r="A106" s="1653"/>
      <c r="B106" s="1667"/>
      <c r="C106" s="1654"/>
      <c r="D106" s="1844"/>
      <c r="E106" s="1540">
        <f t="shared" si="15"/>
        <v>0</v>
      </c>
      <c r="F106" s="1935">
        <f t="shared" si="8"/>
        <v>0</v>
      </c>
      <c r="G106" s="1793">
        <f t="shared" si="16"/>
        <v>0</v>
      </c>
    </row>
    <row r="107" spans="1:7" x14ac:dyDescent="0.25">
      <c r="A107" s="1653"/>
      <c r="B107" s="1667"/>
      <c r="C107" s="1654"/>
      <c r="D107" s="1844"/>
      <c r="E107" s="1540">
        <f t="shared" si="15"/>
        <v>0</v>
      </c>
      <c r="F107" s="1935">
        <f t="shared" si="8"/>
        <v>0</v>
      </c>
      <c r="G107" s="1793">
        <f t="shared" si="16"/>
        <v>0</v>
      </c>
    </row>
    <row r="108" spans="1:7" x14ac:dyDescent="0.25">
      <c r="A108" s="1653"/>
      <c r="B108" s="1667"/>
      <c r="C108" s="1654"/>
      <c r="D108" s="1844"/>
      <c r="E108" s="1540">
        <f t="shared" si="15"/>
        <v>0</v>
      </c>
      <c r="F108" s="1935">
        <f t="shared" si="8"/>
        <v>0</v>
      </c>
      <c r="G108" s="1793">
        <f t="shared" si="16"/>
        <v>0</v>
      </c>
    </row>
    <row r="109" spans="1:7" x14ac:dyDescent="0.25">
      <c r="A109" s="1653"/>
      <c r="B109" s="1667"/>
      <c r="C109" s="1654"/>
      <c r="D109" s="1844"/>
      <c r="E109" s="1540">
        <f t="shared" si="15"/>
        <v>0</v>
      </c>
      <c r="F109" s="1935">
        <f t="shared" si="8"/>
        <v>0</v>
      </c>
      <c r="G109" s="1793">
        <f t="shared" si="16"/>
        <v>0</v>
      </c>
    </row>
    <row r="110" spans="1:7" x14ac:dyDescent="0.25">
      <c r="A110" s="1653"/>
      <c r="B110" s="1667"/>
      <c r="C110" s="1654"/>
      <c r="D110" s="1844"/>
      <c r="E110" s="1540">
        <f t="shared" si="15"/>
        <v>0</v>
      </c>
      <c r="F110" s="1935">
        <f t="shared" si="8"/>
        <v>0</v>
      </c>
      <c r="G110" s="1793">
        <f t="shared" si="16"/>
        <v>0</v>
      </c>
    </row>
    <row r="111" spans="1:7" x14ac:dyDescent="0.25">
      <c r="A111" s="1653"/>
      <c r="B111" s="1667"/>
      <c r="C111" s="1654"/>
      <c r="D111" s="1844"/>
      <c r="E111" s="1540">
        <f t="shared" si="15"/>
        <v>0</v>
      </c>
      <c r="F111" s="1935">
        <f t="shared" si="8"/>
        <v>0</v>
      </c>
      <c r="G111" s="1793">
        <f t="shared" si="16"/>
        <v>0</v>
      </c>
    </row>
    <row r="112" spans="1:7" x14ac:dyDescent="0.25">
      <c r="A112" s="1653"/>
      <c r="B112" s="1667"/>
      <c r="C112" s="1654"/>
      <c r="D112" s="1844"/>
      <c r="E112" s="1540">
        <f t="shared" si="15"/>
        <v>0</v>
      </c>
      <c r="F112" s="1935">
        <f t="shared" si="8"/>
        <v>0</v>
      </c>
      <c r="G112" s="1793">
        <f t="shared" si="16"/>
        <v>0</v>
      </c>
    </row>
    <row r="113" spans="1:7" x14ac:dyDescent="0.25">
      <c r="A113" s="1653"/>
      <c r="B113" s="1667"/>
      <c r="C113" s="1654"/>
      <c r="D113" s="1844"/>
      <c r="E113" s="1540">
        <f t="shared" si="15"/>
        <v>0</v>
      </c>
      <c r="F113" s="1935">
        <f t="shared" si="8"/>
        <v>0</v>
      </c>
      <c r="G113" s="1793">
        <f t="shared" si="16"/>
        <v>0</v>
      </c>
    </row>
    <row r="114" spans="1:7" x14ac:dyDescent="0.25">
      <c r="A114" s="1653"/>
      <c r="B114" s="1667"/>
      <c r="C114" s="1654"/>
      <c r="D114" s="1844"/>
      <c r="E114" s="1540">
        <f t="shared" ref="E114:E126" si="17">IF(D114&lt;=25000,D114,IF(D114&gt;25000,25000,0))</f>
        <v>0</v>
      </c>
      <c r="F114" s="1935">
        <f t="shared" si="8"/>
        <v>0</v>
      </c>
      <c r="G114" s="1793">
        <f t="shared" ref="G114:G126" si="18">IF(F114=0,0,D114-F114)</f>
        <v>0</v>
      </c>
    </row>
    <row r="115" spans="1:7" x14ac:dyDescent="0.25">
      <c r="A115" s="1653"/>
      <c r="B115" s="1667"/>
      <c r="C115" s="1654"/>
      <c r="D115" s="1844"/>
      <c r="E115" s="1540">
        <f t="shared" si="17"/>
        <v>0</v>
      </c>
      <c r="F115" s="1935">
        <f t="shared" si="8"/>
        <v>0</v>
      </c>
      <c r="G115" s="1793">
        <f t="shared" si="18"/>
        <v>0</v>
      </c>
    </row>
    <row r="116" spans="1:7" x14ac:dyDescent="0.25">
      <c r="A116" s="1653"/>
      <c r="B116" s="1667"/>
      <c r="C116" s="1654"/>
      <c r="D116" s="1844"/>
      <c r="E116" s="1540">
        <f t="shared" si="17"/>
        <v>0</v>
      </c>
      <c r="F116" s="1935">
        <f t="shared" si="8"/>
        <v>0</v>
      </c>
      <c r="G116" s="1793">
        <f t="shared" si="18"/>
        <v>0</v>
      </c>
    </row>
    <row r="117" spans="1:7" x14ac:dyDescent="0.25">
      <c r="A117" s="1653"/>
      <c r="B117" s="1667"/>
      <c r="C117" s="1654"/>
      <c r="D117" s="1844"/>
      <c r="E117" s="1540">
        <f t="shared" si="17"/>
        <v>0</v>
      </c>
      <c r="F117" s="1935">
        <f t="shared" si="8"/>
        <v>0</v>
      </c>
      <c r="G117" s="1793">
        <f t="shared" si="18"/>
        <v>0</v>
      </c>
    </row>
    <row r="118" spans="1:7" x14ac:dyDescent="0.25">
      <c r="A118" s="1653"/>
      <c r="B118" s="1667"/>
      <c r="C118" s="1654"/>
      <c r="D118" s="1844"/>
      <c r="E118" s="1540">
        <f t="shared" si="17"/>
        <v>0</v>
      </c>
      <c r="F118" s="1935">
        <f t="shared" si="8"/>
        <v>0</v>
      </c>
      <c r="G118" s="1793">
        <f t="shared" si="18"/>
        <v>0</v>
      </c>
    </row>
    <row r="119" spans="1:7" x14ac:dyDescent="0.25">
      <c r="A119" s="1653"/>
      <c r="B119" s="1667"/>
      <c r="C119" s="1654"/>
      <c r="D119" s="1844"/>
      <c r="E119" s="1540">
        <f t="shared" si="17"/>
        <v>0</v>
      </c>
      <c r="F119" s="1935">
        <f t="shared" si="8"/>
        <v>0</v>
      </c>
      <c r="G119" s="1793">
        <f t="shared" si="18"/>
        <v>0</v>
      </c>
    </row>
    <row r="120" spans="1:7" x14ac:dyDescent="0.25">
      <c r="A120" s="1653"/>
      <c r="B120" s="1667"/>
      <c r="C120" s="1654"/>
      <c r="D120" s="1844"/>
      <c r="E120" s="1540">
        <f t="shared" si="17"/>
        <v>0</v>
      </c>
      <c r="F120" s="1935">
        <f t="shared" si="8"/>
        <v>0</v>
      </c>
      <c r="G120" s="1793">
        <f t="shared" si="18"/>
        <v>0</v>
      </c>
    </row>
    <row r="121" spans="1:7" x14ac:dyDescent="0.25">
      <c r="A121" s="1653"/>
      <c r="B121" s="1667"/>
      <c r="C121" s="1654"/>
      <c r="D121" s="1844"/>
      <c r="E121" s="1540">
        <f t="shared" si="17"/>
        <v>0</v>
      </c>
      <c r="F121" s="1935">
        <f t="shared" si="8"/>
        <v>0</v>
      </c>
      <c r="G121" s="1793">
        <f t="shared" si="18"/>
        <v>0</v>
      </c>
    </row>
    <row r="122" spans="1:7" x14ac:dyDescent="0.25">
      <c r="A122" s="1653"/>
      <c r="B122" s="1667"/>
      <c r="C122" s="1654"/>
      <c r="D122" s="1844"/>
      <c r="E122" s="1540">
        <f t="shared" si="17"/>
        <v>0</v>
      </c>
      <c r="F122" s="1935">
        <f t="shared" si="8"/>
        <v>0</v>
      </c>
      <c r="G122" s="1793">
        <f t="shared" si="18"/>
        <v>0</v>
      </c>
    </row>
    <row r="123" spans="1:7" x14ac:dyDescent="0.25">
      <c r="A123" s="1653"/>
      <c r="B123" s="1667"/>
      <c r="C123" s="1654"/>
      <c r="D123" s="1844"/>
      <c r="E123" s="1540">
        <f t="shared" si="17"/>
        <v>0</v>
      </c>
      <c r="F123" s="1935">
        <f t="shared" si="8"/>
        <v>0</v>
      </c>
      <c r="G123" s="1793">
        <f t="shared" si="18"/>
        <v>0</v>
      </c>
    </row>
    <row r="124" spans="1:7" x14ac:dyDescent="0.25">
      <c r="A124" s="1653"/>
      <c r="B124" s="1667"/>
      <c r="C124" s="1654"/>
      <c r="D124" s="1844"/>
      <c r="E124" s="1540">
        <f t="shared" si="17"/>
        <v>0</v>
      </c>
      <c r="F124" s="1935">
        <f t="shared" si="8"/>
        <v>0</v>
      </c>
      <c r="G124" s="1793">
        <f t="shared" si="18"/>
        <v>0</v>
      </c>
    </row>
    <row r="125" spans="1:7" x14ac:dyDescent="0.25">
      <c r="A125" s="1653"/>
      <c r="B125" s="1667"/>
      <c r="C125" s="1654"/>
      <c r="D125" s="1844"/>
      <c r="E125" s="1540">
        <f t="shared" si="17"/>
        <v>0</v>
      </c>
      <c r="F125" s="1935">
        <f t="shared" si="8"/>
        <v>0</v>
      </c>
      <c r="G125" s="1793">
        <f t="shared" si="18"/>
        <v>0</v>
      </c>
    </row>
    <row r="126" spans="1:7" x14ac:dyDescent="0.25">
      <c r="A126" s="1653"/>
      <c r="B126" s="1667"/>
      <c r="C126" s="1654"/>
      <c r="D126" s="1844"/>
      <c r="E126" s="1540">
        <f t="shared" si="17"/>
        <v>0</v>
      </c>
      <c r="F126" s="1935">
        <f t="shared" si="8"/>
        <v>0</v>
      </c>
      <c r="G126" s="1793">
        <f t="shared" si="18"/>
        <v>0</v>
      </c>
    </row>
    <row r="127" spans="1:7" x14ac:dyDescent="0.25">
      <c r="A127" s="1653"/>
      <c r="B127" s="1667"/>
      <c r="C127" s="1654"/>
      <c r="D127" s="1844"/>
      <c r="E127" s="1540">
        <f t="shared" ref="E127:E135" si="19">IF(D127&lt;=25000,D127,IF(D127&gt;25000,25000,0))</f>
        <v>0</v>
      </c>
      <c r="F127" s="1935">
        <f t="shared" si="8"/>
        <v>0</v>
      </c>
      <c r="G127" s="1793">
        <f t="shared" ref="G127:G135" si="20">IF(F127=0,0,D127-F127)</f>
        <v>0</v>
      </c>
    </row>
    <row r="128" spans="1:7" x14ac:dyDescent="0.25">
      <c r="A128" s="1653"/>
      <c r="B128" s="1667"/>
      <c r="C128" s="1654"/>
      <c r="D128" s="1844"/>
      <c r="E128" s="1540">
        <f t="shared" si="19"/>
        <v>0</v>
      </c>
      <c r="F128" s="1935">
        <f t="shared" si="8"/>
        <v>0</v>
      </c>
      <c r="G128" s="1793">
        <f t="shared" si="20"/>
        <v>0</v>
      </c>
    </row>
    <row r="129" spans="1:7" x14ac:dyDescent="0.25">
      <c r="A129" s="1653"/>
      <c r="B129" s="1667"/>
      <c r="C129" s="1654"/>
      <c r="D129" s="1844"/>
      <c r="E129" s="1540">
        <f t="shared" si="19"/>
        <v>0</v>
      </c>
      <c r="F129" s="1935">
        <f t="shared" si="8"/>
        <v>0</v>
      </c>
      <c r="G129" s="1793">
        <f t="shared" si="20"/>
        <v>0</v>
      </c>
    </row>
    <row r="130" spans="1:7" x14ac:dyDescent="0.25">
      <c r="A130" s="1653"/>
      <c r="B130" s="1667"/>
      <c r="C130" s="1654"/>
      <c r="D130" s="1844"/>
      <c r="E130" s="1540">
        <f t="shared" si="19"/>
        <v>0</v>
      </c>
      <c r="F130" s="1935">
        <f t="shared" si="8"/>
        <v>0</v>
      </c>
      <c r="G130" s="1793">
        <f t="shared" si="20"/>
        <v>0</v>
      </c>
    </row>
    <row r="131" spans="1:7" x14ac:dyDescent="0.25">
      <c r="A131" s="1653"/>
      <c r="B131" s="1667"/>
      <c r="C131" s="1654"/>
      <c r="D131" s="1844"/>
      <c r="E131" s="1540">
        <f t="shared" si="19"/>
        <v>0</v>
      </c>
      <c r="F131" s="1935">
        <f t="shared" si="8"/>
        <v>0</v>
      </c>
      <c r="G131" s="1793">
        <f t="shared" si="20"/>
        <v>0</v>
      </c>
    </row>
    <row r="132" spans="1:7" x14ac:dyDescent="0.25">
      <c r="A132" s="1653"/>
      <c r="B132" s="1837"/>
      <c r="C132" s="1654"/>
      <c r="D132" s="1844"/>
      <c r="E132" s="1540">
        <f t="shared" si="19"/>
        <v>0</v>
      </c>
      <c r="F132" s="1935">
        <f t="shared" si="8"/>
        <v>0</v>
      </c>
      <c r="G132" s="1793">
        <f t="shared" si="20"/>
        <v>0</v>
      </c>
    </row>
    <row r="133" spans="1:7" x14ac:dyDescent="0.25">
      <c r="A133" s="1653"/>
      <c r="B133" s="1837"/>
      <c r="C133" s="1654"/>
      <c r="D133" s="1844"/>
      <c r="E133" s="1540">
        <f t="shared" si="19"/>
        <v>0</v>
      </c>
      <c r="F133" s="1935">
        <f t="shared" si="8"/>
        <v>0</v>
      </c>
      <c r="G133" s="1793">
        <f t="shared" si="20"/>
        <v>0</v>
      </c>
    </row>
    <row r="134" spans="1:7" x14ac:dyDescent="0.25">
      <c r="A134" s="1653"/>
      <c r="B134" s="1667"/>
      <c r="C134" s="1654"/>
      <c r="D134" s="1844"/>
      <c r="E134" s="1540">
        <f t="shared" si="19"/>
        <v>0</v>
      </c>
      <c r="F134" s="1935">
        <f t="shared" si="8"/>
        <v>0</v>
      </c>
      <c r="G134" s="1793">
        <f t="shared" si="20"/>
        <v>0</v>
      </c>
    </row>
    <row r="135" spans="1:7" x14ac:dyDescent="0.25">
      <c r="A135" s="1653"/>
      <c r="B135" s="1667"/>
      <c r="C135" s="1654"/>
      <c r="D135" s="1844"/>
      <c r="E135" s="1540">
        <f t="shared" si="19"/>
        <v>0</v>
      </c>
      <c r="F135" s="1935">
        <f t="shared" si="8"/>
        <v>0</v>
      </c>
      <c r="G135" s="1793">
        <f t="shared" si="20"/>
        <v>0</v>
      </c>
    </row>
    <row r="136" spans="1:7" x14ac:dyDescent="0.25">
      <c r="A136" s="1653"/>
      <c r="B136" s="1667"/>
      <c r="C136" s="1654"/>
      <c r="D136" s="1844"/>
      <c r="E136" s="1540">
        <f t="shared" ref="E136:E140" si="21">IF(D136&lt;=25000,D136,IF(D136&gt;25000,25000,0))</f>
        <v>0</v>
      </c>
      <c r="F136" s="1935">
        <f t="shared" si="8"/>
        <v>0</v>
      </c>
      <c r="G136" s="1793">
        <f t="shared" ref="G136:G140" si="22">IF(F136=0,0,D136-F136)</f>
        <v>0</v>
      </c>
    </row>
    <row r="137" spans="1:7" x14ac:dyDescent="0.25">
      <c r="A137" s="1653"/>
      <c r="B137" s="1667"/>
      <c r="C137" s="1654"/>
      <c r="D137" s="1844"/>
      <c r="E137" s="1540">
        <f t="shared" si="21"/>
        <v>0</v>
      </c>
      <c r="F137" s="1935">
        <f t="shared" si="8"/>
        <v>0</v>
      </c>
      <c r="G137" s="1793">
        <f t="shared" si="22"/>
        <v>0</v>
      </c>
    </row>
    <row r="138" spans="1:7" x14ac:dyDescent="0.25">
      <c r="A138" s="1653"/>
      <c r="B138" s="1667"/>
      <c r="C138" s="1654"/>
      <c r="D138" s="1844"/>
      <c r="E138" s="1540">
        <f t="shared" si="21"/>
        <v>0</v>
      </c>
      <c r="F138" s="1935">
        <f t="shared" si="8"/>
        <v>0</v>
      </c>
      <c r="G138" s="1793">
        <f t="shared" si="22"/>
        <v>0</v>
      </c>
    </row>
    <row r="139" spans="1:7" x14ac:dyDescent="0.25">
      <c r="A139" s="1653"/>
      <c r="B139" s="1667"/>
      <c r="C139" s="1654"/>
      <c r="D139" s="1844"/>
      <c r="E139" s="1540">
        <f t="shared" si="21"/>
        <v>0</v>
      </c>
      <c r="F139" s="1935">
        <f t="shared" si="8"/>
        <v>0</v>
      </c>
      <c r="G139" s="1793">
        <f t="shared" si="22"/>
        <v>0</v>
      </c>
    </row>
    <row r="140" spans="1:7" x14ac:dyDescent="0.25">
      <c r="A140" s="1653"/>
      <c r="B140" s="1667"/>
      <c r="C140" s="1654"/>
      <c r="D140" s="1844"/>
      <c r="E140" s="1540">
        <f t="shared" si="21"/>
        <v>0</v>
      </c>
      <c r="F140" s="1935">
        <f t="shared" si="8"/>
        <v>0</v>
      </c>
      <c r="G140" s="1793">
        <f t="shared" si="22"/>
        <v>0</v>
      </c>
    </row>
    <row r="141" spans="1:7" x14ac:dyDescent="0.25">
      <c r="A141" s="1653"/>
      <c r="B141" s="1666"/>
      <c r="C141" s="1654"/>
      <c r="D141" s="1844"/>
      <c r="E141" s="1540">
        <f t="shared" si="1"/>
        <v>0</v>
      </c>
      <c r="F141" s="1935">
        <f t="shared" si="8"/>
        <v>0</v>
      </c>
      <c r="G141" s="1793">
        <f t="shared" si="2"/>
        <v>0</v>
      </c>
    </row>
    <row r="142" spans="1:7" x14ac:dyDescent="0.25">
      <c r="A142" s="1796" t="s">
        <v>156</v>
      </c>
      <c r="B142" s="1797"/>
      <c r="C142" s="1798"/>
      <c r="D142" s="1794">
        <f>SUM(D18:D141)</f>
        <v>2062241.44</v>
      </c>
      <c r="E142" s="1541">
        <f t="shared" si="0"/>
        <v>25000</v>
      </c>
      <c r="F142" s="1932">
        <f>SUM(F18:F141)</f>
        <v>543490</v>
      </c>
      <c r="G142" s="1795">
        <f>SUM(G18:G141)</f>
        <v>1518751.44</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1355</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1675</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1921</v>
      </c>
      <c r="B10" s="971"/>
      <c r="C10" s="976"/>
      <c r="D10" s="972"/>
      <c r="E10" s="973"/>
      <c r="F10" s="974"/>
      <c r="G10" s="975"/>
      <c r="H10" s="162"/>
      <c r="I10" s="162"/>
    </row>
    <row r="11" spans="1:9" s="668" customFormat="1" ht="22.5" customHeight="1" x14ac:dyDescent="0.2">
      <c r="A11" s="2293" t="s">
        <v>1964</v>
      </c>
      <c r="B11" s="2294"/>
      <c r="C11" s="2294"/>
      <c r="D11" s="2295"/>
      <c r="E11" s="977">
        <v>59901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12833324</v>
      </c>
      <c r="F19" s="1799"/>
      <c r="G19" s="1801">
        <f>'Expenditures 15-22'!K33-SUM('Expenditures 15-22'!G33,'Expenditures 15-22'!I33)+'Expenditures 15-22'!D229</f>
        <v>12833324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1513415</v>
      </c>
      <c r="F21" s="1802"/>
      <c r="G21" s="1805">
        <f>'Expenditures 15-22'!K42-SUM('Expenditures 15-22'!G42,'Expenditures 15-22'!I42)+'Expenditures 15-22'!K120-SUM('Expenditures 15-22'!G120,'Expenditures 15-22'!I120)+'Expenditures 15-22'!K180-SUM('Expenditures 15-22'!G180,'Expenditures 15-22'!I180)+'Expenditures 15-22'!D238</f>
        <v>1513415</v>
      </c>
      <c r="H21" s="987"/>
      <c r="I21" s="162"/>
    </row>
    <row r="22" spans="1:9" s="668" customFormat="1" ht="12" customHeight="1" x14ac:dyDescent="0.2">
      <c r="A22" s="994" t="s">
        <v>564</v>
      </c>
      <c r="B22" s="995"/>
      <c r="C22" s="993">
        <v>2200</v>
      </c>
      <c r="D22" s="1802"/>
      <c r="E22" s="1804">
        <f>'Expenditures 15-22'!K47-SUM('Expenditures 15-22'!G47,'Expenditures 15-22'!I47)+'Expenditures 15-22'!D243</f>
        <v>984476</v>
      </c>
      <c r="F22" s="1802"/>
      <c r="G22" s="1805">
        <f>'Expenditures 15-22'!K47-SUM('Expenditures 15-22'!G47,'Expenditures 15-22'!I47)+'Expenditures 15-22'!D243</f>
        <v>984476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961162</v>
      </c>
      <c r="F23" s="1802"/>
      <c r="G23" s="1804">
        <f>'Expenditures 15-22'!K53-SUM('Expenditures 15-22'!G53,'Expenditures 15-22'!I53)+'Expenditures 15-22'!D257+'Expenditures 15-22'!K330-SUM('Expenditures 15-22'!G330,'Expenditures 15-22'!I330)</f>
        <v>961162</v>
      </c>
      <c r="H23" s="987"/>
      <c r="I23" s="162"/>
    </row>
    <row r="24" spans="1:9" s="668" customFormat="1" ht="12" customHeight="1" x14ac:dyDescent="0.2">
      <c r="A24" s="994" t="s">
        <v>566</v>
      </c>
      <c r="B24" s="995"/>
      <c r="C24" s="993">
        <v>2400</v>
      </c>
      <c r="D24" s="1802"/>
      <c r="E24" s="1804">
        <f>'Expenditures 15-22'!K57-SUM('Expenditures 15-22'!G57,'Expenditures 15-22'!I57)+'Expenditures 15-22'!D261</f>
        <v>1435023</v>
      </c>
      <c r="F24" s="1802"/>
      <c r="G24" s="1805">
        <f>'Expenditures 15-22'!K57-SUM('Expenditures 15-22'!G57,'Expenditures 15-22'!I57)+'Expenditures 15-22'!D261</f>
        <v>1435023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249736</v>
      </c>
      <c r="E27" s="1804">
        <f>E8</f>
        <v>0</v>
      </c>
      <c r="F27" s="1804">
        <f>'Expenditures 15-22'!K60-SUM('Expenditures 15-22'!G60,'Expenditures 15-22'!I60)+'Expenditures 15-22'!D264-E8</f>
        <v>249736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2001295</v>
      </c>
      <c r="F28" s="1806">
        <f>'Expenditures 15-22'!K61-SUM('Expenditures 15-22'!G61,'Expenditures 15-22'!I61)+'Expenditures 15-22'!K124-SUM('Expenditures 15-22'!G124,'Expenditures 15-22'!I124)+'Expenditures 15-22'!D266-E9</f>
        <v>2001295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1460532</v>
      </c>
      <c r="F29" s="1802"/>
      <c r="G29" s="1805">
        <f>'Expenditures 15-22'!K62-SUM('Expenditures 15-22'!G62,'Expenditures 15-22'!I62)+'Expenditures 15-22'!K125-SUM('Expenditures 15-22'!G125,'Expenditures 15-22'!I125)+'Expenditures 15-22'!K182-SUM('Expenditures 15-22'!G182,'Expenditures 15-22'!I182)+'Expenditures 15-22'!D267</f>
        <v>1460532</v>
      </c>
      <c r="H29" s="985"/>
    </row>
    <row r="30" spans="1:9" ht="12" customHeight="1" x14ac:dyDescent="0.2">
      <c r="A30" s="994" t="s">
        <v>100</v>
      </c>
      <c r="B30" s="997"/>
      <c r="C30" s="993">
        <v>2560</v>
      </c>
      <c r="D30" s="1802"/>
      <c r="E30" s="1804">
        <f>'Expenditures 15-22'!K63-SUM('Expenditures 15-22'!G63,'Expenditures 15-22'!I63)+'Expenditures 15-22'!D268-E10</f>
        <v>729294</v>
      </c>
      <c r="F30" s="1802"/>
      <c r="G30" s="1804">
        <f>'Expenditures 15-22'!K63-SUM('Expenditures 15-22'!G63,'Expenditures 15-22'!I63)+'Expenditures 15-22'!D268-E10</f>
        <v>729294</v>
      </c>
    </row>
    <row r="31" spans="1:9" ht="12" customHeight="1" x14ac:dyDescent="0.2">
      <c r="A31" s="994" t="s">
        <v>101</v>
      </c>
      <c r="B31" s="997"/>
      <c r="C31" s="993">
        <v>2570</v>
      </c>
      <c r="D31" s="1804">
        <f>'Expenditures 15-22'!K64-SUM('Expenditures 15-22'!G64,'Expenditures 15-22'!I64)+'Expenditures 15-22'!D269-E12</f>
        <v>590</v>
      </c>
      <c r="E31" s="1804">
        <f>E12</f>
        <v>0</v>
      </c>
      <c r="F31" s="1804">
        <f>'Expenditures 15-22'!K64-SUM('Expenditures 15-22'!G64,'Expenditures 15-22'!I64)+'Expenditures 15-22'!D269-E12</f>
        <v>590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436264</v>
      </c>
      <c r="F35" s="1802"/>
      <c r="G35" s="1804">
        <f>'Expenditures 15-22'!K69-SUM('Expenditures 15-22'!G69,'Expenditures 15-22'!I69)+'Expenditures 15-22'!D274</f>
        <v>436264</v>
      </c>
    </row>
    <row r="36" spans="1:7" ht="12" customHeight="1" x14ac:dyDescent="0.2">
      <c r="A36" s="994" t="s">
        <v>403</v>
      </c>
      <c r="B36" s="997"/>
      <c r="C36" s="993">
        <v>2640</v>
      </c>
      <c r="D36" s="1804">
        <f>'Expenditures 15-22'!K70-SUM('Expenditures 15-22'!G70,'Expenditures 15-22'!I70)+'Expenditures 15-22'!D275-E13</f>
        <v>1100</v>
      </c>
      <c r="E36" s="1804">
        <f>E13</f>
        <v>0</v>
      </c>
      <c r="F36" s="1804">
        <f>'Expenditures 15-22'!K70-SUM('Expenditures 15-22'!G70,'Expenditures 15-22'!I70)+'Expenditures 15-22'!D275-E13</f>
        <v>1100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246</v>
      </c>
      <c r="F38" s="1802"/>
      <c r="G38" s="1804">
        <f>'Expenditures 15-22'!K73-SUM('Expenditures 15-22'!G73,'Expenditures 15-22'!I73)+'Expenditures 15-22'!K128-SUM('Expenditures 15-22'!G128,'Expenditures 15-22'!I128)+'Expenditures 15-22'!K183-SUM('Expenditures 15-22'!G183,'Expenditures 15-22'!I183)+'Expenditures 15-22'!D278</f>
        <v>246</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63870</v>
      </c>
      <c r="F39" s="1802"/>
      <c r="G39" s="1804">
        <f>'Expenditures 15-22'!K75-SUM('Expenditures 15-22'!G75,'Expenditures 15-22'!I75)+'Expenditures 15-22'!K130-SUM('Expenditures 15-22'!G130,'Expenditures 15-22'!I130)+'Expenditures 15-22'!K185-SUM('Expenditures 15-22'!G185,'Expenditures 15-22'!I185)+'Expenditures 15-22'!D280</f>
        <v>63870</v>
      </c>
    </row>
    <row r="40" spans="1:7" ht="12" customHeight="1" x14ac:dyDescent="0.2">
      <c r="A40" s="990" t="s">
        <v>1813</v>
      </c>
      <c r="B40" s="991"/>
      <c r="C40" s="993"/>
      <c r="D40" s="1802"/>
      <c r="E40" s="1806">
        <f>-'Contracts Paid in CY 29'!G142</f>
        <v>-1518751.44</v>
      </c>
      <c r="F40" s="1802"/>
      <c r="G40" s="1806">
        <f>-'Contracts Paid in CY 29'!G142</f>
        <v>-1518751.44</v>
      </c>
    </row>
    <row r="41" spans="1:7" ht="12" customHeight="1" x14ac:dyDescent="0.2">
      <c r="A41" s="998" t="s">
        <v>156</v>
      </c>
      <c r="B41" s="999"/>
      <c r="C41" s="1000"/>
      <c r="D41" s="1806">
        <f>SUM(D19:D39)</f>
        <v>251426</v>
      </c>
      <c r="E41" s="1806">
        <f>SUM(E19:E40)</f>
        <v>20900149.559999999</v>
      </c>
      <c r="F41" s="1806">
        <f>SUM(F19:F39)</f>
        <v>2252721</v>
      </c>
      <c r="G41" s="1806">
        <f>SUM(G19:G40)</f>
        <v>18898854.559999999</v>
      </c>
    </row>
    <row r="42" spans="1:7" x14ac:dyDescent="0.2">
      <c r="A42" s="987"/>
      <c r="B42" s="162"/>
      <c r="C42" s="1001"/>
      <c r="D42" s="2291" t="s">
        <v>522</v>
      </c>
      <c r="E42" s="2292"/>
      <c r="F42" s="1002" t="s">
        <v>523</v>
      </c>
      <c r="G42" s="1003"/>
    </row>
    <row r="43" spans="1:7" ht="12" customHeight="1" x14ac:dyDescent="0.2">
      <c r="A43" s="987"/>
      <c r="B43" s="162"/>
      <c r="C43" s="1001"/>
      <c r="D43" s="1807" t="s">
        <v>473</v>
      </c>
      <c r="E43" s="1808">
        <f>D41</f>
        <v>251426</v>
      </c>
      <c r="F43" s="1807" t="s">
        <v>473</v>
      </c>
      <c r="G43" s="1808">
        <f>F41</f>
        <v>2252721</v>
      </c>
    </row>
    <row r="44" spans="1:7" ht="12" customHeight="1" x14ac:dyDescent="0.2">
      <c r="A44" s="987"/>
      <c r="B44" s="162"/>
      <c r="C44" s="1001"/>
      <c r="D44" s="1807" t="s">
        <v>474</v>
      </c>
      <c r="E44" s="1808">
        <f>E41</f>
        <v>20900149.559999999</v>
      </c>
      <c r="F44" s="1807" t="s">
        <v>474</v>
      </c>
      <c r="G44" s="1808">
        <f>G41</f>
        <v>18898854.559999999</v>
      </c>
    </row>
    <row r="45" spans="1:7" ht="12" customHeight="1" x14ac:dyDescent="0.2">
      <c r="A45" s="987"/>
      <c r="B45" s="162"/>
      <c r="C45" s="162"/>
      <c r="D45" s="1809" t="s">
        <v>1006</v>
      </c>
      <c r="E45" s="1810">
        <f>(E43/E44)</f>
        <v>1.2029866067618706E-2</v>
      </c>
      <c r="F45" s="1809" t="s">
        <v>1006</v>
      </c>
      <c r="G45" s="1810">
        <f>(G43/G44)</f>
        <v>0.1191988113802385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01" t="str">
        <f>COVER!A17</f>
        <v>Bourbonnais SD 53</v>
      </c>
      <c r="J6" s="2302"/>
      <c r="Q6" s="1664"/>
    </row>
    <row r="7" spans="1:17" x14ac:dyDescent="0.2">
      <c r="A7" s="2303" t="s">
        <v>869</v>
      </c>
      <c r="B7" s="2304"/>
      <c r="C7" s="2304"/>
      <c r="D7" s="2304"/>
      <c r="E7" s="2305"/>
      <c r="F7" s="1017"/>
      <c r="G7" s="1009"/>
      <c r="H7" s="1016" t="s">
        <v>372</v>
      </c>
      <c r="I7" s="2306">
        <f>COVER!A13</f>
        <v>32046053002</v>
      </c>
      <c r="J7" s="230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1966</v>
      </c>
      <c r="F9" s="1023"/>
      <c r="G9" s="1023"/>
      <c r="H9" s="1896" t="s">
        <v>1967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07" t="s">
        <v>481</v>
      </c>
      <c r="B11" s="2308"/>
      <c r="C11" s="230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448277</v>
      </c>
      <c r="F12" s="1039"/>
      <c r="G12" s="1811">
        <f t="shared" ref="G12:G18" si="0">SUM(E12:F12)</f>
        <v>448277</v>
      </c>
      <c r="H12" s="1040">
        <v>306207</v>
      </c>
      <c r="I12" s="1039"/>
      <c r="J12" s="1811">
        <f t="shared" ref="J12:J18" si="1">SUM(H12:I12)</f>
        <v>306207</v>
      </c>
    </row>
    <row r="13" spans="1:17" ht="15" customHeight="1" x14ac:dyDescent="0.2">
      <c r="A13" s="1035">
        <v>2</v>
      </c>
      <c r="B13" s="1036" t="s">
        <v>42</v>
      </c>
      <c r="C13" s="1037"/>
      <c r="D13" s="1038">
        <v>2330</v>
      </c>
      <c r="E13" s="1811">
        <f>'Expenditures 15-22'!K51</f>
        <v>185549</v>
      </c>
      <c r="F13" s="1039"/>
      <c r="G13" s="1811">
        <f t="shared" si="0"/>
        <v>185549</v>
      </c>
      <c r="H13" s="1040">
        <v>153591</v>
      </c>
      <c r="I13" s="1039"/>
      <c r="J13" s="1811">
        <f t="shared" si="1"/>
        <v>153591</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c r="J15" s="1811">
        <f t="shared" si="1"/>
        <v>0</v>
      </c>
    </row>
    <row r="16" spans="1:17" ht="15" customHeight="1" x14ac:dyDescent="0.2">
      <c r="A16" s="1035">
        <v>5</v>
      </c>
      <c r="B16" s="1036" t="s">
        <v>101</v>
      </c>
      <c r="C16" s="1037"/>
      <c r="D16" s="1038">
        <v>2570</v>
      </c>
      <c r="E16" s="1811">
        <f>'Expenditures 15-22'!K64</f>
        <v>590</v>
      </c>
      <c r="F16" s="1039"/>
      <c r="G16" s="1811">
        <f t="shared" si="0"/>
        <v>590</v>
      </c>
      <c r="H16" s="1040">
        <v>1500</v>
      </c>
      <c r="I16" s="1039"/>
      <c r="J16" s="1811">
        <f t="shared" si="1"/>
        <v>1500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10" t="s">
        <v>7</v>
      </c>
      <c r="C18" s="2311"/>
      <c r="D18" s="2312"/>
      <c r="E18" s="1043"/>
      <c r="F18" s="1043"/>
      <c r="G18" s="1812">
        <f t="shared" si="0"/>
        <v>0</v>
      </c>
      <c r="H18" s="1040">
        <v>0</v>
      </c>
      <c r="I18" s="1040"/>
      <c r="J18" s="1811">
        <f t="shared" si="1"/>
        <v>0</v>
      </c>
    </row>
    <row r="19" spans="1:10" ht="12.75" customHeight="1" thickBot="1" x14ac:dyDescent="0.25">
      <c r="A19" s="1035">
        <v>8</v>
      </c>
      <c r="B19" s="1044" t="s">
        <v>1161</v>
      </c>
      <c r="D19" s="1045"/>
      <c r="E19" s="1813">
        <f t="shared" ref="E19:J19" si="2">SUM(E12:E17)-E18</f>
        <v>634416</v>
      </c>
      <c r="F19" s="1813">
        <f t="shared" si="2"/>
        <v>0</v>
      </c>
      <c r="G19" s="1813">
        <f t="shared" si="2"/>
        <v>634416</v>
      </c>
      <c r="H19" s="1813">
        <f t="shared" si="2"/>
        <v>461298</v>
      </c>
      <c r="I19" s="1813">
        <f t="shared" si="2"/>
        <v>0</v>
      </c>
      <c r="J19" s="1813">
        <f t="shared" si="2"/>
        <v>461298</v>
      </c>
    </row>
    <row r="20" spans="1:10" ht="13.5" thickTop="1" x14ac:dyDescent="0.2">
      <c r="A20" s="1035">
        <v>9</v>
      </c>
      <c r="B20" s="2313" t="s">
        <v>1968</v>
      </c>
      <c r="C20" s="2313"/>
      <c r="D20" s="2314"/>
      <c r="E20" s="1046"/>
      <c r="F20" s="1046"/>
      <c r="G20" s="1046"/>
      <c r="H20" s="1046"/>
      <c r="I20" s="1046"/>
      <c r="J20" s="1814">
        <f>IF(AND(G19&gt;0,J19&gt;0),(((J19-G19)/G19)),"Enter Budget Data")</f>
        <v>-0.27287773322236514</v>
      </c>
    </row>
    <row r="21" spans="1:10" ht="9" customHeight="1" x14ac:dyDescent="0.2">
      <c r="B21" s="1047"/>
    </row>
    <row r="22" spans="1:10" x14ac:dyDescent="0.2">
      <c r="A22" s="1048" t="s">
        <v>133</v>
      </c>
      <c r="B22" s="1047"/>
    </row>
    <row r="23" spans="1:10" x14ac:dyDescent="0.2">
      <c r="A23" s="1011" t="s">
        <v>1969</v>
      </c>
      <c r="B23" s="1047"/>
    </row>
    <row r="24" spans="1:10" x14ac:dyDescent="0.2">
      <c r="A24" s="1011" t="s">
        <v>1982</v>
      </c>
      <c r="B24" s="1047"/>
    </row>
    <row r="25" spans="1:10" x14ac:dyDescent="0.2">
      <c r="A25" s="1049"/>
      <c r="B25" s="1047"/>
    </row>
    <row r="26" spans="1:10" ht="20.100000000000001" customHeight="1" x14ac:dyDescent="0.2">
      <c r="B26" s="1047"/>
      <c r="C26" s="2319"/>
      <c r="D26" s="2319"/>
      <c r="E26" s="1050"/>
      <c r="F26" s="2318"/>
      <c r="G26" s="2318"/>
    </row>
    <row r="27" spans="1:10" x14ac:dyDescent="0.2">
      <c r="B27" s="1047"/>
      <c r="C27" s="1051" t="s">
        <v>1033</v>
      </c>
      <c r="D27" s="1052"/>
      <c r="E27" s="1053"/>
      <c r="F27" s="2315" t="s">
        <v>1508</v>
      </c>
      <c r="G27" s="2315"/>
    </row>
    <row r="28" spans="1:10" ht="28.5" customHeight="1" x14ac:dyDescent="0.2">
      <c r="B28" s="1047"/>
      <c r="C28" s="2317"/>
      <c r="D28" s="2317"/>
      <c r="E28" s="1054"/>
      <c r="F28" s="2317"/>
      <c r="G28" s="2317"/>
    </row>
    <row r="29" spans="1:10" x14ac:dyDescent="0.2">
      <c r="B29" s="1047"/>
      <c r="C29" s="1055" t="s">
        <v>1560</v>
      </c>
      <c r="E29" s="1056"/>
      <c r="F29" s="2316" t="s">
        <v>1509</v>
      </c>
      <c r="G29" s="231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298" t="s">
        <v>132</v>
      </c>
      <c r="D33" s="2299"/>
      <c r="E33" s="2299"/>
      <c r="F33" s="2299"/>
      <c r="G33" s="2299"/>
      <c r="H33" s="2299"/>
      <c r="I33" s="2299"/>
    </row>
    <row r="34" spans="1:10" ht="10.35" customHeight="1" x14ac:dyDescent="0.2">
      <c r="C34" s="2299"/>
      <c r="D34" s="2299"/>
      <c r="E34" s="2299"/>
      <c r="F34" s="2299"/>
      <c r="G34" s="2299"/>
      <c r="H34" s="2299"/>
      <c r="I34" s="2299"/>
    </row>
    <row r="35" spans="1:10" ht="7.5" customHeight="1" x14ac:dyDescent="0.2">
      <c r="C35" s="1062"/>
    </row>
    <row r="36" spans="1:10" ht="13.5" customHeight="1" x14ac:dyDescent="0.2">
      <c r="B36" s="1061"/>
      <c r="C36" s="2300" t="s">
        <v>1970</v>
      </c>
      <c r="D36" s="2299"/>
      <c r="E36" s="2299"/>
      <c r="F36" s="2299"/>
      <c r="G36" s="2299"/>
      <c r="H36" s="2299"/>
      <c r="I36" s="2299"/>
      <c r="J36" s="1063"/>
    </row>
    <row r="37" spans="1:10" ht="22.5" customHeight="1" x14ac:dyDescent="0.2">
      <c r="C37" s="2299"/>
      <c r="D37" s="2299"/>
      <c r="E37" s="2299"/>
      <c r="F37" s="2299"/>
      <c r="G37" s="2299"/>
      <c r="H37" s="2299"/>
      <c r="I37" s="2299"/>
      <c r="J37" s="1063"/>
    </row>
    <row r="38" spans="1:10" ht="7.5" customHeight="1" x14ac:dyDescent="0.2">
      <c r="C38" s="1062"/>
      <c r="D38" s="1064"/>
      <c r="E38" s="1065"/>
      <c r="F38" s="1066"/>
      <c r="G38" s="1065"/>
    </row>
    <row r="39" spans="1:10" ht="13.5" customHeight="1" x14ac:dyDescent="0.2">
      <c r="B39" s="1061"/>
      <c r="C39" s="2296" t="s">
        <v>882</v>
      </c>
      <c r="D39" s="2297"/>
      <c r="E39" s="2297"/>
      <c r="F39" s="2297"/>
      <c r="G39" s="2297"/>
      <c r="H39" s="2297"/>
      <c r="I39" s="229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5" activePane="bottomLeft" state="frozen"/>
      <selection activeCell="A47" sqref="A47"/>
      <selection pane="bottomLeft" activeCell="C9" sqref="C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23" t="s">
        <v>1378</v>
      </c>
      <c r="B1" s="2323"/>
      <c r="C1" s="2323"/>
      <c r="D1" s="2323"/>
      <c r="E1" s="2323"/>
      <c r="F1" s="2323"/>
    </row>
    <row r="2" spans="1:10" x14ac:dyDescent="0.2">
      <c r="A2" s="1887" t="s">
        <v>1900</v>
      </c>
      <c r="B2" s="1848"/>
      <c r="C2" s="1887"/>
      <c r="D2" s="1848"/>
      <c r="E2" s="1848"/>
      <c r="F2" s="1849"/>
    </row>
    <row r="3" spans="1:10" x14ac:dyDescent="0.2">
      <c r="A3" s="1887" t="s">
        <v>1965</v>
      </c>
      <c r="B3" s="1848"/>
      <c r="C3" s="1887"/>
      <c r="D3" s="1848"/>
      <c r="E3" s="1848"/>
      <c r="F3" s="1849"/>
    </row>
    <row r="4" spans="1:10" ht="3.75" customHeight="1" x14ac:dyDescent="0.2">
      <c r="A4" s="1848"/>
      <c r="B4" s="1848"/>
      <c r="C4" s="1848"/>
      <c r="D4" s="1848"/>
      <c r="E4" s="1848"/>
      <c r="F4" s="1849"/>
    </row>
    <row r="5" spans="1:10" ht="15" x14ac:dyDescent="0.25">
      <c r="A5" s="2324" t="s">
        <v>1545</v>
      </c>
      <c r="B5" s="2325"/>
      <c r="C5" s="2326"/>
      <c r="D5" s="2326"/>
      <c r="E5" s="2326"/>
      <c r="F5" s="2326"/>
    </row>
    <row r="6" spans="1:10" ht="12" customHeight="1" x14ac:dyDescent="0.25">
      <c r="A6" s="1850"/>
      <c r="B6" s="1851"/>
      <c r="C6" s="2327" t="str">
        <f>COVER!A17</f>
        <v>Bourbonnais SD 53</v>
      </c>
      <c r="D6" s="2327"/>
      <c r="E6" s="2327"/>
      <c r="F6" s="1852"/>
    </row>
    <row r="7" spans="1:10" ht="11.25" customHeight="1" thickBot="1" x14ac:dyDescent="0.3">
      <c r="A7" s="1850"/>
      <c r="B7" s="1851"/>
      <c r="C7" s="2328">
        <f>COVER!A13</f>
        <v>32046053002</v>
      </c>
      <c r="D7" s="2328"/>
      <c r="E7" s="2328"/>
      <c r="F7" s="1852"/>
    </row>
    <row r="8" spans="1:10" ht="25.5" customHeight="1" thickBot="1" x14ac:dyDescent="0.25">
      <c r="A8" s="1893" t="s">
        <v>1896</v>
      </c>
      <c r="B8" s="1853" t="s">
        <v>2054</v>
      </c>
      <c r="C8" s="1889" t="s">
        <v>1677</v>
      </c>
      <c r="D8" s="1888" t="s">
        <v>1678</v>
      </c>
      <c r="E8" s="1890" t="s">
        <v>1379</v>
      </c>
      <c r="F8" s="1888" t="s">
        <v>1679</v>
      </c>
      <c r="H8" s="1854" t="b">
        <v>0</v>
      </c>
    </row>
    <row r="9" spans="1:10" ht="15.75" customHeight="1" x14ac:dyDescent="0.2">
      <c r="A9" s="1855" t="s">
        <v>1541</v>
      </c>
      <c r="B9" s="1856"/>
      <c r="C9" s="1857"/>
      <c r="D9" s="1857"/>
      <c r="E9" s="1858"/>
      <c r="F9" s="1859"/>
    </row>
    <row r="10" spans="1:10" ht="27.75" customHeight="1" x14ac:dyDescent="0.2">
      <c r="A10" s="1860" t="s">
        <v>1676</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c r="D26" s="1865"/>
      <c r="E26" s="1868"/>
      <c r="F26" s="1867"/>
      <c r="H26" s="1878">
        <f t="shared" si="0"/>
        <v>0</v>
      </c>
      <c r="I26" s="1878">
        <f t="shared" si="1"/>
        <v>0</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1391</v>
      </c>
      <c r="B35" s="1872"/>
      <c r="C35" s="2329"/>
      <c r="D35" s="2329"/>
      <c r="E35" s="2329"/>
      <c r="F35" s="2330"/>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34"/>
      <c r="B38" s="2335"/>
      <c r="C38" s="2335"/>
      <c r="D38" s="2335"/>
      <c r="E38" s="2335"/>
      <c r="F38" s="2336"/>
    </row>
    <row r="39" spans="1:11" ht="4.5" hidden="1" customHeight="1" x14ac:dyDescent="0.2">
      <c r="A39" s="1873"/>
      <c r="B39" s="1873"/>
      <c r="C39" s="1873"/>
      <c r="D39" s="1873"/>
      <c r="E39" s="1873"/>
      <c r="F39" s="1873"/>
    </row>
    <row r="40" spans="1:11" s="1870" customFormat="1" ht="12" customHeight="1" x14ac:dyDescent="0.25">
      <c r="A40" s="1874" t="s">
        <v>1390</v>
      </c>
      <c r="B40" s="1875"/>
      <c r="C40" s="2337"/>
      <c r="D40" s="2337"/>
      <c r="E40" s="2337"/>
      <c r="F40" s="2338"/>
      <c r="H40" s="1879"/>
      <c r="I40" s="1879"/>
      <c r="J40" s="1879"/>
      <c r="K40" s="1879"/>
    </row>
    <row r="41" spans="1:11" s="1870" customFormat="1" ht="12" customHeight="1" x14ac:dyDescent="0.25">
      <c r="A41" s="2339"/>
      <c r="B41" s="2340"/>
      <c r="C41" s="2340"/>
      <c r="D41" s="2340"/>
      <c r="E41" s="2340"/>
      <c r="F41" s="2341"/>
      <c r="H41" s="1879"/>
      <c r="I41" s="1879"/>
      <c r="J41" s="1879"/>
      <c r="K41" s="1879"/>
    </row>
    <row r="42" spans="1:11" s="1870" customFormat="1" ht="12" customHeight="1" x14ac:dyDescent="0.25">
      <c r="A42" s="2339"/>
      <c r="B42" s="2340"/>
      <c r="C42" s="2340"/>
      <c r="D42" s="2340"/>
      <c r="E42" s="2340"/>
      <c r="F42" s="2341"/>
      <c r="H42" s="1879"/>
      <c r="I42" s="1879"/>
      <c r="J42" s="1879"/>
      <c r="K42" s="1879"/>
    </row>
    <row r="43" spans="1:11" s="1870" customFormat="1" ht="15" x14ac:dyDescent="0.25">
      <c r="A43" s="2331"/>
      <c r="B43" s="2332"/>
      <c r="C43" s="2332"/>
      <c r="D43" s="2332"/>
      <c r="E43" s="2332"/>
      <c r="F43" s="2333"/>
      <c r="H43" s="1879"/>
      <c r="I43" s="1879"/>
      <c r="J43" s="1879"/>
      <c r="K43" s="1879"/>
    </row>
    <row r="44" spans="1:11" s="1870" customFormat="1" ht="12" hidden="1" customHeight="1" x14ac:dyDescent="0.25">
      <c r="A44" s="2331"/>
      <c r="B44" s="2332"/>
      <c r="C44" s="2332"/>
      <c r="D44" s="2332"/>
      <c r="E44" s="2332"/>
      <c r="F44" s="233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Bourbonnais SD 53</v>
      </c>
    </row>
    <row r="65" spans="2:2" x14ac:dyDescent="0.2">
      <c r="B65" s="1070">
        <f>COVER!A13</f>
        <v>32046053002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1847</v>
      </c>
      <c r="C4" s="162" t="s">
        <v>1169</v>
      </c>
      <c r="D4" s="169" t="s">
        <v>10</v>
      </c>
      <c r="E4" s="170" t="s">
        <v>22</v>
      </c>
    </row>
    <row r="5" spans="1:5" x14ac:dyDescent="0.2">
      <c r="A5" s="168" t="s">
        <v>1849</v>
      </c>
      <c r="C5" s="162" t="s">
        <v>1169</v>
      </c>
      <c r="D5" s="169" t="s">
        <v>10</v>
      </c>
      <c r="E5" s="170" t="s">
        <v>22</v>
      </c>
    </row>
    <row r="6" spans="1:5" x14ac:dyDescent="0.2">
      <c r="A6" s="168" t="s">
        <v>1848</v>
      </c>
      <c r="C6" s="162" t="s">
        <v>1169</v>
      </c>
      <c r="D6" s="167" t="s">
        <v>11</v>
      </c>
      <c r="E6" s="170" t="s">
        <v>941</v>
      </c>
    </row>
    <row r="7" spans="1:5" x14ac:dyDescent="0.2">
      <c r="A7" s="168" t="s">
        <v>1850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1851</v>
      </c>
      <c r="C11" s="162" t="s">
        <v>1169</v>
      </c>
      <c r="D11" s="169" t="s">
        <v>14</v>
      </c>
      <c r="E11" s="170" t="s">
        <v>1156</v>
      </c>
    </row>
    <row r="12" spans="1:5" x14ac:dyDescent="0.2">
      <c r="B12" s="169" t="s">
        <v>1852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1853</v>
      </c>
      <c r="C15" s="162" t="s">
        <v>1169</v>
      </c>
      <c r="D15" s="169" t="s">
        <v>17</v>
      </c>
      <c r="E15" s="170" t="s">
        <v>636</v>
      </c>
    </row>
    <row r="16" spans="1:5" x14ac:dyDescent="0.2">
      <c r="A16" s="172"/>
      <c r="B16" s="162" t="s">
        <v>1854</v>
      </c>
      <c r="C16" s="162" t="s">
        <v>1169</v>
      </c>
      <c r="D16" s="169" t="s">
        <v>681</v>
      </c>
      <c r="E16" s="170" t="s">
        <v>1040</v>
      </c>
    </row>
    <row r="17" spans="1:5" x14ac:dyDescent="0.2">
      <c r="B17" s="167" t="s">
        <v>988</v>
      </c>
      <c r="C17" s="162" t="s">
        <v>1169</v>
      </c>
    </row>
    <row r="18" spans="1:5" x14ac:dyDescent="0.2">
      <c r="B18" s="167" t="s">
        <v>1860</v>
      </c>
      <c r="D18" s="169" t="s">
        <v>18</v>
      </c>
      <c r="E18" s="170" t="s">
        <v>1041</v>
      </c>
    </row>
    <row r="19" spans="1:5" x14ac:dyDescent="0.2">
      <c r="A19" s="168" t="s">
        <v>1099</v>
      </c>
      <c r="C19" s="162" t="s">
        <v>1169</v>
      </c>
      <c r="D19" s="169"/>
      <c r="E19" s="171"/>
    </row>
    <row r="20" spans="1:5" x14ac:dyDescent="0.2">
      <c r="B20" s="167" t="s">
        <v>1855</v>
      </c>
      <c r="C20" s="162" t="s">
        <v>1169</v>
      </c>
      <c r="D20" s="169" t="s">
        <v>19</v>
      </c>
      <c r="E20" s="170" t="s">
        <v>51</v>
      </c>
    </row>
    <row r="21" spans="1:5" x14ac:dyDescent="0.2">
      <c r="B21" s="167" t="s">
        <v>1856</v>
      </c>
      <c r="C21" s="162" t="s">
        <v>1169</v>
      </c>
      <c r="D21" s="169" t="s">
        <v>20</v>
      </c>
      <c r="E21" s="170" t="s">
        <v>1606</v>
      </c>
    </row>
    <row r="22" spans="1:5" x14ac:dyDescent="0.2">
      <c r="A22" s="168"/>
      <c r="B22" s="162" t="s">
        <v>1844</v>
      </c>
      <c r="C22" s="162" t="s">
        <v>1169</v>
      </c>
      <c r="D22" s="167" t="s">
        <v>1846</v>
      </c>
      <c r="E22" s="1836" t="s">
        <v>1607</v>
      </c>
    </row>
    <row r="23" spans="1:5" x14ac:dyDescent="0.2">
      <c r="A23" s="168"/>
      <c r="B23" s="162" t="s">
        <v>1845</v>
      </c>
      <c r="D23" s="167" t="s">
        <v>637</v>
      </c>
      <c r="E23" s="1836" t="s">
        <v>959</v>
      </c>
    </row>
    <row r="24" spans="1:5" x14ac:dyDescent="0.2">
      <c r="A24" s="168" t="s">
        <v>1605</v>
      </c>
      <c r="C24" s="162" t="s">
        <v>1169</v>
      </c>
      <c r="D24" s="167" t="s">
        <v>1392</v>
      </c>
      <c r="E24" s="170" t="s">
        <v>960</v>
      </c>
    </row>
    <row r="25" spans="1:5" x14ac:dyDescent="0.2">
      <c r="A25" s="168" t="s">
        <v>1857</v>
      </c>
      <c r="C25" s="162" t="s">
        <v>1169</v>
      </c>
      <c r="D25" s="169" t="s">
        <v>21</v>
      </c>
      <c r="E25" s="170" t="s">
        <v>1042</v>
      </c>
    </row>
    <row r="26" spans="1:5" x14ac:dyDescent="0.2">
      <c r="A26" s="168" t="s">
        <v>1858</v>
      </c>
      <c r="C26" s="162" t="s">
        <v>1169</v>
      </c>
      <c r="D26" s="169" t="s">
        <v>563</v>
      </c>
      <c r="E26" s="170" t="s">
        <v>1043</v>
      </c>
    </row>
    <row r="27" spans="1:5" x14ac:dyDescent="0.2">
      <c r="A27" s="168" t="s">
        <v>1859</v>
      </c>
      <c r="C27" s="162" t="s">
        <v>1169</v>
      </c>
      <c r="D27" s="169" t="s">
        <v>557</v>
      </c>
      <c r="E27" s="170" t="s">
        <v>683</v>
      </c>
    </row>
    <row r="28" spans="1:5" x14ac:dyDescent="0.2">
      <c r="A28" s="168" t="s">
        <v>1861</v>
      </c>
      <c r="D28" s="169" t="s">
        <v>684</v>
      </c>
      <c r="E28" s="170" t="s">
        <v>1365</v>
      </c>
    </row>
    <row r="29" spans="1:5" x14ac:dyDescent="0.2">
      <c r="A29" s="168" t="s">
        <v>1862</v>
      </c>
      <c r="D29" s="169" t="s">
        <v>1393</v>
      </c>
      <c r="E29" s="170" t="s">
        <v>1374</v>
      </c>
    </row>
    <row r="30" spans="1:5" x14ac:dyDescent="0.2">
      <c r="A30" s="173" t="s">
        <v>1863</v>
      </c>
      <c r="C30" s="162" t="s">
        <v>1169</v>
      </c>
      <c r="D30" s="169" t="s">
        <v>40</v>
      </c>
      <c r="E30" s="170" t="s">
        <v>982</v>
      </c>
    </row>
    <row r="31" spans="1:5" x14ac:dyDescent="0.2">
      <c r="A31" s="168" t="s">
        <v>1520</v>
      </c>
      <c r="C31" s="162" t="s">
        <v>1169</v>
      </c>
      <c r="D31" s="167"/>
      <c r="E31" s="171"/>
    </row>
    <row r="32" spans="1:5" x14ac:dyDescent="0.2">
      <c r="B32" s="167" t="s">
        <v>1864</v>
      </c>
      <c r="C32" s="162" t="s">
        <v>1169</v>
      </c>
      <c r="D32" s="169" t="s">
        <v>1521</v>
      </c>
      <c r="E32" s="170" t="s">
        <v>1394</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1604</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1890</v>
      </c>
    </row>
    <row r="45" spans="1:5" ht="6.75" customHeight="1" x14ac:dyDescent="0.2">
      <c r="A45" s="187"/>
      <c r="B45" s="186"/>
    </row>
    <row r="46" spans="1:5" x14ac:dyDescent="0.2">
      <c r="A46" s="185" t="s">
        <v>984</v>
      </c>
      <c r="B46" s="169" t="s">
        <v>1609</v>
      </c>
    </row>
    <row r="47" spans="1:5" ht="9.75" customHeight="1" x14ac:dyDescent="0.2">
      <c r="A47" s="189"/>
      <c r="B47" s="188"/>
    </row>
    <row r="48" spans="1:5" x14ac:dyDescent="0.2">
      <c r="A48" s="169" t="s">
        <v>1608</v>
      </c>
      <c r="B48" s="169" t="s">
        <v>1613</v>
      </c>
      <c r="C48" s="177"/>
    </row>
    <row r="49" spans="1:3" ht="9.75" customHeight="1" x14ac:dyDescent="0.2">
      <c r="A49" s="188"/>
      <c r="B49" s="188"/>
      <c r="C49" s="177"/>
    </row>
    <row r="50" spans="1:3" x14ac:dyDescent="0.2">
      <c r="A50" s="200" t="s">
        <v>1610</v>
      </c>
      <c r="B50" s="198" t="s">
        <v>1614</v>
      </c>
    </row>
    <row r="51" spans="1:3" x14ac:dyDescent="0.2">
      <c r="B51" s="169" t="s">
        <v>1761</v>
      </c>
    </row>
    <row r="52" spans="1:3" x14ac:dyDescent="0.2">
      <c r="A52" s="190"/>
      <c r="B52" s="188" t="s">
        <v>1781</v>
      </c>
    </row>
    <row r="53" spans="1:3" ht="4.5" customHeight="1" x14ac:dyDescent="0.2">
      <c r="A53" s="190"/>
      <c r="B53" s="190"/>
    </row>
    <row r="54" spans="1:3" x14ac:dyDescent="0.2">
      <c r="A54" s="190"/>
      <c r="B54" s="201" t="s">
        <v>1611</v>
      </c>
    </row>
    <row r="55" spans="1:3" ht="8.25" customHeight="1" x14ac:dyDescent="0.2">
      <c r="A55" s="190"/>
      <c r="B55" s="191"/>
    </row>
    <row r="56" spans="1:3" x14ac:dyDescent="0.2">
      <c r="A56" s="192"/>
      <c r="B56" s="169" t="s">
        <v>1762</v>
      </c>
    </row>
    <row r="57" spans="1:3" x14ac:dyDescent="0.2">
      <c r="A57" s="193"/>
      <c r="B57" s="190" t="s">
        <v>1764</v>
      </c>
    </row>
    <row r="58" spans="1:3" x14ac:dyDescent="0.2">
      <c r="A58" s="194"/>
      <c r="B58" s="190" t="s">
        <v>1765</v>
      </c>
    </row>
    <row r="59" spans="1:3" x14ac:dyDescent="0.2">
      <c r="A59" s="195"/>
      <c r="B59" s="1485" t="s">
        <v>1766</v>
      </c>
    </row>
    <row r="60" spans="1:3" x14ac:dyDescent="0.2">
      <c r="A60" s="196"/>
      <c r="B60" s="1485" t="s">
        <v>1767</v>
      </c>
    </row>
    <row r="61" spans="1:3" ht="6" customHeight="1" x14ac:dyDescent="0.2">
      <c r="A61" s="197"/>
      <c r="B61" s="189"/>
    </row>
    <row r="62" spans="1:3" x14ac:dyDescent="0.2">
      <c r="A62" s="169" t="s">
        <v>1612</v>
      </c>
      <c r="B62" s="198" t="s">
        <v>1763</v>
      </c>
    </row>
    <row r="63" spans="1:3" x14ac:dyDescent="0.2">
      <c r="A63" s="188"/>
      <c r="B63" s="169" t="s">
        <v>1778</v>
      </c>
    </row>
    <row r="64" spans="1:3" x14ac:dyDescent="0.2">
      <c r="A64" s="195"/>
      <c r="B64" s="1487" t="s">
        <v>1768</v>
      </c>
    </row>
    <row r="65" spans="1:9" x14ac:dyDescent="0.2">
      <c r="A65" s="188"/>
      <c r="B65" s="169" t="s">
        <v>1779</v>
      </c>
    </row>
    <row r="66" spans="1:9" x14ac:dyDescent="0.2">
      <c r="A66" s="190"/>
      <c r="B66" s="190" t="s">
        <v>1769</v>
      </c>
    </row>
    <row r="67" spans="1:9" ht="12" customHeight="1" x14ac:dyDescent="0.2">
      <c r="A67" s="188"/>
      <c r="B67" s="169" t="s">
        <v>1780</v>
      </c>
    </row>
    <row r="68" spans="1:9" x14ac:dyDescent="0.2">
      <c r="A68" s="189"/>
      <c r="B68" s="190" t="s">
        <v>1770</v>
      </c>
    </row>
    <row r="69" spans="1:9" x14ac:dyDescent="0.2">
      <c r="A69" s="190"/>
      <c r="B69" s="188" t="s">
        <v>1771</v>
      </c>
    </row>
    <row r="70" spans="1:9" ht="13.5" customHeight="1" x14ac:dyDescent="0.2">
      <c r="A70" s="190"/>
      <c r="B70" s="188" t="s">
        <v>1772</v>
      </c>
    </row>
    <row r="71" spans="1:9" ht="12" customHeight="1" x14ac:dyDescent="0.2">
      <c r="A71" s="192"/>
      <c r="B71" s="1486" t="s">
        <v>1615</v>
      </c>
    </row>
    <row r="72" spans="1:9" ht="9" customHeight="1" x14ac:dyDescent="0.2">
      <c r="A72" s="192"/>
      <c r="B72" s="199"/>
    </row>
    <row r="73" spans="1:9" x14ac:dyDescent="0.2">
      <c r="A73" s="189" t="s">
        <v>1616</v>
      </c>
      <c r="B73" s="169" t="s">
        <v>1774</v>
      </c>
    </row>
    <row r="74" spans="1:9" x14ac:dyDescent="0.2">
      <c r="A74" s="189"/>
      <c r="B74" s="169" t="s">
        <v>1773</v>
      </c>
    </row>
    <row r="75" spans="1:9" ht="8.25" customHeight="1" x14ac:dyDescent="0.2">
      <c r="A75" s="189"/>
      <c r="B75" s="189"/>
    </row>
    <row r="76" spans="1:9" ht="12.2" customHeight="1" x14ac:dyDescent="0.2">
      <c r="A76" s="189" t="s">
        <v>1617</v>
      </c>
      <c r="B76" s="198" t="s">
        <v>1775</v>
      </c>
    </row>
    <row r="77" spans="1:9" ht="12.2" customHeight="1" x14ac:dyDescent="0.2">
      <c r="A77" s="190"/>
      <c r="B77" s="169" t="s">
        <v>1618</v>
      </c>
      <c r="C77" s="179"/>
      <c r="D77" s="180"/>
      <c r="E77" s="181"/>
      <c r="F77" s="181"/>
      <c r="G77" s="181"/>
      <c r="H77" s="181"/>
      <c r="I77" s="181"/>
    </row>
    <row r="78" spans="1:9" ht="11.25" customHeight="1" x14ac:dyDescent="0.2">
      <c r="A78" s="190"/>
      <c r="B78" s="190" t="s">
        <v>1777</v>
      </c>
      <c r="C78" s="179"/>
      <c r="D78" s="182"/>
      <c r="E78" s="182"/>
      <c r="F78" s="182"/>
      <c r="G78" s="182"/>
      <c r="H78" s="182"/>
      <c r="I78" s="181"/>
    </row>
    <row r="79" spans="1:9" ht="12.2" customHeight="1" x14ac:dyDescent="0.2">
      <c r="A79" s="190"/>
      <c r="B79" s="169" t="s">
        <v>1619</v>
      </c>
      <c r="C79" s="179"/>
      <c r="D79" s="182"/>
      <c r="E79" s="182"/>
      <c r="F79" s="182"/>
      <c r="G79" s="182"/>
      <c r="H79" s="182"/>
      <c r="I79" s="181"/>
    </row>
    <row r="80" spans="1:9" ht="11.25" customHeight="1" x14ac:dyDescent="0.2">
      <c r="A80" s="189"/>
      <c r="B80" s="190" t="s">
        <v>1776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1413</v>
      </c>
      <c r="D6" s="24"/>
    </row>
    <row r="7" spans="1:4" ht="13.5" customHeight="1" x14ac:dyDescent="0.2">
      <c r="A7" s="23"/>
      <c r="B7" s="25"/>
      <c r="C7" s="65" t="s">
        <v>1414</v>
      </c>
      <c r="D7" s="24"/>
    </row>
    <row r="8" spans="1:4" ht="13.5" customHeight="1" x14ac:dyDescent="0.2">
      <c r="A8" s="23"/>
      <c r="B8" s="146" t="s">
        <v>943</v>
      </c>
      <c r="C8" s="65" t="s">
        <v>1399</v>
      </c>
      <c r="D8" s="24"/>
    </row>
    <row r="9" spans="1:4" ht="13.5" customHeight="1" x14ac:dyDescent="0.2">
      <c r="A9" s="14"/>
      <c r="B9" s="144" t="s">
        <v>944</v>
      </c>
      <c r="C9" s="142" t="s">
        <v>1318</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1398</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857</v>
      </c>
    </row>
    <row r="16" spans="1:6" s="1071" customFormat="1" ht="45" customHeight="1" x14ac:dyDescent="0.2">
      <c r="A16" s="1073"/>
      <c r="B16" s="1073" t="s">
        <v>1680</v>
      </c>
    </row>
    <row r="17" spans="1:2" ht="6" customHeight="1" x14ac:dyDescent="0.2"/>
    <row r="18" spans="1:2" ht="24.75" customHeight="1" x14ac:dyDescent="0.2">
      <c r="A18" s="2342" t="s">
        <v>1681</v>
      </c>
      <c r="B18" s="234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66675</xdr:colOff>
                <xdr:row>1</xdr:row>
                <xdr:rowOff>104775</xdr:rowOff>
              </from>
              <to>
                <xdr:col>1</xdr:col>
                <xdr:colOff>981075</xdr:colOff>
                <xdr:row>5</xdr:row>
                <xdr:rowOff>142875</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1123950</xdr:colOff>
                <xdr:row>1</xdr:row>
                <xdr:rowOff>114300</xdr:rowOff>
              </from>
              <to>
                <xdr:col>1</xdr:col>
                <xdr:colOff>2038350</xdr:colOff>
                <xdr:row>5</xdr:row>
                <xdr:rowOff>161925</xdr:rowOff>
              </to>
            </anchor>
          </objectPr>
        </oleObject>
      </mc:Choice>
      <mc:Fallback>
        <oleObject progId="Acrobat Document" dvAspect="DVASPECT_ICON" shapeId="35844" r:id="rId6"/>
      </mc:Fallback>
    </mc:AlternateContent>
    <mc:AlternateContent xmlns:mc="http://schemas.openxmlformats.org/markup-compatibility/2006">
      <mc:Choice Requires="x14">
        <oleObject progId="Acrobat Document" dvAspect="DVASPECT_ICON" shapeId="35845" r:id="rId8">
          <objectPr defaultSize="0" r:id="rId9">
            <anchor moveWithCells="1">
              <from>
                <xdr:col>1</xdr:col>
                <xdr:colOff>2162175</xdr:colOff>
                <xdr:row>1</xdr:row>
                <xdr:rowOff>104775</xdr:rowOff>
              </from>
              <to>
                <xdr:col>1</xdr:col>
                <xdr:colOff>3076575</xdr:colOff>
                <xdr:row>5</xdr:row>
                <xdr:rowOff>152400</xdr:rowOff>
              </to>
            </anchor>
          </objectPr>
        </oleObject>
      </mc:Choice>
      <mc:Fallback>
        <oleObject progId="Acrobat Document" dvAspect="DVASPECT_ICON" shapeId="3584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1686</v>
      </c>
      <c r="B1" s="2344"/>
      <c r="C1" s="2344"/>
      <c r="D1" s="2344"/>
      <c r="E1" s="2344"/>
      <c r="F1" s="2345"/>
    </row>
    <row r="2" spans="1:8" ht="45" customHeight="1" x14ac:dyDescent="0.2">
      <c r="A2" s="2353" t="s">
        <v>1974</v>
      </c>
      <c r="B2" s="2354"/>
      <c r="C2" s="2354"/>
      <c r="D2" s="2354"/>
      <c r="E2" s="2354"/>
      <c r="F2" s="2355"/>
      <c r="G2" s="1074"/>
      <c r="H2" s="1074"/>
    </row>
    <row r="3" spans="1:8" ht="57" customHeight="1" x14ac:dyDescent="0.2">
      <c r="A3" s="2356" t="s">
        <v>1682</v>
      </c>
      <c r="B3" s="2357"/>
      <c r="C3" s="2357"/>
      <c r="D3" s="2357"/>
      <c r="E3" s="2357"/>
      <c r="F3" s="2358"/>
      <c r="G3" s="1074"/>
      <c r="H3" s="1074"/>
    </row>
    <row r="4" spans="1:8" ht="14.25" customHeight="1" x14ac:dyDescent="0.2">
      <c r="A4" s="2362" t="s">
        <v>1975</v>
      </c>
      <c r="B4" s="2363"/>
      <c r="C4" s="2363"/>
      <c r="D4" s="2363"/>
      <c r="E4" s="2363"/>
      <c r="F4" s="2364"/>
      <c r="G4" s="1074"/>
      <c r="H4" s="1074"/>
    </row>
    <row r="5" spans="1:8" ht="14.25" customHeight="1" x14ac:dyDescent="0.2">
      <c r="A5" s="2365" t="s">
        <v>1971</v>
      </c>
      <c r="B5" s="2366"/>
      <c r="C5" s="2366"/>
      <c r="D5" s="2366"/>
      <c r="E5" s="2366"/>
      <c r="F5" s="2367"/>
      <c r="G5" s="1074"/>
      <c r="H5" s="1074"/>
    </row>
    <row r="6" spans="1:8" s="1075" customFormat="1" ht="41.25" customHeight="1" x14ac:dyDescent="0.2">
      <c r="A6" s="2359" t="s">
        <v>1687</v>
      </c>
      <c r="B6" s="2360"/>
      <c r="C6" s="2360"/>
      <c r="D6" s="2360"/>
      <c r="E6" s="2360"/>
      <c r="F6" s="2361"/>
    </row>
    <row r="7" spans="1:8" ht="42" customHeight="1" x14ac:dyDescent="0.2">
      <c r="A7" s="1076" t="s">
        <v>481</v>
      </c>
      <c r="B7" s="1077" t="s">
        <v>1495</v>
      </c>
      <c r="C7" s="1077" t="s">
        <v>1496</v>
      </c>
      <c r="D7" s="1077" t="s">
        <v>1494</v>
      </c>
      <c r="E7" s="1077" t="s">
        <v>1497</v>
      </c>
      <c r="F7" s="1077" t="s">
        <v>1366</v>
      </c>
    </row>
    <row r="8" spans="1:8" s="1079" customFormat="1" ht="14.25" customHeight="1" x14ac:dyDescent="0.2">
      <c r="A8" s="1078" t="s">
        <v>1367</v>
      </c>
      <c r="B8" s="1815">
        <f>'Acct Summary 7-8'!C8</f>
        <v>19429365</v>
      </c>
      <c r="C8" s="1815">
        <f>'Acct Summary 7-8'!D8</f>
        <v>2442026</v>
      </c>
      <c r="D8" s="1815">
        <f>'Acct Summary 7-8'!F8</f>
        <v>1390557</v>
      </c>
      <c r="E8" s="1815">
        <f>'Acct Summary 7-8'!I8</f>
        <v>0</v>
      </c>
      <c r="F8" s="1815">
        <f>SUM(B8:E8)</f>
        <v>23261948</v>
      </c>
    </row>
    <row r="9" spans="1:8" s="1079" customFormat="1" ht="14.25" customHeight="1" thickBot="1" x14ac:dyDescent="0.25">
      <c r="A9" s="1078" t="s">
        <v>1368</v>
      </c>
      <c r="B9" s="1816">
        <f>'Acct Summary 7-8'!C17</f>
        <v>19040207</v>
      </c>
      <c r="C9" s="1816">
        <f>'Acct Summary 7-8'!D17</f>
        <v>3236377</v>
      </c>
      <c r="D9" s="1816">
        <f>'Acct Summary 7-8'!F17</f>
        <v>1415348</v>
      </c>
      <c r="E9" s="1815"/>
      <c r="F9" s="1815">
        <f>SUM(B9:E9)</f>
        <v>23691932</v>
      </c>
    </row>
    <row r="10" spans="1:8" s="1079" customFormat="1" ht="14.25" thickTop="1" thickBot="1" x14ac:dyDescent="0.25">
      <c r="A10" s="1080" t="s">
        <v>1369</v>
      </c>
      <c r="B10" s="1817">
        <f>(B8-B9)</f>
        <v>389158</v>
      </c>
      <c r="C10" s="1817">
        <f>(C8-C9)</f>
        <v>-794351</v>
      </c>
      <c r="D10" s="1817">
        <f>(D8-D9)</f>
        <v>-24791</v>
      </c>
      <c r="E10" s="1816">
        <f>(E8-E9)</f>
        <v>0</v>
      </c>
      <c r="F10" s="1818">
        <f>SUM(F8-F9)</f>
        <v>-429984</v>
      </c>
    </row>
    <row r="11" spans="1:8" s="1079" customFormat="1" ht="14.25" thickTop="1" thickBot="1" x14ac:dyDescent="0.25">
      <c r="A11" s="1081" t="s">
        <v>1972</v>
      </c>
      <c r="B11" s="1819">
        <f>'Acct Summary 7-8'!C81</f>
        <v>11080304</v>
      </c>
      <c r="C11" s="1819">
        <f>'Acct Summary 7-8'!D81</f>
        <v>367118</v>
      </c>
      <c r="D11" s="1819">
        <f>'Acct Summary 7-8'!F81</f>
        <v>1709585</v>
      </c>
      <c r="E11" s="1819">
        <f>'Acct Summary 7-8'!I81</f>
        <v>318417</v>
      </c>
      <c r="F11" s="1820">
        <f>SUM(B11:E11)</f>
        <v>13475424</v>
      </c>
    </row>
    <row r="12" spans="1:8" ht="16.5" customHeight="1" thickTop="1" x14ac:dyDescent="0.2">
      <c r="A12" s="1082"/>
      <c r="B12" s="1083"/>
      <c r="C12" s="2347" t="str">
        <f>IF(AND(F10&lt;0,F11&gt;=0,ABS(F10*3)&gt;ABS(F11)),A16,IF(AND(F10&lt;0,F11&gt;0,ABS(F10*3)&lt;=ABS(F11)),A17,IF(AND(F10&lt;0,F11&lt;0),A16,IF(F11=0,A19,A18))))</f>
        <v>Unbalanced -  however, a deficit reduction plan is not required at this time.</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1683</v>
      </c>
      <c r="B16" s="2346"/>
      <c r="C16" s="2346"/>
      <c r="D16" s="2346"/>
      <c r="E16" s="2346"/>
      <c r="F16" s="310" t="s">
        <v>1370</v>
      </c>
    </row>
    <row r="17" spans="1:6" hidden="1" x14ac:dyDescent="0.2">
      <c r="A17" s="316" t="s">
        <v>1684</v>
      </c>
      <c r="F17" s="1086" t="s">
        <v>1371</v>
      </c>
    </row>
    <row r="18" spans="1:6" hidden="1" x14ac:dyDescent="0.2">
      <c r="A18" s="316" t="s">
        <v>1685</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0"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8" t="s">
        <v>665</v>
      </c>
      <c r="B3" s="2369"/>
      <c r="C3" s="2369"/>
      <c r="D3" s="2370"/>
    </row>
    <row r="4" spans="1:4" x14ac:dyDescent="0.2">
      <c r="A4" s="1152" t="s">
        <v>1688</v>
      </c>
      <c r="B4" s="1153"/>
      <c r="C4" s="1154"/>
      <c r="D4" s="1155"/>
    </row>
    <row r="5" spans="1:4" ht="21" customHeight="1" x14ac:dyDescent="0.2">
      <c r="A5" s="1148"/>
      <c r="B5" s="1149">
        <v>1</v>
      </c>
      <c r="C5" s="1150" t="s">
        <v>1825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1503</v>
      </c>
      <c r="D7" s="2380"/>
    </row>
    <row r="8" spans="1:4" s="668" customFormat="1" ht="12.75" x14ac:dyDescent="0.2">
      <c r="A8" s="1138"/>
      <c r="B8" s="1093"/>
      <c r="C8" s="1096" t="s">
        <v>1502</v>
      </c>
      <c r="D8" s="1097"/>
    </row>
    <row r="9" spans="1:4" s="668" customFormat="1" ht="14.25" customHeight="1" x14ac:dyDescent="0.2">
      <c r="A9" s="1138"/>
      <c r="B9" s="1093">
        <f>B7+1</f>
        <v>4</v>
      </c>
      <c r="C9" s="1094" t="s">
        <v>1901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1504</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1689</v>
      </c>
      <c r="B17" s="1157"/>
      <c r="C17" s="1158"/>
      <c r="D17" s="1159"/>
    </row>
    <row r="18" spans="1:10" s="668" customFormat="1" ht="12.75" customHeight="1" x14ac:dyDescent="0.2">
      <c r="A18" s="1160" t="s">
        <v>1690</v>
      </c>
      <c r="B18" s="1161"/>
      <c r="C18" s="1162"/>
      <c r="D18" s="1163"/>
    </row>
    <row r="19" spans="1:10" ht="6.75" customHeight="1" thickBot="1" x14ac:dyDescent="0.25">
      <c r="A19" s="1164"/>
      <c r="B19" s="1165"/>
      <c r="C19" s="1166"/>
      <c r="D19" s="1167"/>
    </row>
    <row r="20" spans="1:10" s="1171" customFormat="1" ht="12.75" thickTop="1" x14ac:dyDescent="0.2">
      <c r="A20" s="1168"/>
      <c r="B20" s="1169" t="s">
        <v>1691</v>
      </c>
      <c r="C20" s="1170"/>
      <c r="D20" s="1173" t="s">
        <v>710</v>
      </c>
    </row>
    <row r="21" spans="1:10" x14ac:dyDescent="0.2">
      <c r="A21" s="1098"/>
      <c r="B21" s="1099">
        <v>1</v>
      </c>
      <c r="C21" s="2383" t="s">
        <v>314</v>
      </c>
      <c r="D21" s="2384"/>
    </row>
    <row r="22" spans="1:10" ht="12.75" x14ac:dyDescent="0.2">
      <c r="A22" s="1139"/>
      <c r="B22" s="1140">
        <v>2</v>
      </c>
      <c r="C22" s="2381" t="s">
        <v>1523</v>
      </c>
      <c r="D22" s="2382"/>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1902</v>
      </c>
      <c r="D66" s="1125"/>
    </row>
    <row r="67" spans="1:4" x14ac:dyDescent="0.2">
      <c r="A67" s="1119"/>
      <c r="B67" s="1140"/>
      <c r="C67" s="1147" t="s">
        <v>1021</v>
      </c>
      <c r="D67" s="1125"/>
    </row>
    <row r="68" spans="1:4" x14ac:dyDescent="0.2">
      <c r="A68" s="1100"/>
      <c r="B68" s="1110"/>
      <c r="C68" s="1102" t="s">
        <v>1903</v>
      </c>
      <c r="D68" s="1124" t="str">
        <f>IF('Short-Term Long-Term Debt 24'!F49=SUM(,'Acct Summary 7-8'!C33:K33),"OK","ERROR!")</f>
        <v>OK</v>
      </c>
    </row>
    <row r="69" spans="1:4" x14ac:dyDescent="0.2">
      <c r="A69" s="1100"/>
      <c r="B69" s="1110"/>
      <c r="C69" s="1102" t="s">
        <v>1904</v>
      </c>
      <c r="D69" s="1124" t="str">
        <f>IF('Expenditures 15-22'!H170&lt;&gt;'Short-Term Long-Term Debt 24'!H49,"ERROR!","OK")</f>
        <v>OK</v>
      </c>
    </row>
    <row r="70" spans="1:4" x14ac:dyDescent="0.2">
      <c r="A70" s="1098"/>
      <c r="B70" s="1120">
        <f>B66+1</f>
        <v>9</v>
      </c>
      <c r="C70" s="2377" t="s">
        <v>1692</v>
      </c>
      <c r="D70" s="2378"/>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1693</v>
      </c>
      <c r="D73" s="1126" t="str">
        <f>IF(SUM('Acct Summary 7-8'!C42:K42)&gt;=SUM( 'Acct Summary 7-8'!C74:K74),"OK", "ERROR")</f>
        <v>OK</v>
      </c>
    </row>
    <row r="74" spans="1:4" x14ac:dyDescent="0.2">
      <c r="A74" s="1098"/>
      <c r="B74" s="1120">
        <f>B70+1</f>
        <v>10</v>
      </c>
      <c r="C74" s="1114" t="s">
        <v>1905</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1906</v>
      </c>
      <c r="D78" s="1124" t="str">
        <f>IF(ISNUMBER('Acct Summary 7-8'!C9),"OK","ENTRY IS REQUIRED!")</f>
        <v>OK</v>
      </c>
    </row>
    <row r="79" spans="1:4" x14ac:dyDescent="0.2">
      <c r="A79" s="1119"/>
      <c r="B79" s="1120">
        <f>B74+1+1</f>
        <v>12</v>
      </c>
      <c r="C79" s="1130" t="s">
        <v>1891</v>
      </c>
      <c r="D79" s="1131" t="str">
        <f>IF(OR(COVER!$B$6="X",'PCTC-OEPP 27-28'!F78&gt;0),"OK","PLEASE ENTER 9 MO ADA.")</f>
        <v>OK</v>
      </c>
    </row>
    <row r="80" spans="1:4" x14ac:dyDescent="0.2">
      <c r="A80" s="1098"/>
      <c r="B80" s="1120">
        <v>13</v>
      </c>
      <c r="C80" s="1130" t="s">
        <v>1907</v>
      </c>
      <c r="D80" s="1131" t="str">
        <f>IF('Contracts Paid in CY 29'!D142&gt;0,"OK","PLEASE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32046053002</v>
      </c>
    </row>
    <row r="3" spans="1:2" x14ac:dyDescent="0.2">
      <c r="A3" t="s">
        <v>956</v>
      </c>
      <c r="B3" s="138" t="str">
        <f>COVER!A15</f>
        <v>Kankakee</v>
      </c>
    </row>
    <row r="4" spans="1:2" x14ac:dyDescent="0.2">
      <c r="A4" t="s">
        <v>1007</v>
      </c>
      <c r="B4" s="138" t="str">
        <f>COVER!A17</f>
        <v>Bourbonnais SD 53</v>
      </c>
    </row>
    <row r="5" spans="1:2" x14ac:dyDescent="0.2">
      <c r="A5" t="s">
        <v>704</v>
      </c>
      <c r="B5" s="138" t="str">
        <f>COVER!A38</f>
        <v>Margaret Longo</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476</v>
      </c>
      <c r="B14" s="138" t="str">
        <f>IF(COVER!J31="x","Yes",IF(COVER!L31="x","No",0))</f>
        <v>No</v>
      </c>
    </row>
    <row r="15" spans="1:2" x14ac:dyDescent="0.2">
      <c r="A15" t="s">
        <v>577</v>
      </c>
      <c r="B15" s="138">
        <f>COVER!T23</f>
        <v>65.023278000000005</v>
      </c>
    </row>
    <row r="16" spans="1:2" x14ac:dyDescent="0.2">
      <c r="A16" t="s">
        <v>422</v>
      </c>
      <c r="B16" s="138" t="str">
        <f>COVER!T13</f>
        <v>Jodi K. Gill, CPA</v>
      </c>
    </row>
    <row r="17" spans="1:2" x14ac:dyDescent="0.2">
      <c r="A17" t="s">
        <v>884</v>
      </c>
      <c r="B17" s="138" t="str">
        <f>COVER!T15</f>
        <v>Jodi Gill</v>
      </c>
    </row>
    <row r="18" spans="1:2" x14ac:dyDescent="0.2">
      <c r="A18" t="s">
        <v>1150</v>
      </c>
      <c r="B18" s="138" t="str">
        <f>COVER!T17</f>
        <v>33 N. Main Street, Ste. #1</v>
      </c>
    </row>
    <row r="19" spans="1:2" x14ac:dyDescent="0.2">
      <c r="A19" t="s">
        <v>886</v>
      </c>
      <c r="B19" s="138" t="str">
        <f>COVER!T25</f>
        <v>jodi@jodigillcpa.com</v>
      </c>
    </row>
    <row r="20" spans="1:2" x14ac:dyDescent="0.2">
      <c r="A20" t="s">
        <v>887</v>
      </c>
      <c r="B20" s="138" t="str">
        <f>COVER!T19</f>
        <v>Manteno</v>
      </c>
    </row>
    <row r="21" spans="1:2" x14ac:dyDescent="0.2">
      <c r="A21" t="s">
        <v>479</v>
      </c>
      <c r="B21" s="138" t="str">
        <f>COVER!X19</f>
        <v>Il</v>
      </c>
    </row>
    <row r="22" spans="1:2" x14ac:dyDescent="0.2">
      <c r="A22" t="s">
        <v>888</v>
      </c>
      <c r="B22" s="138">
        <f>COVER!Z19</f>
        <v>60950</v>
      </c>
    </row>
    <row r="23" spans="1:2" x14ac:dyDescent="0.2">
      <c r="A23" t="s">
        <v>1152</v>
      </c>
      <c r="B23" s="138" t="str">
        <f>COVER!T21</f>
        <v>815-468-88802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35431</v>
      </c>
    </row>
    <row r="51" spans="1:4" x14ac:dyDescent="0.2">
      <c r="A51" s="1" t="s">
        <v>1481</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10056868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8625678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18908886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5612617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7828582</v>
      </c>
      <c r="C91" s="2" t="s">
        <v>573</v>
      </c>
      <c r="D91" s="2" t="str">
        <f t="shared" si="0"/>
        <v>Error?</v>
      </c>
    </row>
    <row r="92" spans="1:4" x14ac:dyDescent="0.2">
      <c r="A92" s="5">
        <v>31</v>
      </c>
      <c r="B92" s="138">
        <f>'Assets-Liab 5-6'!C39</f>
        <v>10956622</v>
      </c>
      <c r="D92" s="2" t="str">
        <f t="shared" si="0"/>
        <v>Error?</v>
      </c>
    </row>
    <row r="93" spans="1:4" x14ac:dyDescent="0.2">
      <c r="A93" s="5">
        <v>32</v>
      </c>
      <c r="B93" s="138">
        <f>'Assets-Liab 5-6'!C41</f>
        <v>18908886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2105190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1869850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4014888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1052595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3647770</v>
      </c>
      <c r="C122" s="2" t="s">
        <v>573</v>
      </c>
      <c r="D122" s="2" t="str">
        <f t="shared" si="0"/>
        <v>Error?</v>
      </c>
    </row>
    <row r="123" spans="1:4" x14ac:dyDescent="0.2">
      <c r="A123" s="5">
        <v>62</v>
      </c>
      <c r="B123" s="138">
        <f>'Assets-Liab 5-6'!D39</f>
        <v>327270</v>
      </c>
      <c r="D123" s="2" t="str">
        <f t="shared" si="0"/>
        <v>Error?</v>
      </c>
    </row>
    <row r="124" spans="1:4" x14ac:dyDescent="0.2">
      <c r="A124" s="5">
        <v>63</v>
      </c>
      <c r="B124" s="138">
        <f>'Assets-Liab 5-6'!D41</f>
        <v>4014888</v>
      </c>
      <c r="C124" s="2" t="s">
        <v>573</v>
      </c>
      <c r="D124" s="2" t="str">
        <f t="shared" si="0"/>
        <v>Error?</v>
      </c>
    </row>
    <row r="125" spans="1:4" x14ac:dyDescent="0.2">
      <c r="A125" s="10">
        <v>64</v>
      </c>
      <c r="D125" s="2" t="str">
        <f t="shared" si="0"/>
        <v>OK</v>
      </c>
    </row>
    <row r="126" spans="1:4" x14ac:dyDescent="0.2">
      <c r="A126" s="5">
        <v>65</v>
      </c>
      <c r="B126" s="138">
        <f>'Assets-Liab 5-6'!E6</f>
        <v>1266608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1202893</v>
      </c>
      <c r="D129" s="2" t="str">
        <f t="shared" si="1"/>
        <v>Error?</v>
      </c>
    </row>
    <row r="130" spans="1:4" x14ac:dyDescent="0.2">
      <c r="A130" s="5">
        <v>69</v>
      </c>
      <c r="B130" s="138">
        <f>'Assets-Liab 5-6'!E12</f>
        <v>0</v>
      </c>
      <c r="D130" s="2" t="str">
        <f t="shared" si="1"/>
        <v>Error?</v>
      </c>
    </row>
    <row r="131" spans="1:4" x14ac:dyDescent="0.2">
      <c r="A131" s="5">
        <v>70</v>
      </c>
      <c r="B131" s="138">
        <f>'Assets-Liab 5-6'!E13</f>
        <v>2469501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633304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1605440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2469501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595743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2007669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297871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298084</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2007669</v>
      </c>
      <c r="C171" s="2" t="s">
        <v>573</v>
      </c>
      <c r="D171" s="2" t="str">
        <f t="shared" si="1"/>
        <v>Error?</v>
      </c>
    </row>
    <row r="172" spans="1:4" x14ac:dyDescent="0.2">
      <c r="A172" s="10">
        <v>111</v>
      </c>
      <c r="D172" s="2" t="str">
        <f t="shared" si="1"/>
        <v>OK</v>
      </c>
    </row>
    <row r="173" spans="1:4" x14ac:dyDescent="0.2">
      <c r="A173" s="5">
        <v>112</v>
      </c>
      <c r="B173" s="138">
        <f>'Assets-Liab 5-6'!G6</f>
        <v>770010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1155492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385005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436005</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1155492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426157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5540463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5540463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1136737</v>
      </c>
      <c r="D273" s="2" t="str">
        <f t="shared" si="3"/>
        <v>Error?</v>
      </c>
    </row>
    <row r="274" spans="1:4" x14ac:dyDescent="0.2">
      <c r="A274" s="5">
        <v>213</v>
      </c>
      <c r="B274" s="138">
        <f>'Assets-Liab 5-6'!M17</f>
        <v>40515407</v>
      </c>
      <c r="D274" s="2" t="str">
        <f t="shared" si="3"/>
        <v>Error?</v>
      </c>
    </row>
    <row r="275" spans="1:4" x14ac:dyDescent="0.2">
      <c r="A275" s="5">
        <v>214</v>
      </c>
      <c r="B275" s="138">
        <f>'Assets-Liab 5-6'!M18</f>
        <v>2489895</v>
      </c>
      <c r="D275" s="2" t="str">
        <f t="shared" si="3"/>
        <v>Error?</v>
      </c>
    </row>
    <row r="276" spans="1:4" x14ac:dyDescent="0.2">
      <c r="A276" s="5">
        <v>215</v>
      </c>
      <c r="B276" s="138">
        <f>'Assets-Liab 5-6'!M19</f>
        <v>11086461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55618592</v>
      </c>
      <c r="C279" s="2" t="s">
        <v>573</v>
      </c>
      <c r="D279" s="2" t="str">
        <f t="shared" si="3"/>
        <v>Error?</v>
      </c>
    </row>
    <row r="280" spans="1:4" x14ac:dyDescent="0.2">
      <c r="A280" s="5">
        <v>219</v>
      </c>
      <c r="B280" s="138">
        <f>'Assets-Liab 5-6'!M40</f>
        <v>55618592</v>
      </c>
      <c r="D280" s="2" t="str">
        <f t="shared" si="3"/>
        <v>Error?</v>
      </c>
    </row>
    <row r="281" spans="1:4" x14ac:dyDescent="0.2">
      <c r="A281" s="5">
        <v>220</v>
      </c>
      <c r="B281" s="138">
        <f>'Assets-Liab 5-6'!M41</f>
        <v>55618592</v>
      </c>
      <c r="C281" s="2" t="s">
        <v>573</v>
      </c>
      <c r="D281" s="2" t="str">
        <f t="shared" si="3"/>
        <v>Error?</v>
      </c>
    </row>
    <row r="282" spans="1:4" x14ac:dyDescent="0.2">
      <c r="A282" s="5">
        <v>221</v>
      </c>
      <c r="B282" s="138">
        <f>'Assets-Liab 5-6'!N21</f>
        <v>10890000</v>
      </c>
      <c r="D282" s="2" t="str">
        <f t="shared" si="3"/>
        <v>Error?</v>
      </c>
    </row>
    <row r="283" spans="1:4" x14ac:dyDescent="0.2">
      <c r="A283" s="5">
        <v>222</v>
      </c>
      <c r="B283" s="138">
        <f>'Assets-Liab 5-6'!N22</f>
        <v>0</v>
      </c>
      <c r="D283" s="2" t="str">
        <f t="shared" si="3"/>
        <v>Error?</v>
      </c>
    </row>
    <row r="284" spans="1:4" x14ac:dyDescent="0.2">
      <c r="A284" s="5">
        <v>223</v>
      </c>
      <c r="B284" s="138">
        <f>'Assets-Liab 5-6'!N23</f>
        <v>10890000</v>
      </c>
      <c r="C284" s="2" t="s">
        <v>573</v>
      </c>
      <c r="D284" s="2" t="str">
        <f t="shared" si="3"/>
        <v>Error?</v>
      </c>
    </row>
    <row r="285" spans="1:4" x14ac:dyDescent="0.2">
      <c r="A285" s="5">
        <v>224</v>
      </c>
      <c r="B285" s="138">
        <f>'Assets-Liab 5-6'!N36</f>
        <v>10890000</v>
      </c>
      <c r="D285" s="2" t="str">
        <f t="shared" si="3"/>
        <v>Error?</v>
      </c>
    </row>
    <row r="286" spans="1:4" x14ac:dyDescent="0.2">
      <c r="A286" s="10">
        <v>225</v>
      </c>
      <c r="D286" s="2" t="str">
        <f t="shared" si="3"/>
        <v>OK</v>
      </c>
    </row>
    <row r="287" spans="1:4" x14ac:dyDescent="0.2">
      <c r="A287" s="5">
        <v>226</v>
      </c>
      <c r="B287" s="138">
        <f>'Assets-Liab 5-6'!N37</f>
        <v>10890000</v>
      </c>
      <c r="C287" s="2" t="s">
        <v>573</v>
      </c>
      <c r="D287" s="2" t="str">
        <f t="shared" si="3"/>
        <v>Error?</v>
      </c>
    </row>
    <row r="288" spans="1:4" x14ac:dyDescent="0.2">
      <c r="A288" s="5">
        <v>227</v>
      </c>
      <c r="B288" s="138">
        <f>'Assets-Liab 5-6'!N41</f>
        <v>10890000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240252</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4565000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6591366</v>
      </c>
      <c r="D705" s="2" t="str">
        <f t="shared" si="10"/>
        <v>Error?</v>
      </c>
    </row>
    <row r="706" spans="1:4" x14ac:dyDescent="0.2">
      <c r="A706" s="5">
        <v>645</v>
      </c>
      <c r="B706" s="138">
        <f>'Expenditures 15-22'!C16</f>
        <v>52619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82854</v>
      </c>
      <c r="D718" s="2" t="str">
        <f t="shared" si="10"/>
        <v>Error?</v>
      </c>
    </row>
    <row r="719" spans="1:4" x14ac:dyDescent="0.2">
      <c r="A719" s="5">
        <v>658</v>
      </c>
      <c r="B719" s="138">
        <f>'Expenditures 15-22'!C15</f>
        <v>60941</v>
      </c>
      <c r="D719" s="2" t="str">
        <f t="shared" si="10"/>
        <v>Error?</v>
      </c>
    </row>
    <row r="720" spans="1:4" x14ac:dyDescent="0.2">
      <c r="A720" s="5">
        <v>659</v>
      </c>
      <c r="B720" s="138">
        <f>'Expenditures 15-22'!C33</f>
        <v>9054691</v>
      </c>
      <c r="C720" s="2" t="s">
        <v>573</v>
      </c>
      <c r="D720" s="2" t="str">
        <f t="shared" si="10"/>
        <v>Error?</v>
      </c>
    </row>
    <row r="721" spans="1:4" x14ac:dyDescent="0.2">
      <c r="A721" s="5">
        <v>660</v>
      </c>
      <c r="B721" s="138">
        <f>'Expenditures 15-22'!C36</f>
        <v>261093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388862</v>
      </c>
      <c r="D723" s="2" t="str">
        <f t="shared" si="10"/>
        <v>Error?</v>
      </c>
    </row>
    <row r="724" spans="1:4" x14ac:dyDescent="0.2">
      <c r="A724" s="5">
        <v>663</v>
      </c>
      <c r="B724" s="138">
        <f>'Expenditures 15-22'!C39</f>
        <v>135847</v>
      </c>
      <c r="D724" s="2" t="str">
        <f t="shared" si="10"/>
        <v>Error?</v>
      </c>
    </row>
    <row r="725" spans="1:4" x14ac:dyDescent="0.2">
      <c r="A725" s="5">
        <v>664</v>
      </c>
      <c r="B725" s="138">
        <f>'Expenditures 15-22'!C40</f>
        <v>332486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1118288</v>
      </c>
      <c r="C727" s="2" t="s">
        <v>573</v>
      </c>
      <c r="D727" s="2" t="str">
        <f t="shared" si="10"/>
        <v>Error?</v>
      </c>
    </row>
    <row r="728" spans="1:4" x14ac:dyDescent="0.2">
      <c r="A728" s="5">
        <v>667</v>
      </c>
      <c r="B728" s="138">
        <f>'Expenditures 15-22'!C44</f>
        <v>238704</v>
      </c>
      <c r="D728" s="2" t="str">
        <f t="shared" si="10"/>
        <v>Error?</v>
      </c>
    </row>
    <row r="729" spans="1:4" x14ac:dyDescent="0.2">
      <c r="A729" s="5">
        <v>668</v>
      </c>
      <c r="B729" s="138">
        <f>'Expenditures 15-22'!C45</f>
        <v>119920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358624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220091</v>
      </c>
      <c r="D733" s="2" t="str">
        <f t="shared" si="10"/>
        <v>Error?</v>
      </c>
    </row>
    <row r="734" spans="1:4" x14ac:dyDescent="0.2">
      <c r="A734" s="5">
        <v>673</v>
      </c>
      <c r="B734" s="138">
        <f>'Expenditures 15-22'!C53</f>
        <v>369059</v>
      </c>
      <c r="C734" s="2" t="s">
        <v>573</v>
      </c>
      <c r="D734" s="2" t="str">
        <f t="shared" si="10"/>
        <v>Error?</v>
      </c>
    </row>
    <row r="735" spans="1:4" x14ac:dyDescent="0.2">
      <c r="A735" s="5">
        <v>674</v>
      </c>
      <c r="B735" s="138">
        <f>'Expenditures 15-22'!C55</f>
        <v>1080119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1080119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156630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156630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334719</v>
      </c>
      <c r="D748" s="2" t="str">
        <f t="shared" si="10"/>
        <v>Error?</v>
      </c>
    </row>
    <row r="749" spans="1:4" x14ac:dyDescent="0.2">
      <c r="A749" s="5">
        <v>688</v>
      </c>
      <c r="B749" s="138">
        <f>'Expenditures 15-22'!C70</f>
        <v>1100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335819</v>
      </c>
      <c r="C753" s="2" t="s">
        <v>573</v>
      </c>
      <c r="D753" s="2" t="str">
        <f t="shared" si="10"/>
        <v>Error?</v>
      </c>
    </row>
    <row r="754" spans="1:4" x14ac:dyDescent="0.2">
      <c r="A754" s="5">
        <v>693</v>
      </c>
      <c r="B754" s="138">
        <f>'Expenditures 15-22'!C73</f>
        <v>84</v>
      </c>
      <c r="D754" s="2" t="str">
        <f t="shared" si="10"/>
        <v>Error?</v>
      </c>
    </row>
    <row r="755" spans="1:4" x14ac:dyDescent="0.2">
      <c r="A755" s="5">
        <v>694</v>
      </c>
      <c r="B755" s="138">
        <f>'Expenditures 15-22'!C74</f>
        <v>3418623</v>
      </c>
      <c r="C755" s="2" t="s">
        <v>573</v>
      </c>
      <c r="D755" s="2" t="str">
        <f t="shared" si="10"/>
        <v>Error?</v>
      </c>
    </row>
    <row r="756" spans="1:4" x14ac:dyDescent="0.2">
      <c r="A756" s="5">
        <v>695</v>
      </c>
      <c r="B756" s="138">
        <f>'Expenditures 15-22'!C75</f>
        <v>14012</v>
      </c>
      <c r="D756" s="2" t="str">
        <f t="shared" si="10"/>
        <v>Error?</v>
      </c>
    </row>
    <row r="757" spans="1:4" x14ac:dyDescent="0.2">
      <c r="A757" s="5">
        <v>696</v>
      </c>
      <c r="B757" s="138">
        <f>'Expenditures 15-22'!C114</f>
        <v>12487326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1750109</v>
      </c>
      <c r="D763" s="2" t="str">
        <f t="shared" si="10"/>
        <v>Error?</v>
      </c>
    </row>
    <row r="764" spans="1:4" x14ac:dyDescent="0.2">
      <c r="A764" s="5">
        <v>703</v>
      </c>
      <c r="B764" s="138">
        <f>'Expenditures 15-22'!D16</f>
        <v>19497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11836</v>
      </c>
      <c r="D776" s="2" t="str">
        <f t="shared" si="11"/>
        <v>Error?</v>
      </c>
    </row>
    <row r="777" spans="1:4" x14ac:dyDescent="0.2">
      <c r="A777" s="5">
        <v>716</v>
      </c>
      <c r="B777" s="138">
        <f>'Expenditures 15-22'!D15</f>
        <v>7088</v>
      </c>
      <c r="D777" s="2" t="str">
        <f t="shared" si="11"/>
        <v>Error?</v>
      </c>
    </row>
    <row r="778" spans="1:4" x14ac:dyDescent="0.2">
      <c r="A778" s="5">
        <v>717</v>
      </c>
      <c r="B778" s="138">
        <f>'Expenditures 15-22'!D33</f>
        <v>2507118</v>
      </c>
      <c r="C778" s="2" t="s">
        <v>573</v>
      </c>
      <c r="D778" s="2" t="str">
        <f t="shared" si="11"/>
        <v>Error?</v>
      </c>
    </row>
    <row r="779" spans="1:4" x14ac:dyDescent="0.2">
      <c r="A779" s="5">
        <v>718</v>
      </c>
      <c r="B779" s="138">
        <f>'Expenditures 15-22'!D36</f>
        <v>51203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65951</v>
      </c>
      <c r="D781" s="2" t="str">
        <f t="shared" si="11"/>
        <v>Error?</v>
      </c>
    </row>
    <row r="782" spans="1:4" x14ac:dyDescent="0.2">
      <c r="A782" s="5">
        <v>721</v>
      </c>
      <c r="B782" s="138">
        <f>'Expenditures 15-22'!D39</f>
        <v>42910</v>
      </c>
      <c r="D782" s="2" t="str">
        <f t="shared" si="11"/>
        <v>Error?</v>
      </c>
    </row>
    <row r="783" spans="1:4" x14ac:dyDescent="0.2">
      <c r="A783" s="5">
        <v>722</v>
      </c>
      <c r="B783" s="138">
        <f>'Expenditures 15-22'!D40</f>
        <v>96446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256510</v>
      </c>
      <c r="C785" s="2" t="s">
        <v>573</v>
      </c>
      <c r="D785" s="2" t="str">
        <f t="shared" si="11"/>
        <v>Error?</v>
      </c>
    </row>
    <row r="786" spans="1:4" x14ac:dyDescent="0.2">
      <c r="A786" s="5">
        <v>725</v>
      </c>
      <c r="B786" s="138">
        <f>'Expenditures 15-22'!D44</f>
        <v>58417</v>
      </c>
      <c r="D786" s="2" t="str">
        <f t="shared" si="11"/>
        <v>Error?</v>
      </c>
    </row>
    <row r="787" spans="1:4" x14ac:dyDescent="0.2">
      <c r="A787" s="5">
        <v>726</v>
      </c>
      <c r="B787" s="138">
        <f>'Expenditures 15-22'!D45</f>
        <v>7380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65797</v>
      </c>
      <c r="C789" s="2" t="s">
        <v>573</v>
      </c>
      <c r="D789" s="2" t="str">
        <f t="shared" si="11"/>
        <v>Error?</v>
      </c>
    </row>
    <row r="790" spans="1:4" x14ac:dyDescent="0.2">
      <c r="A790" s="5">
        <v>729</v>
      </c>
      <c r="B790" s="138">
        <f>'Expenditures 15-22'!D49</f>
        <v>599</v>
      </c>
      <c r="D790" s="2" t="str">
        <f t="shared" si="11"/>
        <v>Error?</v>
      </c>
    </row>
    <row r="791" spans="1:4" x14ac:dyDescent="0.2">
      <c r="A791" s="5">
        <v>730</v>
      </c>
      <c r="B791" s="138">
        <f>'Expenditures 15-22'!D50</f>
        <v>46954</v>
      </c>
      <c r="D791" s="2" t="str">
        <f t="shared" si="11"/>
        <v>Error?</v>
      </c>
    </row>
    <row r="792" spans="1:4" x14ac:dyDescent="0.2">
      <c r="A792" s="5">
        <v>731</v>
      </c>
      <c r="B792" s="138">
        <f>'Expenditures 15-22'!D53</f>
        <v>67683</v>
      </c>
      <c r="C792" s="2" t="s">
        <v>573</v>
      </c>
      <c r="D792" s="2" t="str">
        <f t="shared" si="11"/>
        <v>Error?</v>
      </c>
    </row>
    <row r="793" spans="1:4" x14ac:dyDescent="0.2">
      <c r="A793" s="5">
        <v>732</v>
      </c>
      <c r="B793" s="138">
        <f>'Expenditures 15-22'!D55</f>
        <v>259932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259932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40617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40617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14173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14173</v>
      </c>
      <c r="C811" s="2" t="s">
        <v>573</v>
      </c>
      <c r="D811" s="2" t="str">
        <f t="shared" si="11"/>
        <v>Error?</v>
      </c>
    </row>
    <row r="812" spans="1:4" x14ac:dyDescent="0.2">
      <c r="A812" s="5">
        <v>751</v>
      </c>
      <c r="B812" s="138">
        <f>'Expenditures 15-22'!D73</f>
        <v>12</v>
      </c>
      <c r="D812" s="2" t="str">
        <f t="shared" si="11"/>
        <v>Error?</v>
      </c>
    </row>
    <row r="813" spans="1:4" x14ac:dyDescent="0.2">
      <c r="A813" s="5">
        <v>752</v>
      </c>
      <c r="B813" s="138">
        <f>'Expenditures 15-22'!D74</f>
        <v>704724</v>
      </c>
      <c r="C813" s="2" t="s">
        <v>573</v>
      </c>
      <c r="D813" s="2" t="str">
        <f t="shared" si="11"/>
        <v>Error?</v>
      </c>
    </row>
    <row r="814" spans="1:4" x14ac:dyDescent="0.2">
      <c r="A814" s="5">
        <v>753</v>
      </c>
      <c r="B814" s="138">
        <f>'Expenditures 15-22'!D75</f>
        <v>3658</v>
      </c>
      <c r="D814" s="2" t="str">
        <f t="shared" si="11"/>
        <v>Error?</v>
      </c>
    </row>
    <row r="815" spans="1:4" x14ac:dyDescent="0.2">
      <c r="A815" s="5">
        <v>754</v>
      </c>
      <c r="B815" s="138">
        <f>'Expenditures 15-22'!D114</f>
        <v>3215500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28239</v>
      </c>
      <c r="D821" s="2" t="str">
        <f t="shared" si="11"/>
        <v>Error?</v>
      </c>
    </row>
    <row r="822" spans="1:4" x14ac:dyDescent="0.2">
      <c r="A822" s="5">
        <v>761</v>
      </c>
      <c r="B822" s="138">
        <f>'Expenditures 15-22'!E16</f>
        <v>2336</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9890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77228</v>
      </c>
      <c r="C836" s="2" t="s">
        <v>573</v>
      </c>
      <c r="D836" s="2" t="str">
        <f t="shared" si="12"/>
        <v>Error?</v>
      </c>
    </row>
    <row r="837" spans="1:4" x14ac:dyDescent="0.2">
      <c r="A837" s="5">
        <v>776</v>
      </c>
      <c r="B837" s="138">
        <f>'Expenditures 15-22'!E36</f>
        <v>398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3232</v>
      </c>
      <c r="D839" s="2" t="str">
        <f t="shared" si="12"/>
        <v>Error?</v>
      </c>
    </row>
    <row r="840" spans="1:4" x14ac:dyDescent="0.2">
      <c r="A840" s="5">
        <v>779</v>
      </c>
      <c r="B840" s="138">
        <f>'Expenditures 15-22'!E39</f>
        <v>7893</v>
      </c>
      <c r="D840" s="2" t="str">
        <f t="shared" si="12"/>
        <v>Error?</v>
      </c>
    </row>
    <row r="841" spans="1:4" x14ac:dyDescent="0.2">
      <c r="A841" s="5">
        <v>780</v>
      </c>
      <c r="B841" s="138">
        <f>'Expenditures 15-22'!E40</f>
        <v>6149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17672</v>
      </c>
      <c r="C843" s="2" t="s">
        <v>573</v>
      </c>
      <c r="D843" s="2" t="str">
        <f t="shared" si="12"/>
        <v>Error?</v>
      </c>
    </row>
    <row r="844" spans="1:4" x14ac:dyDescent="0.2">
      <c r="A844" s="5">
        <v>783</v>
      </c>
      <c r="B844" s="138">
        <f>'Expenditures 15-22'!E44</f>
        <v>203061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48149</v>
      </c>
      <c r="D846" s="2" t="str">
        <f t="shared" si="12"/>
        <v>Error?</v>
      </c>
    </row>
    <row r="847" spans="1:4" x14ac:dyDescent="0.2">
      <c r="A847" s="5">
        <v>786</v>
      </c>
      <c r="B847" s="138">
        <f>'Expenditures 15-22'!E47</f>
        <v>251210</v>
      </c>
      <c r="C847" s="2" t="s">
        <v>573</v>
      </c>
      <c r="D847" s="2" t="str">
        <f t="shared" si="12"/>
        <v>Error?</v>
      </c>
    </row>
    <row r="848" spans="1:4" x14ac:dyDescent="0.2">
      <c r="A848" s="5">
        <v>787</v>
      </c>
      <c r="B848" s="138">
        <f>'Expenditures 15-22'!E49</f>
        <v>211555</v>
      </c>
      <c r="D848" s="2" t="str">
        <f t="shared" si="12"/>
        <v>Error?</v>
      </c>
    </row>
    <row r="849" spans="1:4" x14ac:dyDescent="0.2">
      <c r="A849" s="5">
        <v>788</v>
      </c>
      <c r="B849" s="138">
        <f>'Expenditures 15-22'!E50</f>
        <v>153088</v>
      </c>
      <c r="D849" s="2" t="str">
        <f t="shared" si="12"/>
        <v>Error?</v>
      </c>
    </row>
    <row r="850" spans="1:4" x14ac:dyDescent="0.2">
      <c r="A850" s="5">
        <v>789</v>
      </c>
      <c r="B850" s="138">
        <f>'Expenditures 15-22'!E53</f>
        <v>379628</v>
      </c>
      <c r="C850" s="2" t="s">
        <v>573</v>
      </c>
      <c r="D850" s="2" t="str">
        <f t="shared" si="12"/>
        <v>Error?</v>
      </c>
    </row>
    <row r="851" spans="1:4" x14ac:dyDescent="0.2">
      <c r="A851" s="5">
        <v>790</v>
      </c>
      <c r="B851" s="138">
        <f>'Expenditures 15-22'!E55</f>
        <v>8854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8854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35758</v>
      </c>
      <c r="D855" s="2" t="str">
        <f t="shared" si="12"/>
        <v>Error?</v>
      </c>
    </row>
    <row r="856" spans="1:4" x14ac:dyDescent="0.2">
      <c r="A856" s="5">
        <v>795</v>
      </c>
      <c r="B856" s="138">
        <f>'Expenditures 15-22'!E61</f>
        <v>1571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729294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766623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16194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16194</v>
      </c>
      <c r="C869" s="2" t="s">
        <v>573</v>
      </c>
      <c r="D869" s="2" t="str">
        <f t="shared" si="12"/>
        <v>Error?</v>
      </c>
    </row>
    <row r="870" spans="1:4" x14ac:dyDescent="0.2">
      <c r="A870" s="5">
        <v>809</v>
      </c>
      <c r="B870" s="138">
        <f>'Expenditures 15-22'!E73</f>
        <v>150</v>
      </c>
      <c r="D870" s="2" t="str">
        <f t="shared" si="12"/>
        <v>Error?</v>
      </c>
    </row>
    <row r="871" spans="1:4" x14ac:dyDescent="0.2">
      <c r="A871" s="5">
        <v>810</v>
      </c>
      <c r="B871" s="138">
        <f>'Expenditures 15-22'!E74</f>
        <v>1440331</v>
      </c>
      <c r="C871" s="2" t="s">
        <v>573</v>
      </c>
      <c r="D871" s="2" t="str">
        <f t="shared" si="12"/>
        <v>Error?</v>
      </c>
    </row>
    <row r="872" spans="1:4" x14ac:dyDescent="0.2">
      <c r="A872" s="5">
        <v>811</v>
      </c>
      <c r="B872" s="138">
        <f>'Expenditures 15-22'!E75</f>
        <v>2574</v>
      </c>
      <c r="D872" s="2" t="str">
        <f t="shared" si="12"/>
        <v>Error?</v>
      </c>
    </row>
    <row r="873" spans="1:4" x14ac:dyDescent="0.2">
      <c r="A873" s="5">
        <v>812</v>
      </c>
      <c r="B873" s="138">
        <f>'Expenditures 15-22'!E114</f>
        <v>1520133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354357</v>
      </c>
      <c r="D879" s="2" t="str">
        <f t="shared" si="12"/>
        <v>Error?</v>
      </c>
    </row>
    <row r="880" spans="1:4" x14ac:dyDescent="0.2">
      <c r="A880" s="5">
        <v>819</v>
      </c>
      <c r="B880" s="138">
        <f>'Expenditures 15-22'!F16</f>
        <v>2367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15317</v>
      </c>
      <c r="D892" s="2" t="str">
        <f t="shared" si="12"/>
        <v>Error?</v>
      </c>
    </row>
    <row r="893" spans="1:4" x14ac:dyDescent="0.2">
      <c r="A893" s="5">
        <v>832</v>
      </c>
      <c r="B893" s="138">
        <f>'Expenditures 15-22'!F15</f>
        <v>1682</v>
      </c>
      <c r="D893" s="2" t="str">
        <f t="shared" si="12"/>
        <v>Error?</v>
      </c>
    </row>
    <row r="894" spans="1:4" x14ac:dyDescent="0.2">
      <c r="A894" s="5">
        <v>833</v>
      </c>
      <c r="B894" s="138">
        <f>'Expenditures 15-22'!F33</f>
        <v>397827</v>
      </c>
      <c r="C894" s="2" t="s">
        <v>573</v>
      </c>
      <c r="D894" s="2" t="str">
        <f t="shared" si="12"/>
        <v>Error?</v>
      </c>
    </row>
    <row r="895" spans="1:4" x14ac:dyDescent="0.2">
      <c r="A895" s="5">
        <v>834</v>
      </c>
      <c r="B895" s="138">
        <f>'Expenditures 15-22'!F36</f>
        <v>145</v>
      </c>
      <c r="D895" s="2" t="str">
        <f t="shared" ref="D895:D958" si="13">IF(ISBLANK(B895),"OK",IF(A895-B895=0,"OK","Error?"))</f>
        <v>Error?</v>
      </c>
    </row>
    <row r="896" spans="1:4" x14ac:dyDescent="0.2">
      <c r="A896" s="5">
        <v>835</v>
      </c>
      <c r="B896" s="138">
        <f>'Expenditures 15-22'!F37</f>
        <v>18640</v>
      </c>
      <c r="D896" s="2" t="str">
        <f t="shared" si="13"/>
        <v>Error?</v>
      </c>
    </row>
    <row r="897" spans="1:4" x14ac:dyDescent="0.2">
      <c r="A897" s="5">
        <v>836</v>
      </c>
      <c r="B897" s="138">
        <f>'Expenditures 15-22'!F38</f>
        <v>7024</v>
      </c>
      <c r="D897" s="2" t="str">
        <f t="shared" si="13"/>
        <v>Error?</v>
      </c>
    </row>
    <row r="898" spans="1:4" x14ac:dyDescent="0.2">
      <c r="A898" s="5">
        <v>837</v>
      </c>
      <c r="B898" s="138">
        <f>'Expenditures 15-22'!F39</f>
        <v>8894</v>
      </c>
      <c r="D898" s="2" t="str">
        <f t="shared" si="13"/>
        <v>Error?</v>
      </c>
    </row>
    <row r="899" spans="1:4" x14ac:dyDescent="0.2">
      <c r="A899" s="5">
        <v>838</v>
      </c>
      <c r="B899" s="138">
        <f>'Expenditures 15-22'!F40</f>
        <v>3511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38214</v>
      </c>
      <c r="C901" s="2" t="s">
        <v>573</v>
      </c>
      <c r="D901" s="2" t="str">
        <f t="shared" si="13"/>
        <v>Error?</v>
      </c>
    </row>
    <row r="902" spans="1:4" x14ac:dyDescent="0.2">
      <c r="A902" s="5">
        <v>841</v>
      </c>
      <c r="B902" s="138">
        <f>'Expenditures 15-22'!F44</f>
        <v>82535</v>
      </c>
      <c r="D902" s="2" t="str">
        <f t="shared" si="13"/>
        <v>Error?</v>
      </c>
    </row>
    <row r="903" spans="1:4" x14ac:dyDescent="0.2">
      <c r="A903" s="5">
        <v>842</v>
      </c>
      <c r="B903" s="138">
        <f>'Expenditures 15-22'!F45</f>
        <v>202438</v>
      </c>
      <c r="D903" s="2" t="str">
        <f t="shared" si="13"/>
        <v>Error?</v>
      </c>
    </row>
    <row r="904" spans="1:4" x14ac:dyDescent="0.2">
      <c r="A904" s="5">
        <v>843</v>
      </c>
      <c r="B904" s="138">
        <f>'Expenditures 15-22'!F46</f>
        <v>5628</v>
      </c>
      <c r="D904" s="2" t="str">
        <f t="shared" si="13"/>
        <v>Error?</v>
      </c>
    </row>
    <row r="905" spans="1:4" x14ac:dyDescent="0.2">
      <c r="A905" s="5">
        <v>844</v>
      </c>
      <c r="B905" s="138">
        <f>'Expenditures 15-22'!F47</f>
        <v>290601</v>
      </c>
      <c r="C905" s="2" t="s">
        <v>573</v>
      </c>
      <c r="D905" s="2" t="str">
        <f t="shared" si="13"/>
        <v>Error?</v>
      </c>
    </row>
    <row r="906" spans="1:4" x14ac:dyDescent="0.2">
      <c r="A906" s="5">
        <v>845</v>
      </c>
      <c r="B906" s="138">
        <f>'Expenditures 15-22'!F49</f>
        <v>1780</v>
      </c>
      <c r="D906" s="2" t="str">
        <f t="shared" si="13"/>
        <v>Error?</v>
      </c>
    </row>
    <row r="907" spans="1:4" x14ac:dyDescent="0.2">
      <c r="A907" s="5">
        <v>846</v>
      </c>
      <c r="B907" s="138">
        <f>'Expenditures 15-22'!F50</f>
        <v>16931</v>
      </c>
      <c r="D907" s="2" t="str">
        <f t="shared" si="13"/>
        <v>Error?</v>
      </c>
    </row>
    <row r="908" spans="1:4" x14ac:dyDescent="0.2">
      <c r="A908" s="5">
        <v>847</v>
      </c>
      <c r="B908" s="138">
        <f>'Expenditures 15-22'!F53</f>
        <v>20177</v>
      </c>
      <c r="C908" s="2" t="s">
        <v>573</v>
      </c>
      <c r="D908" s="2" t="str">
        <f t="shared" si="13"/>
        <v>Error?</v>
      </c>
    </row>
    <row r="909" spans="1:4" x14ac:dyDescent="0.2">
      <c r="A909" s="5">
        <v>848</v>
      </c>
      <c r="B909" s="138">
        <f>'Expenditures 15-22'!F55</f>
        <v>24543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24543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590</v>
      </c>
      <c r="D917" s="2" t="str">
        <f t="shared" si="13"/>
        <v>Error?</v>
      </c>
    </row>
    <row r="918" spans="1:4" x14ac:dyDescent="0.2">
      <c r="A918" s="10">
        <v>857</v>
      </c>
      <c r="D918" s="2" t="str">
        <f t="shared" si="13"/>
        <v>OK</v>
      </c>
    </row>
    <row r="919" spans="1:4" x14ac:dyDescent="0.2">
      <c r="A919" s="5">
        <v>858</v>
      </c>
      <c r="B919" s="138">
        <f>'Expenditures 15-22'!F65</f>
        <v>965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37945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37945</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412445</v>
      </c>
      <c r="C929" s="2" t="s">
        <v>573</v>
      </c>
      <c r="D929" s="2" t="str">
        <f t="shared" si="13"/>
        <v>Error?</v>
      </c>
    </row>
    <row r="930" spans="1:4" x14ac:dyDescent="0.2">
      <c r="A930" s="5">
        <v>869</v>
      </c>
      <c r="B930" s="138">
        <f>'Expenditures 15-22'!F75</f>
        <v>42586</v>
      </c>
      <c r="D930" s="2" t="str">
        <f t="shared" si="13"/>
        <v>Error?</v>
      </c>
    </row>
    <row r="931" spans="1:4" x14ac:dyDescent="0.2">
      <c r="A931" s="5">
        <v>870</v>
      </c>
      <c r="B931" s="138">
        <f>'Expenditures 15-22'!F114</f>
        <v>852858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219528</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219528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219528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219528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1214</v>
      </c>
      <c r="C995" s="9"/>
      <c r="D995" s="2" t="str">
        <f t="shared" si="14"/>
        <v>Error?</v>
      </c>
    </row>
    <row r="996" spans="1:4" x14ac:dyDescent="0.2">
      <c r="A996" s="5">
        <v>935</v>
      </c>
      <c r="B996" s="138">
        <f>'Expenditures 15-22'!H16</f>
        <v>1900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525259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60</v>
      </c>
      <c r="C1017" s="2" t="s">
        <v>573</v>
      </c>
      <c r="D1017" s="2" t="str">
        <f t="shared" si="14"/>
        <v>Error?</v>
      </c>
    </row>
    <row r="1018" spans="1:4" x14ac:dyDescent="0.2">
      <c r="A1018" s="5">
        <v>957</v>
      </c>
      <c r="B1018" s="138">
        <f>'Expenditures 15-22'!H44</f>
        <v>6693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6693</v>
      </c>
      <c r="C1021" s="2" t="s">
        <v>573</v>
      </c>
      <c r="D1021" s="2" t="str">
        <f t="shared" si="14"/>
        <v>Error?</v>
      </c>
    </row>
    <row r="1022" spans="1:4" x14ac:dyDescent="0.2">
      <c r="A1022" s="5">
        <v>961</v>
      </c>
      <c r="B1022" s="138">
        <f>'Expenditures 15-22'!H49</f>
        <v>63906</v>
      </c>
      <c r="D1022" s="2" t="str">
        <f t="shared" si="14"/>
        <v>Error?</v>
      </c>
    </row>
    <row r="1023" spans="1:4" x14ac:dyDescent="0.2">
      <c r="A1023" s="5">
        <v>962</v>
      </c>
      <c r="B1023" s="138">
        <f>'Expenditures 15-22'!H50</f>
        <v>9400</v>
      </c>
      <c r="D1023" s="2" t="str">
        <f t="shared" ref="D1023:D1086" si="15">IF(ISBLANK(B1023),"OK",IF(A1023-B1023=0,"OK","Error?"))</f>
        <v>Error?</v>
      </c>
    </row>
    <row r="1024" spans="1:4" x14ac:dyDescent="0.2">
      <c r="A1024" s="5">
        <v>963</v>
      </c>
      <c r="B1024" s="138">
        <f>'Expenditures 15-22'!H53</f>
        <v>73306</v>
      </c>
      <c r="C1024" s="2" t="s">
        <v>573</v>
      </c>
      <c r="D1024" s="2" t="str">
        <f t="shared" si="15"/>
        <v>Error?</v>
      </c>
    </row>
    <row r="1025" spans="1:4" x14ac:dyDescent="0.2">
      <c r="A1025" s="5">
        <v>964</v>
      </c>
      <c r="B1025" s="138">
        <f>'Expenditures 15-22'!H55</f>
        <v>4083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4083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3079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3079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87221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700045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8730175</v>
      </c>
      <c r="C1093" s="2" t="s">
        <v>573</v>
      </c>
      <c r="D1093" s="2" t="str">
        <f t="shared" si="16"/>
        <v>Error?</v>
      </c>
    </row>
    <row r="1094" spans="1:4" x14ac:dyDescent="0.2">
      <c r="A1094" s="5">
        <v>1033</v>
      </c>
      <c r="B1094" s="138">
        <f>'Expenditures 15-22'!K16</f>
        <v>78719</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122447</v>
      </c>
      <c r="C1106" s="2" t="s">
        <v>573</v>
      </c>
      <c r="D1106" s="2" t="str">
        <f t="shared" si="16"/>
        <v>Error?</v>
      </c>
    </row>
    <row r="1107" spans="1:4" x14ac:dyDescent="0.2">
      <c r="A1107" s="5">
        <v>1046</v>
      </c>
      <c r="B1107" s="138">
        <f>'Expenditures 15-22'!K15</f>
        <v>69711</v>
      </c>
      <c r="C1107" s="2" t="s">
        <v>573</v>
      </c>
      <c r="D1107" s="2" t="str">
        <f t="shared" si="16"/>
        <v>Error?</v>
      </c>
    </row>
    <row r="1108" spans="1:4" x14ac:dyDescent="0.2">
      <c r="A1108" s="5">
        <v>1047</v>
      </c>
      <c r="B1108" s="138">
        <f>'Expenditures 15-22'!K33</f>
        <v>12567013</v>
      </c>
      <c r="C1108" s="2" t="s">
        <v>573</v>
      </c>
      <c r="D1108" s="2" t="str">
        <f t="shared" si="16"/>
        <v>Error?</v>
      </c>
    </row>
    <row r="1109" spans="1:4" x14ac:dyDescent="0.2">
      <c r="A1109" s="5">
        <v>1048</v>
      </c>
      <c r="B1109" s="138">
        <f>'Expenditures 15-22'!K36</f>
        <v>312839</v>
      </c>
      <c r="C1109" s="2" t="s">
        <v>573</v>
      </c>
      <c r="D1109" s="2" t="str">
        <f t="shared" si="16"/>
        <v>Error?</v>
      </c>
    </row>
    <row r="1110" spans="1:4" x14ac:dyDescent="0.2">
      <c r="A1110" s="5">
        <v>1049</v>
      </c>
      <c r="B1110" s="138">
        <f>'Expenditures 15-22'!K37</f>
        <v>18640</v>
      </c>
      <c r="C1110" s="2" t="s">
        <v>573</v>
      </c>
      <c r="D1110" s="2" t="str">
        <f t="shared" si="16"/>
        <v>Error?</v>
      </c>
    </row>
    <row r="1111" spans="1:4" x14ac:dyDescent="0.2">
      <c r="A1111" s="5">
        <v>1050</v>
      </c>
      <c r="B1111" s="138">
        <f>'Expenditures 15-22'!K38</f>
        <v>465129</v>
      </c>
      <c r="C1111" s="2" t="s">
        <v>573</v>
      </c>
      <c r="D1111" s="2" t="str">
        <f t="shared" si="16"/>
        <v>Error?</v>
      </c>
    </row>
    <row r="1112" spans="1:4" x14ac:dyDescent="0.2">
      <c r="A1112" s="5">
        <v>1051</v>
      </c>
      <c r="B1112" s="138">
        <f>'Expenditures 15-22'!K39</f>
        <v>195544</v>
      </c>
      <c r="C1112" s="2" t="s">
        <v>573</v>
      </c>
      <c r="D1112" s="2" t="str">
        <f t="shared" si="16"/>
        <v>Error?</v>
      </c>
    </row>
    <row r="1113" spans="1:4" x14ac:dyDescent="0.2">
      <c r="A1113" s="5">
        <v>1052</v>
      </c>
      <c r="B1113" s="138">
        <f>'Expenditures 15-22'!K40</f>
        <v>465942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1458094</v>
      </c>
      <c r="C1115" s="2" t="s">
        <v>573</v>
      </c>
      <c r="D1115" s="2" t="str">
        <f t="shared" si="16"/>
        <v>Error?</v>
      </c>
    </row>
    <row r="1116" spans="1:4" x14ac:dyDescent="0.2">
      <c r="A1116" s="5">
        <v>1055</v>
      </c>
      <c r="B1116" s="138">
        <f>'Expenditures 15-22'!K44</f>
        <v>592151</v>
      </c>
      <c r="C1116" s="2" t="s">
        <v>573</v>
      </c>
      <c r="D1116" s="2" t="str">
        <f t="shared" si="16"/>
        <v>Error?</v>
      </c>
    </row>
    <row r="1117" spans="1:4" x14ac:dyDescent="0.2">
      <c r="A1117" s="5">
        <v>1056</v>
      </c>
      <c r="B1117" s="138">
        <f>'Expenditures 15-22'!K45</f>
        <v>329738</v>
      </c>
      <c r="C1117" s="2" t="s">
        <v>573</v>
      </c>
      <c r="D1117" s="2" t="str">
        <f t="shared" si="16"/>
        <v>Error?</v>
      </c>
    </row>
    <row r="1118" spans="1:4" x14ac:dyDescent="0.2">
      <c r="A1118" s="5">
        <v>1057</v>
      </c>
      <c r="B1118" s="138">
        <f>'Expenditures 15-22'!K46</f>
        <v>53777</v>
      </c>
      <c r="C1118" s="2" t="s">
        <v>573</v>
      </c>
      <c r="D1118" s="2" t="str">
        <f t="shared" si="16"/>
        <v>Error?</v>
      </c>
    </row>
    <row r="1119" spans="1:4" x14ac:dyDescent="0.2">
      <c r="A1119" s="5">
        <v>1058</v>
      </c>
      <c r="B1119" s="138">
        <f>'Expenditures 15-22'!K47</f>
        <v>975666</v>
      </c>
      <c r="C1119" s="2" t="s">
        <v>573</v>
      </c>
      <c r="D1119" s="2" t="str">
        <f t="shared" si="16"/>
        <v>Error?</v>
      </c>
    </row>
    <row r="1120" spans="1:4" x14ac:dyDescent="0.2">
      <c r="A1120" s="5">
        <v>1059</v>
      </c>
      <c r="B1120" s="138">
        <f>'Expenditures 15-22'!K49</f>
        <v>277840</v>
      </c>
      <c r="C1120" s="2" t="s">
        <v>573</v>
      </c>
      <c r="D1120" s="2" t="str">
        <f t="shared" si="16"/>
        <v>Error?</v>
      </c>
    </row>
    <row r="1121" spans="1:4" x14ac:dyDescent="0.2">
      <c r="A1121" s="5">
        <v>1060</v>
      </c>
      <c r="B1121" s="138">
        <f>'Expenditures 15-22'!K50</f>
        <v>448277</v>
      </c>
      <c r="C1121" s="2" t="s">
        <v>573</v>
      </c>
      <c r="D1121" s="2" t="str">
        <f t="shared" si="16"/>
        <v>Error?</v>
      </c>
    </row>
    <row r="1122" spans="1:4" x14ac:dyDescent="0.2">
      <c r="A1122" s="5">
        <v>1061</v>
      </c>
      <c r="B1122" s="138">
        <f>'Expenditures 15-22'!K53</f>
        <v>911666</v>
      </c>
      <c r="C1122" s="2" t="s">
        <v>573</v>
      </c>
      <c r="D1122" s="2" t="str">
        <f t="shared" si="16"/>
        <v>Error?</v>
      </c>
    </row>
    <row r="1123" spans="1:4" x14ac:dyDescent="0.2">
      <c r="A1123" s="5">
        <v>1062</v>
      </c>
      <c r="B1123" s="138">
        <f>'Expenditures 15-22'!K55</f>
        <v>1385554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1385554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236459</v>
      </c>
      <c r="C1127" s="2" t="s">
        <v>573</v>
      </c>
      <c r="D1127" s="2" t="str">
        <f t="shared" si="16"/>
        <v>Error?</v>
      </c>
    </row>
    <row r="1128" spans="1:4" x14ac:dyDescent="0.2">
      <c r="A1128" s="5">
        <v>1067</v>
      </c>
      <c r="B1128" s="138">
        <f>'Expenditures 15-22'!K61</f>
        <v>1571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729294</v>
      </c>
      <c r="C1130" s="2" t="s">
        <v>573</v>
      </c>
      <c r="D1130" s="2" t="str">
        <f t="shared" si="16"/>
        <v>Error?</v>
      </c>
    </row>
    <row r="1131" spans="1:4" x14ac:dyDescent="0.2">
      <c r="A1131" s="5">
        <v>1070</v>
      </c>
      <c r="B1131" s="138">
        <f>'Expenditures 15-22'!K64</f>
        <v>590</v>
      </c>
      <c r="C1131" s="2" t="s">
        <v>573</v>
      </c>
      <c r="D1131" s="2" t="str">
        <f t="shared" si="16"/>
        <v>Error?</v>
      </c>
    </row>
    <row r="1132" spans="1:4" x14ac:dyDescent="0.2">
      <c r="A1132" s="10">
        <v>1071</v>
      </c>
      <c r="D1132" s="2" t="str">
        <f t="shared" si="16"/>
        <v>OK</v>
      </c>
    </row>
    <row r="1133" spans="1:4" x14ac:dyDescent="0.2">
      <c r="A1133" s="5">
        <v>1072</v>
      </c>
      <c r="B1133" s="138">
        <f>'Expenditures 15-22'!K65</f>
        <v>967914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622559</v>
      </c>
      <c r="C1136" s="2" t="s">
        <v>573</v>
      </c>
      <c r="D1136" s="2" t="str">
        <f t="shared" si="16"/>
        <v>Error?</v>
      </c>
    </row>
    <row r="1137" spans="1:4" x14ac:dyDescent="0.2">
      <c r="A1137" s="5">
        <v>1076</v>
      </c>
      <c r="B1137" s="138">
        <f>'Expenditures 15-22'!K70</f>
        <v>1100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623659</v>
      </c>
      <c r="C1141" s="2" t="s">
        <v>573</v>
      </c>
      <c r="D1141" s="2" t="str">
        <f t="shared" si="16"/>
        <v>Error?</v>
      </c>
    </row>
    <row r="1142" spans="1:4" x14ac:dyDescent="0.2">
      <c r="A1142" s="5">
        <v>1081</v>
      </c>
      <c r="B1142" s="138">
        <f>'Expenditures 15-22'!K73</f>
        <v>246</v>
      </c>
      <c r="C1142" s="2" t="s">
        <v>573</v>
      </c>
      <c r="D1142" s="2" t="str">
        <f t="shared" si="16"/>
        <v>Error?</v>
      </c>
    </row>
    <row r="1143" spans="1:4" x14ac:dyDescent="0.2">
      <c r="A1143" s="5">
        <v>1082</v>
      </c>
      <c r="B1143" s="138">
        <f>'Expenditures 15-22'!K74</f>
        <v>6322799</v>
      </c>
      <c r="C1143" s="2" t="s">
        <v>573</v>
      </c>
      <c r="D1143" s="2" t="str">
        <f t="shared" si="16"/>
        <v>Error?</v>
      </c>
    </row>
    <row r="1144" spans="1:4" x14ac:dyDescent="0.2">
      <c r="A1144" s="5">
        <v>1083</v>
      </c>
      <c r="B1144" s="138">
        <f>'Expenditures 15-22'!K75</f>
        <v>62830</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19040207</v>
      </c>
      <c r="C1152" s="2" t="s">
        <v>573</v>
      </c>
      <c r="D1152" s="2" t="str">
        <f t="shared" si="17"/>
        <v>Error?</v>
      </c>
    </row>
    <row r="1153" spans="1:4" x14ac:dyDescent="0.2">
      <c r="A1153" s="5">
        <v>1092</v>
      </c>
      <c r="B1153" s="138">
        <f>'Expenditures 15-22'!K115</f>
        <v>389158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688835</v>
      </c>
      <c r="D1221" s="2" t="str">
        <f t="shared" si="18"/>
        <v>Error?</v>
      </c>
    </row>
    <row r="1222" spans="1:4" x14ac:dyDescent="0.2">
      <c r="A1222" s="10">
        <v>1161</v>
      </c>
      <c r="D1222" s="2" t="str">
        <f t="shared" si="18"/>
        <v>OK</v>
      </c>
    </row>
    <row r="1223" spans="1:4" x14ac:dyDescent="0.2">
      <c r="A1223" s="5">
        <v>1162</v>
      </c>
      <c r="B1223" s="138">
        <f>'Expenditures 15-22'!C127</f>
        <v>688835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688835</v>
      </c>
      <c r="C1225" s="2" t="s">
        <v>573</v>
      </c>
      <c r="D1225" s="2" t="str">
        <f t="shared" si="18"/>
        <v>Error?</v>
      </c>
    </row>
    <row r="1226" spans="1:4" x14ac:dyDescent="0.2">
      <c r="A1226" s="5">
        <v>1165</v>
      </c>
      <c r="B1226" s="138">
        <f>'Expenditures 15-22'!C151</f>
        <v>688835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142098</v>
      </c>
      <c r="D1229" s="2" t="str">
        <f t="shared" si="18"/>
        <v>Error?</v>
      </c>
    </row>
    <row r="1230" spans="1:4" x14ac:dyDescent="0.2">
      <c r="A1230" s="10">
        <v>1169</v>
      </c>
      <c r="D1230" s="2" t="str">
        <f t="shared" si="18"/>
        <v>OK</v>
      </c>
    </row>
    <row r="1231" spans="1:4" x14ac:dyDescent="0.2">
      <c r="A1231" s="5">
        <v>1170</v>
      </c>
      <c r="B1231" s="138">
        <f>'Expenditures 15-22'!D127</f>
        <v>142098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142098</v>
      </c>
      <c r="C1233" s="2" t="s">
        <v>573</v>
      </c>
      <c r="D1233" s="2" t="str">
        <f t="shared" si="18"/>
        <v>Error?</v>
      </c>
    </row>
    <row r="1234" spans="1:4" x14ac:dyDescent="0.2">
      <c r="A1234" s="5">
        <v>1173</v>
      </c>
      <c r="B1234" s="138">
        <f>'Expenditures 15-22'!D151</f>
        <v>142098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446816</v>
      </c>
      <c r="D1237" s="2" t="str">
        <f t="shared" si="18"/>
        <v>Error?</v>
      </c>
    </row>
    <row r="1238" spans="1:4" x14ac:dyDescent="0.2">
      <c r="A1238" s="10">
        <v>1177</v>
      </c>
      <c r="D1238" s="2" t="str">
        <f t="shared" si="18"/>
        <v>OK</v>
      </c>
    </row>
    <row r="1239" spans="1:4" x14ac:dyDescent="0.2">
      <c r="A1239" s="5">
        <v>1178</v>
      </c>
      <c r="B1239" s="138">
        <f>'Expenditures 15-22'!E127</f>
        <v>446816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446816</v>
      </c>
      <c r="C1241" s="2" t="s">
        <v>573</v>
      </c>
      <c r="D1241" s="2" t="str">
        <f t="shared" si="18"/>
        <v>Error?</v>
      </c>
    </row>
    <row r="1242" spans="1:4" x14ac:dyDescent="0.2">
      <c r="A1242" s="5">
        <v>1181</v>
      </c>
      <c r="B1242" s="138">
        <f>'Expenditures 15-22'!E151</f>
        <v>446816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614649</v>
      </c>
      <c r="D1245" s="2" t="str">
        <f t="shared" si="18"/>
        <v>Error?</v>
      </c>
    </row>
    <row r="1246" spans="1:4" x14ac:dyDescent="0.2">
      <c r="A1246" s="10">
        <v>1185</v>
      </c>
      <c r="D1246" s="2" t="str">
        <f t="shared" si="18"/>
        <v>OK</v>
      </c>
    </row>
    <row r="1247" spans="1:4" x14ac:dyDescent="0.2">
      <c r="A1247" s="5">
        <v>1186</v>
      </c>
      <c r="B1247" s="138">
        <f>'Expenditures 15-22'!F127</f>
        <v>614649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614649</v>
      </c>
      <c r="C1249" s="2" t="s">
        <v>573</v>
      </c>
      <c r="D1249" s="2" t="str">
        <f t="shared" si="18"/>
        <v>Error?</v>
      </c>
    </row>
    <row r="1250" spans="1:4" x14ac:dyDescent="0.2">
      <c r="A1250" s="5">
        <v>1189</v>
      </c>
      <c r="B1250" s="138">
        <f>'Expenditures 15-22'!F151</f>
        <v>614649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1339547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1339547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1339547</v>
      </c>
      <c r="C1258" s="2" t="s">
        <v>573</v>
      </c>
      <c r="D1258" s="2" t="str">
        <f t="shared" si="18"/>
        <v>Error?</v>
      </c>
    </row>
    <row r="1259" spans="1:4" x14ac:dyDescent="0.2">
      <c r="A1259" s="5">
        <v>1198</v>
      </c>
      <c r="B1259" s="138">
        <f>'Expenditures 15-22'!G151</f>
        <v>1339547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3236377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3236377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3236377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3236377</v>
      </c>
      <c r="C1288" s="2" t="s">
        <v>573</v>
      </c>
      <c r="D1288" s="2" t="str">
        <f t="shared" si="19"/>
        <v>Error?</v>
      </c>
    </row>
    <row r="1289" spans="1:4" x14ac:dyDescent="0.2">
      <c r="A1289" s="5">
        <v>1228</v>
      </c>
      <c r="B1289" s="138">
        <f>'Expenditures 15-22'!K152</f>
        <v>-794351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115188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1070000</v>
      </c>
      <c r="D1315" s="2" t="str">
        <f t="shared" si="19"/>
        <v>Error?</v>
      </c>
    </row>
    <row r="1316" spans="1:4" x14ac:dyDescent="0.2">
      <c r="A1316" s="5">
        <v>1255</v>
      </c>
      <c r="B1316" s="138">
        <f>'Expenditures 15-22'!H171</f>
        <v>59800</v>
      </c>
      <c r="D1316" s="2" t="str">
        <f t="shared" si="19"/>
        <v>Error?</v>
      </c>
    </row>
    <row r="1317" spans="1:4" x14ac:dyDescent="0.2">
      <c r="A1317" s="5">
        <v>1256</v>
      </c>
      <c r="B1317" s="138">
        <f>'Expenditures 15-22'!H172</f>
        <v>1244988</v>
      </c>
      <c r="C1317" s="2" t="s">
        <v>573</v>
      </c>
      <c r="D1317" s="2" t="str">
        <f t="shared" si="19"/>
        <v>Error?</v>
      </c>
    </row>
    <row r="1318" spans="1:4" x14ac:dyDescent="0.2">
      <c r="A1318" s="5">
        <v>1257</v>
      </c>
      <c r="B1318" s="138">
        <f>'Expenditures 15-22'!H174</f>
        <v>1244988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115188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1070000</v>
      </c>
      <c r="C1329" s="2" t="s">
        <v>573</v>
      </c>
      <c r="D1329" s="2" t="str">
        <f t="shared" si="19"/>
        <v>Error?</v>
      </c>
    </row>
    <row r="1330" spans="1:4" x14ac:dyDescent="0.2">
      <c r="A1330" s="5">
        <v>1269</v>
      </c>
      <c r="B1330" s="138">
        <f>'Expenditures 15-22'!K171</f>
        <v>59800</v>
      </c>
      <c r="C1330" s="2" t="s">
        <v>573</v>
      </c>
      <c r="D1330" s="2" t="str">
        <f t="shared" si="19"/>
        <v>Error?</v>
      </c>
    </row>
    <row r="1331" spans="1:4" x14ac:dyDescent="0.2">
      <c r="A1331" s="5">
        <v>1270</v>
      </c>
      <c r="B1331" s="138">
        <f>'Expenditures 15-22'!K172</f>
        <v>1244988</v>
      </c>
      <c r="C1331" s="2" t="s">
        <v>573</v>
      </c>
      <c r="D1331" s="2" t="str">
        <f t="shared" si="19"/>
        <v>Error?</v>
      </c>
    </row>
    <row r="1332" spans="1:4" x14ac:dyDescent="0.2">
      <c r="A1332" s="5">
        <v>1271</v>
      </c>
      <c r="B1332" s="138">
        <f>'Expenditures 15-22'!K174</f>
        <v>1244988</v>
      </c>
      <c r="C1332" s="2" t="s">
        <v>573</v>
      </c>
      <c r="D1332" s="2" t="str">
        <f t="shared" si="19"/>
        <v>Error?</v>
      </c>
    </row>
    <row r="1333" spans="1:4" x14ac:dyDescent="0.2">
      <c r="A1333" s="5">
        <v>1272</v>
      </c>
      <c r="B1333" s="138">
        <f>'Expenditures 15-22'!K175</f>
        <v>33680</v>
      </c>
      <c r="C1333" s="2" t="s">
        <v>573</v>
      </c>
      <c r="D1333" s="2" t="str">
        <f t="shared" si="19"/>
        <v>Error?</v>
      </c>
    </row>
    <row r="1334" spans="1:4" x14ac:dyDescent="0.2">
      <c r="A1334" s="10">
        <v>1273</v>
      </c>
      <c r="D1334" s="2" t="str">
        <f t="shared" si="19"/>
        <v>OK</v>
      </c>
    </row>
    <row r="1335" spans="1:4" x14ac:dyDescent="0.2">
      <c r="A1335" s="5">
        <v>1274</v>
      </c>
      <c r="B1335" s="138">
        <f>'Expenditures 15-22'!C182</f>
        <v>667391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667391</v>
      </c>
      <c r="C1339" s="2" t="s">
        <v>573</v>
      </c>
      <c r="D1339" s="2" t="str">
        <f t="shared" si="19"/>
        <v>Error?</v>
      </c>
    </row>
    <row r="1340" spans="1:4" x14ac:dyDescent="0.2">
      <c r="A1340" s="5">
        <v>1279</v>
      </c>
      <c r="B1340" s="138">
        <f>'Expenditures 15-22'!C210</f>
        <v>667391</v>
      </c>
      <c r="C1340" s="2" t="s">
        <v>573</v>
      </c>
      <c r="D1340" s="2" t="str">
        <f t="shared" si="19"/>
        <v>Error?</v>
      </c>
    </row>
    <row r="1341" spans="1:4" x14ac:dyDescent="0.2">
      <c r="A1341" s="5">
        <v>1280</v>
      </c>
      <c r="B1341" s="138">
        <f>'Expenditures 15-22'!D182</f>
        <v>32135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32135</v>
      </c>
      <c r="C1345" s="2" t="s">
        <v>573</v>
      </c>
      <c r="D1345" s="2" t="str">
        <f t="shared" si="20"/>
        <v>Error?</v>
      </c>
    </row>
    <row r="1346" spans="1:4" x14ac:dyDescent="0.2">
      <c r="A1346" s="5">
        <v>1285</v>
      </c>
      <c r="B1346" s="138">
        <f>'Expenditures 15-22'!D210</f>
        <v>32135</v>
      </c>
      <c r="C1346" s="2" t="s">
        <v>573</v>
      </c>
      <c r="D1346" s="2" t="str">
        <f t="shared" si="20"/>
        <v>Error?</v>
      </c>
    </row>
    <row r="1347" spans="1:4" x14ac:dyDescent="0.2">
      <c r="A1347" s="5">
        <v>1286</v>
      </c>
      <c r="B1347" s="138">
        <f>'Expenditures 15-22'!E182</f>
        <v>41455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41455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41455</v>
      </c>
      <c r="C1353" s="2" t="s">
        <v>573</v>
      </c>
      <c r="D1353" s="2" t="str">
        <f t="shared" si="20"/>
        <v>Error?</v>
      </c>
    </row>
    <row r="1354" spans="1:4" x14ac:dyDescent="0.2">
      <c r="A1354" s="5">
        <v>1293</v>
      </c>
      <c r="B1354" s="138">
        <f>'Expenditures 15-22'!F182</f>
        <v>201726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201726</v>
      </c>
      <c r="C1358" s="2" t="s">
        <v>573</v>
      </c>
      <c r="D1358" s="2" t="str">
        <f t="shared" si="20"/>
        <v>Error?</v>
      </c>
    </row>
    <row r="1359" spans="1:4" x14ac:dyDescent="0.2">
      <c r="A1359" s="5">
        <v>1298</v>
      </c>
      <c r="B1359" s="138">
        <f>'Expenditures 15-22'!F210</f>
        <v>201726</v>
      </c>
      <c r="C1359" s="2" t="s">
        <v>573</v>
      </c>
      <c r="D1359" s="2" t="str">
        <f t="shared" si="20"/>
        <v>Error?</v>
      </c>
    </row>
    <row r="1360" spans="1:4" x14ac:dyDescent="0.2">
      <c r="A1360" s="5">
        <v>1299</v>
      </c>
      <c r="B1360" s="138">
        <f>'Expenditures 15-22'!G182</f>
        <v>59174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59174</v>
      </c>
      <c r="C1364" s="2" t="s">
        <v>573</v>
      </c>
      <c r="D1364" s="2" t="str">
        <f t="shared" si="20"/>
        <v>Error?</v>
      </c>
    </row>
    <row r="1365" spans="1:4" x14ac:dyDescent="0.2">
      <c r="A1365" s="5">
        <v>1304</v>
      </c>
      <c r="B1365" s="138">
        <f>'Expenditures 15-22'!G210</f>
        <v>59174</v>
      </c>
      <c r="C1365" s="2" t="s">
        <v>573</v>
      </c>
      <c r="D1365" s="2" t="str">
        <f t="shared" si="20"/>
        <v>Error?</v>
      </c>
    </row>
    <row r="1366" spans="1:4" x14ac:dyDescent="0.2">
      <c r="A1366" s="5">
        <v>1305</v>
      </c>
      <c r="B1366" s="138">
        <f>'Expenditures 15-22'!H182</f>
        <v>413467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413467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413467</v>
      </c>
      <c r="C1376" s="2" t="s">
        <v>573</v>
      </c>
      <c r="D1376" s="2" t="str">
        <f t="shared" si="20"/>
        <v>Error?</v>
      </c>
    </row>
    <row r="1377" spans="1:4" x14ac:dyDescent="0.2">
      <c r="A1377" s="5">
        <v>1316</v>
      </c>
      <c r="B1377" s="138">
        <f>'Expenditures 15-22'!K182</f>
        <v>1415348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1415348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1415348</v>
      </c>
      <c r="C1388" s="2" t="s">
        <v>573</v>
      </c>
      <c r="D1388" s="2" t="str">
        <f t="shared" si="20"/>
        <v>Error?</v>
      </c>
    </row>
    <row r="1389" spans="1:4" x14ac:dyDescent="0.2">
      <c r="A1389" s="5">
        <v>1328</v>
      </c>
      <c r="B1389" s="138">
        <f>'Expenditures 15-22'!K211</f>
        <v>-24791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720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1729</v>
      </c>
      <c r="D1408" s="2" t="str">
        <f t="shared" si="21"/>
        <v>Error?</v>
      </c>
    </row>
    <row r="1409" spans="1:4" x14ac:dyDescent="0.2">
      <c r="A1409" s="5">
        <v>1348</v>
      </c>
      <c r="B1409" s="138">
        <f>'Expenditures 15-22'!D224</f>
        <v>3391</v>
      </c>
      <c r="D1409" s="2" t="str">
        <f t="shared" si="21"/>
        <v>Error?</v>
      </c>
    </row>
    <row r="1410" spans="1:4" x14ac:dyDescent="0.2">
      <c r="A1410" s="5">
        <v>1349</v>
      </c>
      <c r="B1410" s="138">
        <f>'Expenditures 15-22'!D229</f>
        <v>271201</v>
      </c>
      <c r="C1410" s="2" t="s">
        <v>573</v>
      </c>
      <c r="D1410" s="2" t="str">
        <f t="shared" si="21"/>
        <v>Error?</v>
      </c>
    </row>
    <row r="1411" spans="1:4" x14ac:dyDescent="0.2">
      <c r="A1411" s="5">
        <v>1350</v>
      </c>
      <c r="B1411" s="138">
        <f>'Expenditures 15-22'!D232</f>
        <v>3233</v>
      </c>
      <c r="D1411" s="2" t="str">
        <f t="shared" si="21"/>
        <v>Error?</v>
      </c>
    </row>
    <row r="1412" spans="1:4" x14ac:dyDescent="0.2">
      <c r="A1412" s="5">
        <v>1351</v>
      </c>
      <c r="B1412" s="138">
        <f>'Expenditures 15-22'!D233</f>
        <v>11366</v>
      </c>
      <c r="D1412" s="2" t="str">
        <f t="shared" si="21"/>
        <v>Error?</v>
      </c>
    </row>
    <row r="1413" spans="1:4" x14ac:dyDescent="0.2">
      <c r="A1413" s="5">
        <v>1352</v>
      </c>
      <c r="B1413" s="138">
        <f>'Expenditures 15-22'!D234</f>
        <v>61566</v>
      </c>
      <c r="D1413" s="2" t="str">
        <f t="shared" si="21"/>
        <v>Error?</v>
      </c>
    </row>
    <row r="1414" spans="1:4" x14ac:dyDescent="0.2">
      <c r="A1414" s="5">
        <v>1353</v>
      </c>
      <c r="B1414" s="138">
        <f>'Expenditures 15-22'!D235</f>
        <v>1900</v>
      </c>
      <c r="D1414" s="2" t="str">
        <f t="shared" si="21"/>
        <v>Error?</v>
      </c>
    </row>
    <row r="1415" spans="1:4" x14ac:dyDescent="0.2">
      <c r="A1415" s="5">
        <v>1354</v>
      </c>
      <c r="B1415" s="138">
        <f>'Expenditures 15-22'!D236</f>
        <v>4606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82671</v>
      </c>
      <c r="C1417" s="2" t="s">
        <v>573</v>
      </c>
      <c r="D1417" s="2" t="str">
        <f t="shared" si="21"/>
        <v>Error?</v>
      </c>
    </row>
    <row r="1418" spans="1:4" x14ac:dyDescent="0.2">
      <c r="A1418" s="5">
        <v>1357</v>
      </c>
      <c r="B1418" s="138">
        <f>'Expenditures 15-22'!D240</f>
        <v>644</v>
      </c>
      <c r="D1418" s="2" t="str">
        <f t="shared" si="21"/>
        <v>Error?</v>
      </c>
    </row>
    <row r="1419" spans="1:4" x14ac:dyDescent="0.2">
      <c r="A1419" s="5">
        <v>1358</v>
      </c>
      <c r="B1419" s="138">
        <f>'Expenditures 15-22'!D241</f>
        <v>10907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11551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12300</v>
      </c>
      <c r="D1423" s="2" t="str">
        <f t="shared" si="21"/>
        <v>Error?</v>
      </c>
    </row>
    <row r="1424" spans="1:4" x14ac:dyDescent="0.2">
      <c r="A1424" s="5">
        <v>1363</v>
      </c>
      <c r="B1424" s="138">
        <f>'Expenditures 15-22'!D257</f>
        <v>19256</v>
      </c>
      <c r="C1424" s="2" t="s">
        <v>573</v>
      </c>
      <c r="D1424" s="2" t="str">
        <f t="shared" si="21"/>
        <v>Error?</v>
      </c>
    </row>
    <row r="1425" spans="1:4" x14ac:dyDescent="0.2">
      <c r="A1425" s="5">
        <v>1364</v>
      </c>
      <c r="B1425" s="138">
        <f>'Expenditures 15-22'!D259</f>
        <v>57492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57492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13277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107326</v>
      </c>
      <c r="D1431" s="2" t="str">
        <f t="shared" si="21"/>
        <v>Error?</v>
      </c>
    </row>
    <row r="1432" spans="1:4" x14ac:dyDescent="0.2">
      <c r="A1432" s="5">
        <v>1371</v>
      </c>
      <c r="B1432" s="138">
        <f>'Expenditures 15-22'!D267</f>
        <v>104358</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224961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33233</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33233</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429164</v>
      </c>
      <c r="C1446" s="2" t="s">
        <v>573</v>
      </c>
      <c r="D1446" s="2" t="str">
        <f t="shared" si="21"/>
        <v>Error?</v>
      </c>
    </row>
    <row r="1447" spans="1:4" x14ac:dyDescent="0.2">
      <c r="A1447" s="5">
        <v>1386</v>
      </c>
      <c r="B1447" s="138">
        <f>'Expenditures 15-22'!D280</f>
        <v>1040</v>
      </c>
      <c r="D1447" s="2" t="str">
        <f t="shared" si="21"/>
        <v>Error?</v>
      </c>
    </row>
    <row r="1448" spans="1:4" x14ac:dyDescent="0.2">
      <c r="A1448" s="5">
        <v>1387</v>
      </c>
      <c r="B1448" s="138">
        <f>'Expenditures 15-22'!D295</f>
        <v>701405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720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1729</v>
      </c>
      <c r="C1472" s="2" t="s">
        <v>573</v>
      </c>
      <c r="D1472" s="2" t="str">
        <f t="shared" si="22"/>
        <v>Error?</v>
      </c>
    </row>
    <row r="1473" spans="1:4" x14ac:dyDescent="0.2">
      <c r="A1473" s="5">
        <v>1412</v>
      </c>
      <c r="B1473" s="138">
        <f>'Expenditures 15-22'!K224</f>
        <v>3391</v>
      </c>
      <c r="C1473" s="2" t="s">
        <v>573</v>
      </c>
      <c r="D1473" s="2" t="str">
        <f t="shared" si="22"/>
        <v>Error?</v>
      </c>
    </row>
    <row r="1474" spans="1:4" x14ac:dyDescent="0.2">
      <c r="A1474" s="5">
        <v>1413</v>
      </c>
      <c r="B1474" s="138">
        <f>'Expenditures 15-22'!K229</f>
        <v>271201</v>
      </c>
      <c r="C1474" s="2" t="s">
        <v>573</v>
      </c>
      <c r="D1474" s="2" t="str">
        <f t="shared" si="22"/>
        <v>Error?</v>
      </c>
    </row>
    <row r="1475" spans="1:4" x14ac:dyDescent="0.2">
      <c r="A1475" s="5">
        <v>1414</v>
      </c>
      <c r="B1475" s="138">
        <f>'Expenditures 15-22'!K232</f>
        <v>3233</v>
      </c>
      <c r="C1475" s="2" t="s">
        <v>573</v>
      </c>
      <c r="D1475" s="2" t="str">
        <f t="shared" si="22"/>
        <v>Error?</v>
      </c>
    </row>
    <row r="1476" spans="1:4" x14ac:dyDescent="0.2">
      <c r="A1476" s="5">
        <v>1415</v>
      </c>
      <c r="B1476" s="138">
        <f>'Expenditures 15-22'!K233</f>
        <v>11366</v>
      </c>
      <c r="C1476" s="2" t="s">
        <v>573</v>
      </c>
      <c r="D1476" s="2" t="str">
        <f t="shared" si="22"/>
        <v>Error?</v>
      </c>
    </row>
    <row r="1477" spans="1:4" x14ac:dyDescent="0.2">
      <c r="A1477" s="5">
        <v>1416</v>
      </c>
      <c r="B1477" s="138">
        <f>'Expenditures 15-22'!K234</f>
        <v>61566</v>
      </c>
      <c r="C1477" s="2" t="s">
        <v>573</v>
      </c>
      <c r="D1477" s="2" t="str">
        <f t="shared" si="22"/>
        <v>Error?</v>
      </c>
    </row>
    <row r="1478" spans="1:4" x14ac:dyDescent="0.2">
      <c r="A1478" s="5">
        <v>1417</v>
      </c>
      <c r="B1478" s="138">
        <f>'Expenditures 15-22'!K235</f>
        <v>1900</v>
      </c>
      <c r="C1478" s="2" t="s">
        <v>573</v>
      </c>
      <c r="D1478" s="2" t="str">
        <f t="shared" si="22"/>
        <v>Error?</v>
      </c>
    </row>
    <row r="1479" spans="1:4" x14ac:dyDescent="0.2">
      <c r="A1479" s="5">
        <v>1418</v>
      </c>
      <c r="B1479" s="138">
        <f>'Expenditures 15-22'!K236</f>
        <v>4606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82671</v>
      </c>
      <c r="C1481" s="2" t="s">
        <v>573</v>
      </c>
      <c r="D1481" s="2" t="str">
        <f t="shared" si="22"/>
        <v>Error?</v>
      </c>
    </row>
    <row r="1482" spans="1:4" x14ac:dyDescent="0.2">
      <c r="A1482" s="5">
        <v>1421</v>
      </c>
      <c r="B1482" s="138">
        <f>'Expenditures 15-22'!K240</f>
        <v>644</v>
      </c>
      <c r="C1482" s="2" t="s">
        <v>573</v>
      </c>
      <c r="D1482" s="2" t="str">
        <f t="shared" si="22"/>
        <v>Error?</v>
      </c>
    </row>
    <row r="1483" spans="1:4" x14ac:dyDescent="0.2">
      <c r="A1483" s="5">
        <v>1422</v>
      </c>
      <c r="B1483" s="138">
        <f>'Expenditures 15-22'!K241</f>
        <v>10907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11551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12300</v>
      </c>
      <c r="C1487" s="2" t="s">
        <v>573</v>
      </c>
      <c r="D1487" s="2" t="str">
        <f t="shared" si="22"/>
        <v>Error?</v>
      </c>
    </row>
    <row r="1488" spans="1:4" x14ac:dyDescent="0.2">
      <c r="A1488" s="5">
        <v>1427</v>
      </c>
      <c r="B1488" s="138">
        <f>'Expenditures 15-22'!K257</f>
        <v>19256</v>
      </c>
      <c r="C1488" s="2" t="s">
        <v>573</v>
      </c>
      <c r="D1488" s="2" t="str">
        <f t="shared" si="22"/>
        <v>Error?</v>
      </c>
    </row>
    <row r="1489" spans="1:4" x14ac:dyDescent="0.2">
      <c r="A1489" s="5">
        <v>1428</v>
      </c>
      <c r="B1489" s="138">
        <f>'Expenditures 15-22'!K259</f>
        <v>57492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57492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13277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107326</v>
      </c>
      <c r="C1495" s="2" t="s">
        <v>573</v>
      </c>
      <c r="D1495" s="2" t="str">
        <f t="shared" si="22"/>
        <v>Error?</v>
      </c>
    </row>
    <row r="1496" spans="1:4" x14ac:dyDescent="0.2">
      <c r="A1496" s="5">
        <v>1435</v>
      </c>
      <c r="B1496" s="138">
        <f>'Expenditures 15-22'!K267</f>
        <v>104358</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224961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33233</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33233</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429164</v>
      </c>
      <c r="C1510" s="2" t="s">
        <v>573</v>
      </c>
      <c r="D1510" s="2" t="str">
        <f t="shared" si="22"/>
        <v>Error?</v>
      </c>
    </row>
    <row r="1511" spans="1:4" x14ac:dyDescent="0.2">
      <c r="A1511" s="5">
        <v>1450</v>
      </c>
      <c r="B1511" s="138">
        <f>'Expenditures 15-22'!K280</f>
        <v>1040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701405</v>
      </c>
      <c r="C1517" s="2" t="s">
        <v>573</v>
      </c>
      <c r="D1517" s="2" t="str">
        <f t="shared" si="22"/>
        <v>Error?</v>
      </c>
    </row>
    <row r="1518" spans="1:4" x14ac:dyDescent="0.2">
      <c r="A1518" s="5">
        <v>1457</v>
      </c>
      <c r="B1518" s="138">
        <f>'Expenditures 15-22'!K296</f>
        <v>66015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390092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390092</v>
      </c>
      <c r="C1547" s="2" t="s">
        <v>573</v>
      </c>
      <c r="D1547" s="2" t="str">
        <f t="shared" si="23"/>
        <v>Error?</v>
      </c>
    </row>
    <row r="1548" spans="1:4" x14ac:dyDescent="0.2">
      <c r="A1548" s="5">
        <v>1487</v>
      </c>
      <c r="B1548" s="138">
        <f>'Expenditures 15-22'!G312</f>
        <v>390092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390092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390092</v>
      </c>
      <c r="C1559" s="2" t="s">
        <v>573</v>
      </c>
      <c r="D1559" s="2" t="str">
        <f t="shared" si="23"/>
        <v>Error?</v>
      </c>
    </row>
    <row r="1560" spans="1:4" x14ac:dyDescent="0.2">
      <c r="A1560" s="5">
        <v>1499</v>
      </c>
      <c r="B1560" s="138">
        <f>'Expenditures 15-22'!K312</f>
        <v>390092</v>
      </c>
      <c r="C1560" s="2" t="s">
        <v>573</v>
      </c>
      <c r="D1560" s="2" t="str">
        <f t="shared" si="23"/>
        <v>Error?</v>
      </c>
    </row>
    <row r="1561" spans="1:4" x14ac:dyDescent="0.2">
      <c r="A1561" s="5">
        <v>1500</v>
      </c>
      <c r="B1561" s="138">
        <f>'Expenditures 15-22'!K313</f>
        <v>-390092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10941146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11080304</v>
      </c>
      <c r="C1630" s="2" t="s">
        <v>573</v>
      </c>
      <c r="D1630" s="2" t="str">
        <f t="shared" si="24"/>
        <v>Error?</v>
      </c>
    </row>
    <row r="1631" spans="1:4" x14ac:dyDescent="0.2">
      <c r="A1631" s="5">
        <v>1570</v>
      </c>
      <c r="B1631" s="138">
        <f>'Acct Summary 7-8'!D79</f>
        <v>911469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367118</v>
      </c>
      <c r="C1644" s="2" t="s">
        <v>573</v>
      </c>
      <c r="D1644" s="2" t="str">
        <f t="shared" si="24"/>
        <v>Error?</v>
      </c>
    </row>
    <row r="1645" spans="1:4" x14ac:dyDescent="0.2">
      <c r="A1645" s="5">
        <v>1584</v>
      </c>
      <c r="B1645" s="138">
        <f>'Acct Summary 7-8'!E79</f>
        <v>590129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864061</v>
      </c>
      <c r="C1658" s="2" t="s">
        <v>573</v>
      </c>
      <c r="D1658" s="2" t="str">
        <f t="shared" si="24"/>
        <v>Error?</v>
      </c>
    </row>
    <row r="1659" spans="1:4" x14ac:dyDescent="0.2">
      <c r="A1659" s="5">
        <v>1598</v>
      </c>
      <c r="B1659" s="138">
        <f>'Acct Summary 7-8'!F79</f>
        <v>1734376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1709585</v>
      </c>
      <c r="C1672" s="2" t="s">
        <v>573</v>
      </c>
      <c r="D1672" s="2" t="str">
        <f t="shared" si="25"/>
        <v>Error?</v>
      </c>
    </row>
    <row r="1673" spans="1:4" x14ac:dyDescent="0.2">
      <c r="A1673" s="5">
        <v>1612</v>
      </c>
      <c r="B1673" s="138">
        <f>'Acct Summary 7-8'!G79</f>
        <v>653472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719487</v>
      </c>
      <c r="C1686" s="2" t="s">
        <v>573</v>
      </c>
      <c r="D1686" s="2" t="str">
        <f t="shared" si="25"/>
        <v>Error?</v>
      </c>
    </row>
    <row r="1687" spans="1:4" x14ac:dyDescent="0.2">
      <c r="A1687" s="5">
        <v>1626</v>
      </c>
      <c r="B1687" s="138">
        <f>'Acct Summary 7-8'!H79</f>
        <v>1426157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5540463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10014321</v>
      </c>
      <c r="C1744" s="2" t="s">
        <v>573</v>
      </c>
      <c r="D1744" s="2" t="str">
        <f t="shared" si="26"/>
        <v>Error?</v>
      </c>
    </row>
    <row r="1745" spans="1:5" x14ac:dyDescent="0.2">
      <c r="A1745" s="5">
        <v>1684</v>
      </c>
      <c r="B1745" s="138">
        <f>'Tax Sched 23'!B5</f>
        <v>2095972</v>
      </c>
      <c r="C1745" s="2" t="s">
        <v>573</v>
      </c>
      <c r="D1745" s="2" t="str">
        <f t="shared" si="26"/>
        <v>Error?</v>
      </c>
    </row>
    <row r="1746" spans="1:5" x14ac:dyDescent="0.2">
      <c r="A1746" s="5">
        <v>1685</v>
      </c>
      <c r="B1746" s="138">
        <f>'Tax Sched 23'!B6</f>
        <v>1277386</v>
      </c>
      <c r="C1746" s="2" t="s">
        <v>573</v>
      </c>
      <c r="D1746" s="2" t="str">
        <f t="shared" si="26"/>
        <v>Error?</v>
      </c>
    </row>
    <row r="1747" spans="1:5" x14ac:dyDescent="0.2">
      <c r="A1747" s="5">
        <v>1686</v>
      </c>
      <c r="B1747" s="138">
        <f>'Tax Sched 23'!B7</f>
        <v>593087</v>
      </c>
      <c r="C1747" s="2" t="s">
        <v>573</v>
      </c>
      <c r="D1747" s="2" t="str">
        <f t="shared" si="26"/>
        <v>Error?</v>
      </c>
    </row>
    <row r="1748" spans="1:5" x14ac:dyDescent="0.2">
      <c r="A1748" s="5">
        <v>1687</v>
      </c>
      <c r="B1748" s="138">
        <f>'Tax Sched 23'!B8</f>
        <v>426483</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103691</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14850864</v>
      </c>
      <c r="C1759" s="2" t="s">
        <v>573</v>
      </c>
      <c r="D1759" s="2" t="str">
        <f t="shared" si="26"/>
        <v>Error?</v>
      </c>
    </row>
    <row r="1760" spans="1:5" x14ac:dyDescent="0.2">
      <c r="A1760" s="5">
        <v>1699</v>
      </c>
      <c r="B1760" s="138">
        <f>'Tax Sched 23'!D4</f>
        <v>10014321</v>
      </c>
      <c r="C1760" s="2" t="s">
        <v>573</v>
      </c>
      <c r="D1760" s="2" t="str">
        <f t="shared" si="26"/>
        <v>Error?</v>
      </c>
    </row>
    <row r="1761" spans="1:5" x14ac:dyDescent="0.2">
      <c r="A1761" s="5">
        <v>1700</v>
      </c>
      <c r="B1761" s="138">
        <f>'Tax Sched 23'!D5</f>
        <v>2095972</v>
      </c>
      <c r="C1761" s="2" t="s">
        <v>573</v>
      </c>
      <c r="D1761" s="2" t="str">
        <f t="shared" si="26"/>
        <v>Error?</v>
      </c>
    </row>
    <row r="1762" spans="1:5" s="8" customFormat="1" x14ac:dyDescent="0.2">
      <c r="A1762" s="5">
        <v>1701</v>
      </c>
      <c r="B1762" s="138">
        <f>'Tax Sched 23'!D6</f>
        <v>1277386</v>
      </c>
      <c r="C1762" s="2" t="s">
        <v>573</v>
      </c>
      <c r="D1762" s="2" t="str">
        <f t="shared" si="26"/>
        <v>Error?</v>
      </c>
      <c r="E1762" s="9"/>
    </row>
    <row r="1763" spans="1:5" x14ac:dyDescent="0.2">
      <c r="A1763" s="5">
        <v>1702</v>
      </c>
      <c r="B1763" s="138">
        <f>'Tax Sched 23'!D7</f>
        <v>593087</v>
      </c>
      <c r="C1763" s="2" t="s">
        <v>573</v>
      </c>
      <c r="D1763" s="2" t="str">
        <f t="shared" si="26"/>
        <v>Error?</v>
      </c>
    </row>
    <row r="1764" spans="1:5" x14ac:dyDescent="0.2">
      <c r="A1764" s="5">
        <v>1703</v>
      </c>
      <c r="B1764" s="138">
        <f>'Tax Sched 23'!D8</f>
        <v>426483</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103691</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14850864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10056868</v>
      </c>
      <c r="C1792" s="2" t="s">
        <v>573</v>
      </c>
      <c r="D1792" s="2" t="str">
        <f t="shared" si="27"/>
        <v>Error?</v>
      </c>
    </row>
    <row r="1793" spans="1:4" x14ac:dyDescent="0.2">
      <c r="A1793" s="5">
        <v>1732</v>
      </c>
      <c r="B1793" s="138">
        <f>'Tax Sched 23'!F5</f>
        <v>2105190</v>
      </c>
      <c r="C1793" s="2" t="s">
        <v>573</v>
      </c>
      <c r="D1793" s="2" t="str">
        <f t="shared" si="27"/>
        <v>Error?</v>
      </c>
    </row>
    <row r="1794" spans="1:4" x14ac:dyDescent="0.2">
      <c r="A1794" s="5">
        <v>1733</v>
      </c>
      <c r="B1794" s="138">
        <f>'Tax Sched 23'!F6</f>
        <v>1266608</v>
      </c>
      <c r="C1794" s="2" t="s">
        <v>573</v>
      </c>
      <c r="D1794" s="2" t="str">
        <f t="shared" si="27"/>
        <v>Error?</v>
      </c>
    </row>
    <row r="1795" spans="1:4" x14ac:dyDescent="0.2">
      <c r="A1795" s="5">
        <v>1734</v>
      </c>
      <c r="B1795" s="138">
        <f>'Tax Sched 23'!F7</f>
        <v>595743</v>
      </c>
      <c r="C1795" s="2" t="s">
        <v>573</v>
      </c>
      <c r="D1795" s="2" t="str">
        <f t="shared" si="27"/>
        <v>Error?</v>
      </c>
    </row>
    <row r="1796" spans="1:4" x14ac:dyDescent="0.2">
      <c r="A1796" s="5">
        <v>1735</v>
      </c>
      <c r="B1796" s="138">
        <f>'Tax Sched 23'!F8</f>
        <v>428463</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104386</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14898805</v>
      </c>
      <c r="C1807" s="2" t="s">
        <v>573</v>
      </c>
      <c r="D1807" s="2" t="str">
        <f t="shared" si="27"/>
        <v>Error?</v>
      </c>
    </row>
    <row r="1808" spans="1:4" x14ac:dyDescent="0.2">
      <c r="A1808" s="5">
        <v>1747</v>
      </c>
      <c r="B1808" s="138">
        <f>'Tax Sched 23'!E4</f>
        <v>10056868</v>
      </c>
      <c r="D1808" s="2" t="str">
        <f t="shared" si="27"/>
        <v>Error?</v>
      </c>
    </row>
    <row r="1809" spans="1:4" x14ac:dyDescent="0.2">
      <c r="A1809" s="5">
        <v>1748</v>
      </c>
      <c r="B1809" s="138">
        <f>'Tax Sched 23'!E5</f>
        <v>2105190</v>
      </c>
      <c r="D1809" s="2" t="str">
        <f t="shared" si="27"/>
        <v>Error?</v>
      </c>
    </row>
    <row r="1810" spans="1:4" x14ac:dyDescent="0.2">
      <c r="A1810" s="5">
        <v>1749</v>
      </c>
      <c r="B1810" s="138">
        <f>'Tax Sched 23'!E6</f>
        <v>1266608</v>
      </c>
      <c r="D1810" s="2" t="str">
        <f t="shared" si="27"/>
        <v>Error?</v>
      </c>
    </row>
    <row r="1811" spans="1:4" x14ac:dyDescent="0.2">
      <c r="A1811" s="5">
        <v>1750</v>
      </c>
      <c r="B1811" s="138">
        <f>'Tax Sched 23'!E7</f>
        <v>595743</v>
      </c>
      <c r="D1811" s="2" t="str">
        <f t="shared" si="27"/>
        <v>Error?</v>
      </c>
    </row>
    <row r="1812" spans="1:4" x14ac:dyDescent="0.2">
      <c r="A1812" s="5">
        <v>1751</v>
      </c>
      <c r="B1812" s="138">
        <f>'Tax Sched 23'!E8</f>
        <v>428463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104386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14898805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7395000</v>
      </c>
      <c r="C1939" s="2" t="s">
        <v>573</v>
      </c>
      <c r="D1939" s="2" t="str">
        <f t="shared" si="29"/>
        <v>Error?</v>
      </c>
    </row>
    <row r="1940" spans="1:5" x14ac:dyDescent="0.2">
      <c r="A1940" s="5">
        <v>1879</v>
      </c>
      <c r="B1940" s="138">
        <f>'Short-Term Long-Term Debt 24'!F49</f>
        <v>4565000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1136737</v>
      </c>
      <c r="D2008" s="2" t="str">
        <f t="shared" si="30"/>
        <v>Error?</v>
      </c>
    </row>
    <row r="2009" spans="1:4" x14ac:dyDescent="0.2">
      <c r="A2009" s="5">
        <v>1948</v>
      </c>
      <c r="B2009" s="138">
        <f>'Cap Outlay Deprec 26'!C8</f>
        <v>39510953</v>
      </c>
      <c r="D2009" s="2" t="str">
        <f t="shared" si="30"/>
        <v>Error?</v>
      </c>
    </row>
    <row r="2010" spans="1:4" x14ac:dyDescent="0.2">
      <c r="A2010" s="5">
        <v>1949</v>
      </c>
      <c r="B2010" s="138">
        <f>'Cap Outlay Deprec 26'!C10</f>
        <v>2186399</v>
      </c>
      <c r="D2010" s="2" t="str">
        <f t="shared" si="30"/>
        <v>Error?</v>
      </c>
    </row>
    <row r="2011" spans="1:4" x14ac:dyDescent="0.2">
      <c r="A2011" s="5">
        <v>1950</v>
      </c>
      <c r="B2011" s="138">
        <f>'Cap Outlay Deprec 26'!C12</f>
        <v>7937206</v>
      </c>
      <c r="D2011" s="2" t="str">
        <f t="shared" si="30"/>
        <v>Error?</v>
      </c>
    </row>
    <row r="2012" spans="1:4" x14ac:dyDescent="0.2">
      <c r="A2012" s="5">
        <v>1951</v>
      </c>
      <c r="B2012" s="138">
        <f>'Cap Outlay Deprec 26'!C13</f>
        <v>3058483</v>
      </c>
      <c r="D2012" s="2" t="str">
        <f t="shared" si="30"/>
        <v>Error?</v>
      </c>
    </row>
    <row r="2013" spans="1:4" x14ac:dyDescent="0.2">
      <c r="A2013" s="5">
        <v>1952</v>
      </c>
      <c r="B2013" s="138">
        <f>'Cap Outlay Deprec 26'!C16</f>
        <v>53829778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1136737</v>
      </c>
      <c r="C2026" s="2" t="s">
        <v>573</v>
      </c>
      <c r="D2026" s="2" t="str">
        <f t="shared" si="30"/>
        <v>Error?</v>
      </c>
    </row>
    <row r="2027" spans="1:4" x14ac:dyDescent="0.2">
      <c r="A2027" s="5">
        <v>1966</v>
      </c>
      <c r="B2027" s="138">
        <f>'Cap Outlay Deprec 26'!F8</f>
        <v>39510953</v>
      </c>
      <c r="C2027" s="2" t="s">
        <v>573</v>
      </c>
      <c r="D2027" s="2" t="str">
        <f t="shared" si="30"/>
        <v>Error?</v>
      </c>
    </row>
    <row r="2028" spans="1:4" x14ac:dyDescent="0.2">
      <c r="A2028" s="5">
        <v>1967</v>
      </c>
      <c r="B2028" s="138">
        <f>'Cap Outlay Deprec 26'!F10</f>
        <v>2186399</v>
      </c>
      <c r="C2028" s="2" t="s">
        <v>573</v>
      </c>
      <c r="D2028" s="2" t="str">
        <f t="shared" si="30"/>
        <v>Error?</v>
      </c>
    </row>
    <row r="2029" spans="1:4" x14ac:dyDescent="0.2">
      <c r="A2029" s="5">
        <v>1968</v>
      </c>
      <c r="B2029" s="138">
        <f>'Cap Outlay Deprec 26'!F12</f>
        <v>7937206</v>
      </c>
      <c r="C2029" s="2" t="s">
        <v>573</v>
      </c>
      <c r="D2029" s="2" t="str">
        <f t="shared" si="30"/>
        <v>Error?</v>
      </c>
    </row>
    <row r="2030" spans="1:4" x14ac:dyDescent="0.2">
      <c r="A2030" s="5">
        <v>1969</v>
      </c>
      <c r="B2030" s="138">
        <f>'Cap Outlay Deprec 26'!F13</f>
        <v>3058483</v>
      </c>
      <c r="C2030" s="2" t="s">
        <v>573</v>
      </c>
      <c r="D2030" s="2" t="str">
        <f t="shared" si="30"/>
        <v>Error?</v>
      </c>
    </row>
    <row r="2031" spans="1:4" x14ac:dyDescent="0.2">
      <c r="A2031" s="5">
        <v>1970</v>
      </c>
      <c r="B2031" s="138">
        <f>'Cap Outlay Deprec 26'!F16</f>
        <v>53829778</v>
      </c>
      <c r="C2031" s="2" t="s">
        <v>573</v>
      </c>
      <c r="D2031" s="2" t="str">
        <f t="shared" si="30"/>
        <v>Error?</v>
      </c>
    </row>
    <row r="2032" spans="1:4" x14ac:dyDescent="0.2">
      <c r="A2032" s="10">
        <v>1971</v>
      </c>
      <c r="D2032" s="2" t="str">
        <f t="shared" si="30"/>
        <v>OK</v>
      </c>
    </row>
    <row r="2033" spans="1:4" x14ac:dyDescent="0.2">
      <c r="A2033" s="5">
        <v>1972</v>
      </c>
      <c r="B2033" s="138">
        <f>'Cap Outlay Deprec 26'!H8</f>
        <v>17807090</v>
      </c>
      <c r="D2033" s="2" t="str">
        <f t="shared" si="30"/>
        <v>Error?</v>
      </c>
    </row>
    <row r="2034" spans="1:4" x14ac:dyDescent="0.2">
      <c r="A2034" s="5">
        <v>1973</v>
      </c>
      <c r="B2034" s="138">
        <f>'Cap Outlay Deprec 26'!H10</f>
        <v>211374</v>
      </c>
      <c r="D2034" s="2" t="str">
        <f t="shared" si="30"/>
        <v>Error?</v>
      </c>
    </row>
    <row r="2035" spans="1:4" x14ac:dyDescent="0.2">
      <c r="A2035" s="5">
        <v>1974</v>
      </c>
      <c r="B2035" s="138">
        <f>'Cap Outlay Deprec 26'!H12</f>
        <v>6865816</v>
      </c>
      <c r="D2035" s="2" t="str">
        <f t="shared" si="30"/>
        <v>Error?</v>
      </c>
    </row>
    <row r="2036" spans="1:4" x14ac:dyDescent="0.2">
      <c r="A2036" s="5">
        <v>1975</v>
      </c>
      <c r="B2036" s="138">
        <f>'Cap Outlay Deprec 26'!H13</f>
        <v>2599558</v>
      </c>
      <c r="D2036" s="2" t="str">
        <f t="shared" si="30"/>
        <v>Error?</v>
      </c>
    </row>
    <row r="2037" spans="1:4" x14ac:dyDescent="0.2">
      <c r="A2037" s="5">
        <v>1976</v>
      </c>
      <c r="B2037" s="138">
        <f>'Cap Outlay Deprec 26'!H16</f>
        <v>27483838</v>
      </c>
      <c r="C2037" s="2" t="s">
        <v>573</v>
      </c>
      <c r="D2037" s="2" t="str">
        <f t="shared" si="30"/>
        <v>Error?</v>
      </c>
    </row>
    <row r="2038" spans="1:4" x14ac:dyDescent="0.2">
      <c r="A2038" s="10">
        <v>1977</v>
      </c>
      <c r="D2038" s="2" t="str">
        <f t="shared" si="30"/>
        <v>OK</v>
      </c>
    </row>
    <row r="2039" spans="1:4" x14ac:dyDescent="0.2">
      <c r="A2039" s="5">
        <v>1978</v>
      </c>
      <c r="B2039" s="138">
        <f>'Cap Outlay Deprec 26'!I8</f>
        <v>988555</v>
      </c>
      <c r="D2039" s="2" t="str">
        <f t="shared" si="30"/>
        <v>Error?</v>
      </c>
    </row>
    <row r="2040" spans="1:4" x14ac:dyDescent="0.2">
      <c r="A2040" s="5">
        <v>1979</v>
      </c>
      <c r="B2040" s="138">
        <f>'Cap Outlay Deprec 26'!I10</f>
        <v>108986</v>
      </c>
      <c r="D2040" s="2" t="str">
        <f t="shared" si="30"/>
        <v>Error?</v>
      </c>
    </row>
    <row r="2041" spans="1:4" x14ac:dyDescent="0.2">
      <c r="A2041" s="5">
        <v>1980</v>
      </c>
      <c r="B2041" s="138">
        <f>'Cap Outlay Deprec 26'!I12</f>
        <v>290535</v>
      </c>
      <c r="D2041" s="2" t="str">
        <f t="shared" si="30"/>
        <v>Error?</v>
      </c>
    </row>
    <row r="2042" spans="1:4" x14ac:dyDescent="0.2">
      <c r="A2042" s="5">
        <v>1981</v>
      </c>
      <c r="B2042" s="138">
        <f>'Cap Outlay Deprec 26'!I13</f>
        <v>422730</v>
      </c>
      <c r="D2042" s="2" t="str">
        <f t="shared" si="30"/>
        <v>Error?</v>
      </c>
    </row>
    <row r="2043" spans="1:4" x14ac:dyDescent="0.2">
      <c r="A2043" s="5">
        <v>1982</v>
      </c>
      <c r="B2043" s="138">
        <f>'Cap Outlay Deprec 26'!I16</f>
        <v>1810806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18795645</v>
      </c>
      <c r="C2051" s="2" t="s">
        <v>573</v>
      </c>
      <c r="D2051" s="2" t="str">
        <f t="shared" si="31"/>
        <v>Error?</v>
      </c>
    </row>
    <row r="2052" spans="1:4" x14ac:dyDescent="0.2">
      <c r="A2052" s="5">
        <v>1991</v>
      </c>
      <c r="B2052" s="138">
        <f>'Cap Outlay Deprec 26'!K10</f>
        <v>320360</v>
      </c>
      <c r="C2052" s="2" t="s">
        <v>573</v>
      </c>
      <c r="D2052" s="2" t="str">
        <f t="shared" si="31"/>
        <v>Error?</v>
      </c>
    </row>
    <row r="2053" spans="1:4" x14ac:dyDescent="0.2">
      <c r="A2053" s="5">
        <v>1992</v>
      </c>
      <c r="B2053" s="138">
        <f>'Cap Outlay Deprec 26'!K12</f>
        <v>7156351</v>
      </c>
      <c r="C2053" s="2" t="s">
        <v>573</v>
      </c>
      <c r="D2053" s="2" t="str">
        <f t="shared" si="31"/>
        <v>Error?</v>
      </c>
    </row>
    <row r="2054" spans="1:4" x14ac:dyDescent="0.2">
      <c r="A2054" s="5">
        <v>1993</v>
      </c>
      <c r="B2054" s="138">
        <f>'Cap Outlay Deprec 26'!K13</f>
        <v>3022288</v>
      </c>
      <c r="C2054" s="2" t="s">
        <v>573</v>
      </c>
      <c r="D2054" s="2" t="str">
        <f t="shared" si="31"/>
        <v>Error?</v>
      </c>
    </row>
    <row r="2055" spans="1:4" x14ac:dyDescent="0.2">
      <c r="A2055" s="5">
        <v>1994</v>
      </c>
      <c r="B2055" s="138">
        <f>'Cap Outlay Deprec 26'!K16</f>
        <v>29294644</v>
      </c>
      <c r="C2055" s="2" t="s">
        <v>573</v>
      </c>
      <c r="D2055" s="2" t="str">
        <f t="shared" si="31"/>
        <v>Error?</v>
      </c>
    </row>
    <row r="2056" spans="1:4" x14ac:dyDescent="0.2">
      <c r="A2056" s="5">
        <v>1995</v>
      </c>
      <c r="B2056" s="138">
        <f>'Cap Outlay Deprec 26'!L5</f>
        <v>1136737</v>
      </c>
      <c r="C2056" s="2" t="s">
        <v>573</v>
      </c>
      <c r="D2056" s="2" t="str">
        <f t="shared" si="31"/>
        <v>Error?</v>
      </c>
    </row>
    <row r="2057" spans="1:4" x14ac:dyDescent="0.2">
      <c r="A2057" s="5">
        <v>1996</v>
      </c>
      <c r="B2057" s="138">
        <f>'Cap Outlay Deprec 26'!L8</f>
        <v>20715308</v>
      </c>
      <c r="C2057" s="2" t="s">
        <v>573</v>
      </c>
      <c r="D2057" s="2" t="str">
        <f t="shared" si="31"/>
        <v>Error?</v>
      </c>
    </row>
    <row r="2058" spans="1:4" x14ac:dyDescent="0.2">
      <c r="A2058" s="5">
        <v>1997</v>
      </c>
      <c r="B2058" s="138">
        <f>'Cap Outlay Deprec 26'!L10</f>
        <v>1866039</v>
      </c>
      <c r="C2058" s="2" t="s">
        <v>573</v>
      </c>
      <c r="D2058" s="2" t="str">
        <f t="shared" si="31"/>
        <v>Error?</v>
      </c>
    </row>
    <row r="2059" spans="1:4" x14ac:dyDescent="0.2">
      <c r="A2059" s="5">
        <v>1998</v>
      </c>
      <c r="B2059" s="138">
        <f>'Cap Outlay Deprec 26'!L12</f>
        <v>780855</v>
      </c>
      <c r="C2059" s="2" t="s">
        <v>573</v>
      </c>
      <c r="D2059" s="2" t="str">
        <f t="shared" si="31"/>
        <v>Error?</v>
      </c>
    </row>
    <row r="2060" spans="1:4" x14ac:dyDescent="0.2">
      <c r="A2060" s="5">
        <v>1999</v>
      </c>
      <c r="B2060" s="138">
        <f>'Cap Outlay Deprec 26'!L13</f>
        <v>36195</v>
      </c>
      <c r="C2060" s="2" t="s">
        <v>573</v>
      </c>
      <c r="D2060" s="2" t="str">
        <f t="shared" si="31"/>
        <v>Error?</v>
      </c>
    </row>
    <row r="2061" spans="1:4" x14ac:dyDescent="0.2">
      <c r="A2061" s="5">
        <v>2000</v>
      </c>
      <c r="B2061" s="138">
        <f>'Cap Outlay Deprec 26'!L16</f>
        <v>24535134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4504398</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123682</v>
      </c>
      <c r="D2435" s="2" t="str">
        <f t="shared" si="37"/>
        <v>Error?</v>
      </c>
    </row>
    <row r="2436" spans="1:4" x14ac:dyDescent="0.2">
      <c r="A2436" s="10">
        <v>2375</v>
      </c>
      <c r="D2436" s="2" t="str">
        <f t="shared" si="37"/>
        <v>OK</v>
      </c>
    </row>
    <row r="2437" spans="1:4" x14ac:dyDescent="0.2">
      <c r="A2437" s="5">
        <v>2376</v>
      </c>
      <c r="B2437" s="138">
        <f>'Assets-Liab 5-6'!D38</f>
        <v>39848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1709585</v>
      </c>
      <c r="D2475" s="2" t="str">
        <f t="shared" si="37"/>
        <v>Error?</v>
      </c>
    </row>
    <row r="2476" spans="1:4" x14ac:dyDescent="0.2">
      <c r="A2476" s="10">
        <v>2415</v>
      </c>
      <c r="D2476" s="2" t="str">
        <f t="shared" si="37"/>
        <v>OK</v>
      </c>
    </row>
    <row r="2477" spans="1:4" x14ac:dyDescent="0.2">
      <c r="A2477" s="5">
        <v>2416</v>
      </c>
      <c r="B2477" s="138">
        <f>'Assets-Liab 5-6'!G38</f>
        <v>719487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864061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5540463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10866500</v>
      </c>
      <c r="C2551" s="2" t="s">
        <v>573</v>
      </c>
      <c r="D2551" s="2" t="str">
        <f t="shared" si="38"/>
        <v>Error?</v>
      </c>
    </row>
    <row r="2552" spans="1:4" x14ac:dyDescent="0.2">
      <c r="A2552" s="10">
        <v>2491</v>
      </c>
      <c r="D2552" s="2" t="str">
        <f t="shared" si="38"/>
        <v>OK</v>
      </c>
    </row>
    <row r="2553" spans="1:4" x14ac:dyDescent="0.2">
      <c r="A2553" s="5">
        <v>2492</v>
      </c>
      <c r="B2553" s="138">
        <f>'Acct Summary 7-8'!C6</f>
        <v>6722217</v>
      </c>
      <c r="C2553" s="2" t="s">
        <v>573</v>
      </c>
      <c r="D2553" s="2" t="str">
        <f t="shared" si="38"/>
        <v>Error?</v>
      </c>
    </row>
    <row r="2554" spans="1:4" x14ac:dyDescent="0.2">
      <c r="A2554" s="5">
        <v>2493</v>
      </c>
      <c r="B2554" s="138">
        <f>'Acct Summary 7-8'!C7</f>
        <v>1840648</v>
      </c>
      <c r="C2554" s="2" t="s">
        <v>573</v>
      </c>
      <c r="D2554" s="2" t="str">
        <f t="shared" si="38"/>
        <v>Error?</v>
      </c>
    </row>
    <row r="2555" spans="1:4" x14ac:dyDescent="0.2">
      <c r="A2555" s="5">
        <v>2494</v>
      </c>
      <c r="B2555" s="138">
        <f>'Acct Summary 7-8'!C8</f>
        <v>19429365</v>
      </c>
      <c r="C2555" s="2" t="s">
        <v>573</v>
      </c>
      <c r="D2555" s="2" t="str">
        <f t="shared" si="38"/>
        <v>Error?</v>
      </c>
    </row>
    <row r="2556" spans="1:4" x14ac:dyDescent="0.2">
      <c r="A2556" s="5">
        <v>2495</v>
      </c>
      <c r="B2556" s="138">
        <f>'Acct Summary 7-8'!C12</f>
        <v>12567013</v>
      </c>
      <c r="C2556" s="2" t="s">
        <v>573</v>
      </c>
      <c r="D2556" s="2" t="str">
        <f t="shared" si="38"/>
        <v>Error?</v>
      </c>
    </row>
    <row r="2557" spans="1:4" x14ac:dyDescent="0.2">
      <c r="A2557" s="5">
        <v>2496</v>
      </c>
      <c r="B2557" s="138">
        <f>'Acct Summary 7-8'!C13</f>
        <v>6322799</v>
      </c>
      <c r="C2557" s="2" t="s">
        <v>573</v>
      </c>
      <c r="D2557" s="2" t="str">
        <f t="shared" si="38"/>
        <v>Error?</v>
      </c>
    </row>
    <row r="2558" spans="1:4" x14ac:dyDescent="0.2">
      <c r="A2558" s="5">
        <v>2497</v>
      </c>
      <c r="B2558" s="138">
        <f>'Acct Summary 7-8'!C14</f>
        <v>62830</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87565</v>
      </c>
      <c r="C2560" s="2" t="s">
        <v>573</v>
      </c>
      <c r="D2560" s="2" t="str">
        <f t="shared" si="39"/>
        <v>Error?</v>
      </c>
    </row>
    <row r="2561" spans="1:4" x14ac:dyDescent="0.2">
      <c r="A2561" s="5">
        <v>2500</v>
      </c>
      <c r="B2561" s="138">
        <f>'Acct Summary 7-8'!C17</f>
        <v>19040207</v>
      </c>
      <c r="C2561" s="2" t="s">
        <v>573</v>
      </c>
      <c r="D2561" s="2" t="str">
        <f t="shared" si="39"/>
        <v>Error?</v>
      </c>
    </row>
    <row r="2562" spans="1:4" x14ac:dyDescent="0.2">
      <c r="A2562" s="5">
        <v>2501</v>
      </c>
      <c r="B2562" s="138">
        <f>'Acct Summary 7-8'!C20</f>
        <v>389158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2442026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2442026</v>
      </c>
      <c r="C2568" s="2" t="s">
        <v>573</v>
      </c>
      <c r="D2568" s="2" t="str">
        <f t="shared" si="39"/>
        <v>Error?</v>
      </c>
    </row>
    <row r="2569" spans="1:4" x14ac:dyDescent="0.2">
      <c r="A2569" s="5">
        <v>2508</v>
      </c>
      <c r="B2569" s="138">
        <f>'Acct Summary 7-8'!D13</f>
        <v>3236377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3236377</v>
      </c>
      <c r="C2573" s="2" t="s">
        <v>573</v>
      </c>
      <c r="D2573" s="2" t="str">
        <f t="shared" si="39"/>
        <v>Error?</v>
      </c>
    </row>
    <row r="2574" spans="1:4" x14ac:dyDescent="0.2">
      <c r="A2574" s="5">
        <v>2513</v>
      </c>
      <c r="B2574" s="138">
        <f>'Acct Summary 7-8'!D20</f>
        <v>-794351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686464</v>
      </c>
      <c r="C2591" s="2" t="s">
        <v>573</v>
      </c>
      <c r="D2591" s="2" t="str">
        <f t="shared" si="39"/>
        <v>Error?</v>
      </c>
    </row>
    <row r="2592" spans="1:4" x14ac:dyDescent="0.2">
      <c r="A2592" s="10">
        <v>2531</v>
      </c>
      <c r="D2592" s="2" t="str">
        <f t="shared" si="39"/>
        <v>OK</v>
      </c>
    </row>
    <row r="2593" spans="1:4" x14ac:dyDescent="0.2">
      <c r="A2593" s="5">
        <v>2532</v>
      </c>
      <c r="B2593" s="138">
        <f>'Acct Summary 7-8'!F6</f>
        <v>704093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1390557</v>
      </c>
      <c r="C2595" s="2" t="s">
        <v>573</v>
      </c>
      <c r="D2595" s="2" t="str">
        <f t="shared" si="39"/>
        <v>Error?</v>
      </c>
    </row>
    <row r="2596" spans="1:4" x14ac:dyDescent="0.2">
      <c r="A2596" s="5">
        <v>2535</v>
      </c>
      <c r="B2596" s="138">
        <f>'Acct Summary 7-8'!F13</f>
        <v>1415348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1415348</v>
      </c>
      <c r="C2600" s="2" t="s">
        <v>573</v>
      </c>
      <c r="D2600" s="2" t="str">
        <f t="shared" si="39"/>
        <v>Error?</v>
      </c>
    </row>
    <row r="2601" spans="1:4" x14ac:dyDescent="0.2">
      <c r="A2601" s="5">
        <v>2540</v>
      </c>
      <c r="B2601" s="138">
        <f>'Acct Summary 7-8'!F20</f>
        <v>-24791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767420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767420</v>
      </c>
      <c r="C2606" s="2" t="s">
        <v>573</v>
      </c>
      <c r="D2606" s="2" t="str">
        <f t="shared" si="39"/>
        <v>Error?</v>
      </c>
    </row>
    <row r="2607" spans="1:4" x14ac:dyDescent="0.2">
      <c r="A2607" s="5">
        <v>2546</v>
      </c>
      <c r="B2607" s="138">
        <f>'Acct Summary 7-8'!G12</f>
        <v>271201</v>
      </c>
      <c r="C2607" s="2" t="s">
        <v>573</v>
      </c>
      <c r="D2607" s="2" t="str">
        <f t="shared" si="39"/>
        <v>Error?</v>
      </c>
    </row>
    <row r="2608" spans="1:4" x14ac:dyDescent="0.2">
      <c r="A2608" s="5">
        <v>2547</v>
      </c>
      <c r="B2608" s="138">
        <f>'Acct Summary 7-8'!G13</f>
        <v>429164</v>
      </c>
      <c r="C2608" s="2" t="s">
        <v>573</v>
      </c>
      <c r="D2608" s="2" t="str">
        <f t="shared" si="39"/>
        <v>Error?</v>
      </c>
    </row>
    <row r="2609" spans="1:4" x14ac:dyDescent="0.2">
      <c r="A2609" s="5">
        <v>2548</v>
      </c>
      <c r="B2609" s="138">
        <f>'Acct Summary 7-8'!G14</f>
        <v>1040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701405</v>
      </c>
      <c r="C2612" s="2" t="s">
        <v>573</v>
      </c>
      <c r="D2612" s="2" t="str">
        <f t="shared" si="39"/>
        <v>Error?</v>
      </c>
    </row>
    <row r="2613" spans="1:4" x14ac:dyDescent="0.2">
      <c r="A2613" s="5">
        <v>2552</v>
      </c>
      <c r="B2613" s="138">
        <f>'Acct Summary 7-8'!G20</f>
        <v>66015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1278668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1278668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1244988</v>
      </c>
      <c r="C2634" s="2" t="s">
        <v>573</v>
      </c>
      <c r="D2634" s="2" t="str">
        <f t="shared" si="40"/>
        <v>Error?</v>
      </c>
    </row>
    <row r="2635" spans="1:4" x14ac:dyDescent="0.2">
      <c r="A2635" s="5">
        <v>2574</v>
      </c>
      <c r="B2635" s="138">
        <f>'Acct Summary 7-8'!E17</f>
        <v>1244988</v>
      </c>
      <c r="C2635" s="2" t="s">
        <v>573</v>
      </c>
      <c r="D2635" s="2" t="str">
        <f t="shared" si="40"/>
        <v>Error?</v>
      </c>
    </row>
    <row r="2636" spans="1:4" x14ac:dyDescent="0.2">
      <c r="A2636" s="5">
        <v>2575</v>
      </c>
      <c r="B2636" s="138">
        <f>'Acct Summary 7-8'!E20</f>
        <v>33680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390092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390092</v>
      </c>
      <c r="C2661" s="2" t="s">
        <v>573</v>
      </c>
      <c r="D2661" s="2" t="str">
        <f t="shared" si="40"/>
        <v>Error?</v>
      </c>
    </row>
    <row r="2662" spans="1:4" x14ac:dyDescent="0.2">
      <c r="A2662" s="5">
        <v>2601</v>
      </c>
      <c r="B2662" s="138">
        <f>'Acct Summary 7-8'!H20</f>
        <v>-390092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148968</v>
      </c>
      <c r="D2718" s="2" t="str">
        <f t="shared" si="41"/>
        <v>Error?</v>
      </c>
    </row>
    <row r="2719" spans="1:4" x14ac:dyDescent="0.2">
      <c r="A2719" s="5">
        <v>2658</v>
      </c>
      <c r="B2719" s="138">
        <f>'Expenditures 15-22'!D51</f>
        <v>20130</v>
      </c>
      <c r="D2719" s="2" t="str">
        <f t="shared" si="41"/>
        <v>Error?</v>
      </c>
    </row>
    <row r="2720" spans="1:4" x14ac:dyDescent="0.2">
      <c r="A2720" s="5">
        <v>2659</v>
      </c>
      <c r="B2720" s="138">
        <f>'Expenditures 15-22'!E51</f>
        <v>14985</v>
      </c>
      <c r="D2720" s="2" t="str">
        <f t="shared" si="41"/>
        <v>Error?</v>
      </c>
    </row>
    <row r="2721" spans="1:4" x14ac:dyDescent="0.2">
      <c r="A2721" s="5">
        <v>2660</v>
      </c>
      <c r="B2721" s="138">
        <f>'Expenditures 15-22'!F51</f>
        <v>1466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185549</v>
      </c>
      <c r="C2724" s="2" t="s">
        <v>573</v>
      </c>
      <c r="D2724" s="2" t="str">
        <f t="shared" si="41"/>
        <v>Error?</v>
      </c>
    </row>
    <row r="2725" spans="1:4" x14ac:dyDescent="0.2">
      <c r="A2725" s="5">
        <v>2664</v>
      </c>
      <c r="B2725" s="138">
        <f>'Expenditures 15-22'!D247</f>
        <v>6956</v>
      </c>
      <c r="D2725" s="2" t="str">
        <f t="shared" si="41"/>
        <v>Error?</v>
      </c>
    </row>
    <row r="2726" spans="1:4" x14ac:dyDescent="0.2">
      <c r="A2726" s="5">
        <v>2665</v>
      </c>
      <c r="B2726" s="138">
        <f>'Expenditures 15-22'!K247</f>
        <v>6956</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390092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257815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318417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318417</v>
      </c>
      <c r="D2912" s="2" t="str">
        <f t="shared" si="44"/>
        <v>Error?</v>
      </c>
    </row>
    <row r="2913" spans="1:4" x14ac:dyDescent="0.2">
      <c r="A2913" s="5">
        <v>2852</v>
      </c>
      <c r="B2913" s="138">
        <f>'Assets-Liab 5-6'!I41</f>
        <v>318417</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250000</v>
      </c>
      <c r="C3231" s="2" t="s">
        <v>573</v>
      </c>
      <c r="D3231" s="2" t="str">
        <f t="shared" si="49"/>
        <v>Error?</v>
      </c>
    </row>
    <row r="3232" spans="1:4" x14ac:dyDescent="0.2">
      <c r="A3232" s="5">
        <v>3171</v>
      </c>
      <c r="B3232" s="138">
        <f>'Acct Summary 7-8'!C77</f>
        <v>-250000</v>
      </c>
      <c r="C3232" s="2" t="s">
        <v>573</v>
      </c>
      <c r="D3232" s="2" t="str">
        <f t="shared" si="49"/>
        <v>Error?</v>
      </c>
    </row>
    <row r="3233" spans="1:4" x14ac:dyDescent="0.2">
      <c r="A3233" s="5">
        <v>3172</v>
      </c>
      <c r="B3233" s="138">
        <f>'Acct Summary 7-8'!C78</f>
        <v>139158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250000</v>
      </c>
      <c r="C3238" s="2" t="s">
        <v>573</v>
      </c>
      <c r="D3238" s="2" t="str">
        <f t="shared" si="49"/>
        <v>Error?</v>
      </c>
    </row>
    <row r="3239" spans="1:4" x14ac:dyDescent="0.2">
      <c r="A3239" s="5">
        <v>3178</v>
      </c>
      <c r="B3239" s="138">
        <f>'Acct Summary 7-8'!D78</f>
        <v>-544351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-24791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66015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240252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240252</v>
      </c>
      <c r="C3277" s="2" t="s">
        <v>573</v>
      </c>
      <c r="D3277" s="2" t="str">
        <f t="shared" si="50"/>
        <v>Error?</v>
      </c>
    </row>
    <row r="3278" spans="1:4" x14ac:dyDescent="0.2">
      <c r="A3278" s="5">
        <v>3217</v>
      </c>
      <c r="B3278" s="138">
        <f>'Acct Summary 7-8'!E78</f>
        <v>273932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4504398</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4504398</v>
      </c>
      <c r="C3299" s="2" t="s">
        <v>573</v>
      </c>
      <c r="D3299" s="2" t="str">
        <f t="shared" si="50"/>
        <v>Error?</v>
      </c>
    </row>
    <row r="3300" spans="1:4" x14ac:dyDescent="0.2">
      <c r="A3300" s="5">
        <v>3239</v>
      </c>
      <c r="B3300" s="138">
        <f>'Acct Summary 7-8'!H78</f>
        <v>4114306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4565000</v>
      </c>
      <c r="C3317" s="2" t="s">
        <v>573</v>
      </c>
      <c r="D3317" s="2" t="str">
        <f t="shared" si="50"/>
        <v>Error?</v>
      </c>
    </row>
    <row r="3318" spans="1:4" x14ac:dyDescent="0.2">
      <c r="A3318" s="5">
        <v>3257</v>
      </c>
      <c r="B3318" s="138">
        <f>'Acct Summary 7-8'!I76</f>
        <v>4504398</v>
      </c>
      <c r="C3318" s="2" t="s">
        <v>573</v>
      </c>
      <c r="D3318" s="2" t="str">
        <f t="shared" si="50"/>
        <v>Error?</v>
      </c>
    </row>
    <row r="3319" spans="1:4" x14ac:dyDescent="0.2">
      <c r="A3319" s="5">
        <v>3258</v>
      </c>
      <c r="B3319" s="138">
        <f>'Acct Summary 7-8'!I77</f>
        <v>60602</v>
      </c>
      <c r="C3319" s="2" t="s">
        <v>573</v>
      </c>
      <c r="D3319" s="2" t="str">
        <f t="shared" si="50"/>
        <v>Error?</v>
      </c>
    </row>
    <row r="3320" spans="1:4" x14ac:dyDescent="0.2">
      <c r="A3320" s="5">
        <v>3259</v>
      </c>
      <c r="B3320" s="138">
        <f>'Acct Summary 7-8'!I78</f>
        <v>60602</v>
      </c>
      <c r="C3320" s="2" t="s">
        <v>573</v>
      </c>
      <c r="D3320" s="2" t="str">
        <f t="shared" si="50"/>
        <v>Error?</v>
      </c>
    </row>
    <row r="3321" spans="1:4" x14ac:dyDescent="0.2">
      <c r="A3321" s="5">
        <v>3260</v>
      </c>
      <c r="B3321" s="138">
        <f>'Acct Summary 7-8'!I79</f>
        <v>257815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318417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2139024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673710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36763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23898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4839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2878234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125637</v>
      </c>
      <c r="D3387" s="2" t="str">
        <f t="shared" si="51"/>
        <v>Error?</v>
      </c>
    </row>
    <row r="3388" spans="1:4" x14ac:dyDescent="0.2">
      <c r="A3388" s="5">
        <v>3327</v>
      </c>
      <c r="B3388" s="138">
        <f>'Expenditures 15-22'!D217</f>
        <v>139724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125637</v>
      </c>
      <c r="C3390" s="2" t="s">
        <v>573</v>
      </c>
      <c r="D3390" s="2" t="str">
        <f t="shared" si="51"/>
        <v>Error?</v>
      </c>
    </row>
    <row r="3391" spans="1:4" x14ac:dyDescent="0.2">
      <c r="A3391" s="5">
        <v>3330</v>
      </c>
      <c r="B3391" s="138">
        <f>'Expenditures 15-22'!K217</f>
        <v>139724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14159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1216706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385482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5114306</v>
      </c>
      <c r="D3425" s="2" t="str">
        <f t="shared" si="52"/>
        <v>Error?</v>
      </c>
    </row>
    <row r="3426" spans="1:4" x14ac:dyDescent="0.2">
      <c r="A3426" s="10">
        <v>3365</v>
      </c>
      <c r="D3426" s="2" t="str">
        <f t="shared" si="52"/>
        <v>OK</v>
      </c>
    </row>
    <row r="3427" spans="1:4" x14ac:dyDescent="0.2">
      <c r="A3427" s="5">
        <v>3366</v>
      </c>
      <c r="B3427" s="138">
        <f>'Assets-Liab 5-6'!I4</f>
        <v>60602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339924</v>
      </c>
      <c r="C3446" s="2" t="s">
        <v>573</v>
      </c>
      <c r="D3446" s="2" t="str">
        <f t="shared" si="52"/>
        <v>Error?</v>
      </c>
    </row>
    <row r="3447" spans="1:4" x14ac:dyDescent="0.2">
      <c r="A3447" s="5">
        <v>3386</v>
      </c>
      <c r="B3447" s="138">
        <f>'Tax Sched 23'!D16</f>
        <v>339924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341547</v>
      </c>
      <c r="C3449" s="2" t="s">
        <v>573</v>
      </c>
      <c r="D3449" s="2" t="str">
        <f t="shared" si="52"/>
        <v>Error?</v>
      </c>
    </row>
    <row r="3450" spans="1:4" x14ac:dyDescent="0.2">
      <c r="A3450" s="5">
        <v>3389</v>
      </c>
      <c r="B3450" s="138">
        <f>'Tax Sched 23'!E16</f>
        <v>341547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23289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23289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23289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23289</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23289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23289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7160270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26589635</v>
      </c>
      <c r="C4122" s="2" t="s">
        <v>573</v>
      </c>
      <c r="D4122" s="2" t="str">
        <f t="shared" si="63"/>
        <v>Error?</v>
      </c>
    </row>
    <row r="4123" spans="1:4" x14ac:dyDescent="0.2">
      <c r="A4123" s="5">
        <v>4062</v>
      </c>
      <c r="B4123" s="138">
        <f>'Acct Summary 7-8'!D10</f>
        <v>2442026</v>
      </c>
      <c r="C4123" s="2" t="s">
        <v>573</v>
      </c>
      <c r="D4123" s="2" t="str">
        <f t="shared" si="63"/>
        <v>Error?</v>
      </c>
    </row>
    <row r="4124" spans="1:4" x14ac:dyDescent="0.2">
      <c r="A4124" s="5">
        <v>4063</v>
      </c>
      <c r="B4124" s="138">
        <f>'Acct Summary 7-8'!E10</f>
        <v>1278668</v>
      </c>
      <c r="C4124" s="2" t="s">
        <v>573</v>
      </c>
      <c r="D4124" s="2" t="str">
        <f t="shared" si="63"/>
        <v>Error?</v>
      </c>
    </row>
    <row r="4125" spans="1:4" x14ac:dyDescent="0.2">
      <c r="A4125" s="5">
        <v>4064</v>
      </c>
      <c r="B4125" s="138">
        <f>'Acct Summary 7-8'!F10</f>
        <v>1390557</v>
      </c>
      <c r="C4125" s="2" t="s">
        <v>573</v>
      </c>
      <c r="D4125" s="2" t="str">
        <f t="shared" si="63"/>
        <v>Error?</v>
      </c>
    </row>
    <row r="4126" spans="1:4" x14ac:dyDescent="0.2">
      <c r="A4126" s="5">
        <v>4065</v>
      </c>
      <c r="B4126" s="138">
        <f>'Acct Summary 7-8'!G10</f>
        <v>767420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7160270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26200477</v>
      </c>
      <c r="C4136" s="2" t="s">
        <v>573</v>
      </c>
      <c r="D4136" s="2" t="str">
        <f t="shared" si="63"/>
        <v>Error?</v>
      </c>
    </row>
    <row r="4137" spans="1:4" x14ac:dyDescent="0.2">
      <c r="A4137" s="5">
        <v>4076</v>
      </c>
      <c r="B4137" s="138">
        <f>'Acct Summary 7-8'!D19</f>
        <v>3236377</v>
      </c>
      <c r="C4137" s="2" t="s">
        <v>573</v>
      </c>
      <c r="D4137" s="2" t="str">
        <f t="shared" si="63"/>
        <v>Error?</v>
      </c>
    </row>
    <row r="4138" spans="1:4" x14ac:dyDescent="0.2">
      <c r="A4138" s="5">
        <v>4077</v>
      </c>
      <c r="B4138" s="138">
        <f>'Acct Summary 7-8'!E19</f>
        <v>1244988</v>
      </c>
      <c r="C4138" s="2" t="s">
        <v>573</v>
      </c>
      <c r="D4138" s="2" t="str">
        <f t="shared" si="63"/>
        <v>Error?</v>
      </c>
    </row>
    <row r="4139" spans="1:4" x14ac:dyDescent="0.2">
      <c r="A4139" s="5">
        <v>4078</v>
      </c>
      <c r="B4139" s="138">
        <f>'Acct Summary 7-8'!F19</f>
        <v>1415348</v>
      </c>
      <c r="C4139" s="2" t="s">
        <v>573</v>
      </c>
      <c r="D4139" s="2" t="str">
        <f t="shared" si="63"/>
        <v>Error?</v>
      </c>
    </row>
    <row r="4140" spans="1:4" x14ac:dyDescent="0.2">
      <c r="A4140" s="5">
        <v>4079</v>
      </c>
      <c r="B4140" s="138">
        <f>'Acct Summary 7-8'!G19</f>
        <v>701405</v>
      </c>
      <c r="C4140" s="2" t="s">
        <v>573</v>
      </c>
      <c r="D4140" s="2" t="str">
        <f t="shared" si="63"/>
        <v>Error?</v>
      </c>
    </row>
    <row r="4141" spans="1:4" x14ac:dyDescent="0.2">
      <c r="A4141" s="5">
        <v>4080</v>
      </c>
      <c r="B4141" s="138">
        <f>'Acct Summary 7-8'!H19</f>
        <v>390092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10890000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1070000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1927</v>
      </c>
    </row>
    <row r="4236" spans="1:5" x14ac:dyDescent="0.2">
      <c r="A4236" s="10">
        <v>4175</v>
      </c>
      <c r="D4236" s="2" t="str">
        <f t="shared" si="65"/>
        <v>OK</v>
      </c>
      <c r="E4236" s="4" t="s">
        <v>1927</v>
      </c>
    </row>
    <row r="4237" spans="1:5" x14ac:dyDescent="0.2">
      <c r="A4237" s="10">
        <v>4176</v>
      </c>
      <c r="D4237" s="2" t="str">
        <f t="shared" si="65"/>
        <v>OK</v>
      </c>
      <c r="E4237" s="4" t="s">
        <v>1927</v>
      </c>
    </row>
    <row r="4238" spans="1:5" x14ac:dyDescent="0.2">
      <c r="A4238" s="10">
        <v>4177</v>
      </c>
      <c r="D4238" s="2" t="str">
        <f t="shared" si="65"/>
        <v>OK</v>
      </c>
      <c r="E4238" s="4" t="s">
        <v>1927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2302.6</v>
      </c>
      <c r="C4265" s="2" t="s">
        <v>573</v>
      </c>
      <c r="D4265" s="2" t="str">
        <f t="shared" si="65"/>
        <v>Error?</v>
      </c>
      <c r="E4265" s="128"/>
    </row>
    <row r="4266" spans="1:5" x14ac:dyDescent="0.2">
      <c r="A4266" s="12">
        <v>4205</v>
      </c>
      <c r="B4266" s="138">
        <f>('FP Info 3'!F10)*100000</f>
        <v>481.99999999999994</v>
      </c>
      <c r="C4266" s="2" t="s">
        <v>573</v>
      </c>
      <c r="D4266" s="2" t="str">
        <f t="shared" si="65"/>
        <v>Error?</v>
      </c>
      <c r="E4266" s="128"/>
    </row>
    <row r="4267" spans="1:5" x14ac:dyDescent="0.2">
      <c r="A4267" s="12">
        <v>4206</v>
      </c>
      <c r="B4267" s="138">
        <f>('FP Info 3'!H10)*100000</f>
        <v>136.4</v>
      </c>
      <c r="C4267" s="2" t="s">
        <v>573</v>
      </c>
      <c r="D4267" s="2" t="str">
        <f t="shared" si="65"/>
        <v>Error?</v>
      </c>
      <c r="E4267" s="128"/>
    </row>
    <row r="4268" spans="1:5" x14ac:dyDescent="0.2">
      <c r="A4268" s="12">
        <v>4207</v>
      </c>
      <c r="B4268" s="138">
        <f>('FP Info 3'!J10)*100000</f>
        <v>2921</v>
      </c>
      <c r="C4268" s="2" t="s">
        <v>573</v>
      </c>
      <c r="D4268" s="2" t="str">
        <f t="shared" si="65"/>
        <v>Error?</v>
      </c>
    </row>
    <row r="4269" spans="1:5" x14ac:dyDescent="0.2">
      <c r="A4269" s="12">
        <v>4208</v>
      </c>
      <c r="B4269" s="138">
        <f>'FP Info 3'!J16</f>
        <v>13475424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11050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30350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66618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1927</v>
      </c>
    </row>
    <row r="4400" spans="1:5" x14ac:dyDescent="0.2">
      <c r="A4400" s="10">
        <v>4339</v>
      </c>
      <c r="D4400" s="2" t="str">
        <f t="shared" si="67"/>
        <v>OK</v>
      </c>
      <c r="E4400" s="4" t="s">
        <v>1927</v>
      </c>
    </row>
    <row r="4401" spans="1:5" x14ac:dyDescent="0.2">
      <c r="A4401" s="10">
        <v>4340</v>
      </c>
      <c r="D4401" s="2" t="str">
        <f t="shared" si="67"/>
        <v>OK</v>
      </c>
      <c r="E4401" s="4" t="s">
        <v>1927</v>
      </c>
    </row>
    <row r="4402" spans="1:5" x14ac:dyDescent="0.2">
      <c r="A4402" s="10">
        <v>4341</v>
      </c>
      <c r="D4402" s="2" t="str">
        <f t="shared" si="67"/>
        <v>OK</v>
      </c>
      <c r="E4402" s="4" t="s">
        <v>1927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30401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43975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436761400</v>
      </c>
      <c r="D4995" s="2" t="str">
        <f t="shared" si="77"/>
        <v>Error?</v>
      </c>
    </row>
    <row r="4996" spans="1:4" x14ac:dyDescent="0.2">
      <c r="A4996" s="12">
        <v>4935</v>
      </c>
      <c r="B4996" s="138">
        <f>'FP Info 3'!H31</f>
        <v>30136536.600000001</v>
      </c>
      <c r="D4996" s="2" t="str">
        <f t="shared" si="77"/>
        <v>Error?</v>
      </c>
    </row>
    <row r="4997" spans="1:4" x14ac:dyDescent="0.2">
      <c r="A4997" s="12">
        <v>4936</v>
      </c>
      <c r="B4997" s="138">
        <f>'FP Info 3'!H37</f>
        <v>10890000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250000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10014321</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10014321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263278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263278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4382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4382</v>
      </c>
      <c r="C5102" s="2" t="s">
        <v>573</v>
      </c>
      <c r="D5102" s="2" t="str">
        <f t="shared" si="78"/>
        <v>Error?</v>
      </c>
    </row>
    <row r="5103" spans="1:4" x14ac:dyDescent="0.2">
      <c r="A5103" s="5">
        <v>5042</v>
      </c>
      <c r="B5103" s="138">
        <f>'Revenues 9-14'!C84</f>
        <v>15569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348060</v>
      </c>
      <c r="D5110" s="2" t="str">
        <f t="shared" si="78"/>
        <v>Error?</v>
      </c>
    </row>
    <row r="5111" spans="1:4" x14ac:dyDescent="0.2">
      <c r="A5111" s="5">
        <v>5050</v>
      </c>
      <c r="B5111" s="138">
        <f>'Revenues 9-14'!C92</f>
        <v>220890</v>
      </c>
      <c r="D5111" s="2" t="str">
        <f t="shared" si="78"/>
        <v>Error?</v>
      </c>
    </row>
    <row r="5112" spans="1:4" x14ac:dyDescent="0.2">
      <c r="A5112" s="5">
        <v>5051</v>
      </c>
      <c r="B5112" s="138">
        <f>'Revenues 9-14'!C93</f>
        <v>584519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10866500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6282991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6282991</v>
      </c>
      <c r="C5132" s="2" t="s">
        <v>573</v>
      </c>
      <c r="D5132" s="2" t="str">
        <f t="shared" si="79"/>
        <v>Error?</v>
      </c>
    </row>
    <row r="5133" spans="1:4" x14ac:dyDescent="0.2">
      <c r="A5133" s="5">
        <v>5072</v>
      </c>
      <c r="B5133" s="138">
        <f>'Revenues 9-14'!C125</f>
        <v>198160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38475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236635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10668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191923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1927</v>
      </c>
    </row>
    <row r="5200" spans="1:5" x14ac:dyDescent="0.2">
      <c r="A5200" s="10">
        <v>5139</v>
      </c>
      <c r="D5200" s="2" t="str">
        <f t="shared" si="80"/>
        <v>OK</v>
      </c>
      <c r="E5200" s="4" t="s">
        <v>1927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439226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6722217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471385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143384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614769</v>
      </c>
      <c r="C5246" s="2" t="s">
        <v>573</v>
      </c>
      <c r="D5246" s="2" t="str">
        <f t="shared" si="80"/>
        <v>Error?</v>
      </c>
    </row>
    <row r="5247" spans="1:4" x14ac:dyDescent="0.2">
      <c r="A5247" s="5">
        <v>5186</v>
      </c>
      <c r="B5247" s="138">
        <f>'Revenues 9-14'!C200</f>
        <v>561600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1927</v>
      </c>
    </row>
    <row r="5255" spans="1:5" x14ac:dyDescent="0.2">
      <c r="A5255" s="5">
        <v>5194</v>
      </c>
      <c r="B5255" s="138">
        <f>'Revenues 9-14'!C202</f>
        <v>0</v>
      </c>
      <c r="D5255" s="2" t="str">
        <f t="shared" si="81"/>
        <v>Error?</v>
      </c>
    </row>
    <row r="5256" spans="1:5" x14ac:dyDescent="0.2">
      <c r="A5256" s="5">
        <v>5195</v>
      </c>
      <c r="B5256" s="138">
        <f>'Revenues 9-14'!C206</f>
        <v>30401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572650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26585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455300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481885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1927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1840648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1840648</v>
      </c>
      <c r="C5326" s="2" t="s">
        <v>573</v>
      </c>
      <c r="D5326" s="2" t="str">
        <f t="shared" si="82"/>
        <v>Error?</v>
      </c>
    </row>
    <row r="5327" spans="1:5" x14ac:dyDescent="0.2">
      <c r="A5327" s="5">
        <v>5266</v>
      </c>
      <c r="B5327" s="138">
        <f>'Revenues 9-14'!C268</f>
        <v>19429365</v>
      </c>
      <c r="C5327" s="2" t="s">
        <v>573</v>
      </c>
      <c r="D5327" s="2" t="str">
        <f t="shared" si="82"/>
        <v>Error?</v>
      </c>
    </row>
    <row r="5328" spans="1:5" x14ac:dyDescent="0.2">
      <c r="A5328" s="5">
        <v>5267</v>
      </c>
      <c r="B5328" s="138">
        <f>'Revenues 9-14'!D5</f>
        <v>2095972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2095972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308602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308602</v>
      </c>
      <c r="C5339" s="2" t="s">
        <v>573</v>
      </c>
      <c r="D5339" s="2" t="str">
        <f t="shared" si="82"/>
        <v>Error?</v>
      </c>
    </row>
    <row r="5340" spans="1:4" x14ac:dyDescent="0.2">
      <c r="A5340" s="5">
        <v>5279</v>
      </c>
      <c r="B5340" s="138">
        <f>'Revenues 9-14'!D65</f>
        <v>2077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2077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35375</v>
      </c>
      <c r="D5354" s="2" t="str">
        <f t="shared" si="82"/>
        <v>Error?</v>
      </c>
    </row>
    <row r="5355" spans="1:4" x14ac:dyDescent="0.2">
      <c r="A5355" s="5">
        <v>5294</v>
      </c>
      <c r="B5355" s="138">
        <f>'Revenues 9-14'!D108</f>
        <v>35375</v>
      </c>
      <c r="C5355" s="2" t="s">
        <v>573</v>
      </c>
      <c r="D5355" s="2" t="str">
        <f t="shared" si="82"/>
        <v>Error?</v>
      </c>
    </row>
    <row r="5356" spans="1:4" x14ac:dyDescent="0.2">
      <c r="A5356" s="5">
        <v>5295</v>
      </c>
      <c r="B5356" s="138">
        <f>'Revenues 9-14'!D109</f>
        <v>2442026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2442026</v>
      </c>
      <c r="C5508" s="2" t="s">
        <v>573</v>
      </c>
      <c r="D5508" s="2" t="str">
        <f t="shared" si="85"/>
        <v>Error?</v>
      </c>
    </row>
    <row r="5509" spans="1:4" x14ac:dyDescent="0.2">
      <c r="A5509" s="5">
        <v>5448</v>
      </c>
      <c r="B5509" s="138">
        <f>'Revenues 9-14'!E5</f>
        <v>1277386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1277386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1282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1282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1278668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1278668</v>
      </c>
      <c r="C5552" s="2" t="s">
        <v>573</v>
      </c>
      <c r="D5552" s="2" t="str">
        <f t="shared" si="85"/>
        <v>Error?</v>
      </c>
    </row>
    <row r="5553" spans="1:4" x14ac:dyDescent="0.2">
      <c r="A5553" s="5">
        <v>5492</v>
      </c>
      <c r="B5553" s="138">
        <f>'Revenues 9-14'!F5</f>
        <v>593087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593087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588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588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92789</v>
      </c>
      <c r="D5586" s="2" t="str">
        <f t="shared" si="86"/>
        <v>Error?</v>
      </c>
    </row>
    <row r="5587" spans="1:4" x14ac:dyDescent="0.2">
      <c r="A5587" s="5">
        <v>5526</v>
      </c>
      <c r="B5587" s="138">
        <f>'Revenues 9-14'!F108</f>
        <v>92789</v>
      </c>
      <c r="C5587" s="2" t="s">
        <v>573</v>
      </c>
      <c r="D5587" s="2" t="str">
        <f t="shared" si="86"/>
        <v>Error?</v>
      </c>
    </row>
    <row r="5588" spans="1:4" x14ac:dyDescent="0.2">
      <c r="A5588" s="5">
        <v>5527</v>
      </c>
      <c r="B5588" s="138">
        <f>'Revenues 9-14'!F109</f>
        <v>686464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394231</v>
      </c>
      <c r="D5615" s="2" t="str">
        <f t="shared" si="86"/>
        <v>Error?</v>
      </c>
    </row>
    <row r="5616" spans="1:4" x14ac:dyDescent="0.2">
      <c r="A5616" s="10">
        <v>5555</v>
      </c>
      <c r="D5616" s="2" t="str">
        <f t="shared" si="86"/>
        <v>OK</v>
      </c>
    </row>
    <row r="5617" spans="1:5" x14ac:dyDescent="0.2">
      <c r="A5617" s="5">
        <v>5556</v>
      </c>
      <c r="B5617" s="138">
        <f>'Revenues 9-14'!F153</f>
        <v>309862</v>
      </c>
      <c r="D5617" s="2" t="str">
        <f t="shared" si="86"/>
        <v>Error?</v>
      </c>
    </row>
    <row r="5618" spans="1:5" x14ac:dyDescent="0.2">
      <c r="A5618" s="5">
        <v>5557</v>
      </c>
      <c r="B5618" s="138">
        <f>'Revenues 9-14'!F155</f>
        <v>704093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1927</v>
      </c>
    </row>
    <row r="5631" spans="1:5" x14ac:dyDescent="0.2">
      <c r="A5631" s="10">
        <v>5570</v>
      </c>
      <c r="D5631" s="2" t="str">
        <f t="shared" ref="D5631:D5694" si="87">IF(ISBLANK(B5631),"OK",IF(A5631-B5631=0,"OK","Error?"))</f>
        <v>OK</v>
      </c>
      <c r="E5631" s="4" t="s">
        <v>1927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704093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704093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1390557</v>
      </c>
      <c r="C5720" s="2" t="s">
        <v>573</v>
      </c>
      <c r="D5720" s="2" t="str">
        <f t="shared" si="88"/>
        <v>Error?</v>
      </c>
    </row>
    <row r="5721" spans="1:4" x14ac:dyDescent="0.2">
      <c r="A5721" s="5">
        <v>5660</v>
      </c>
      <c r="B5721" s="138">
        <f>'Revenues 9-14'!G5</f>
        <v>426483</v>
      </c>
      <c r="D5721" s="2" t="str">
        <f t="shared" si="88"/>
        <v>Error?</v>
      </c>
    </row>
    <row r="5722" spans="1:4" x14ac:dyDescent="0.2">
      <c r="A5722" s="5">
        <v>5661</v>
      </c>
      <c r="B5722" s="138">
        <f>'Revenues 9-14'!G7</f>
        <v>0</v>
      </c>
      <c r="D5722" s="2" t="str">
        <f t="shared" si="88"/>
        <v>Error?</v>
      </c>
    </row>
    <row r="5723" spans="1:4" x14ac:dyDescent="0.2">
      <c r="A5723" s="5">
        <v>5662</v>
      </c>
      <c r="B5723" s="138">
        <f>'Revenues 9-14'!G8</f>
        <v>339924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766407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1013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1013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1927</v>
      </c>
    </row>
    <row r="5768" spans="1:5" x14ac:dyDescent="0.2">
      <c r="A5768" s="10">
        <v>5707</v>
      </c>
      <c r="D5768" s="2" t="str">
        <f t="shared" si="89"/>
        <v>OK</v>
      </c>
      <c r="E5768" s="4" t="s">
        <v>1927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767420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767420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59901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2226.9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88499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174796</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123682</v>
      </c>
      <c r="D6113" s="2" t="str">
        <f t="shared" si="94"/>
        <v>Error?</v>
      </c>
      <c r="E6113" s="2" t="s">
        <v>190</v>
      </c>
    </row>
    <row r="6114" spans="1:5" x14ac:dyDescent="0.2">
      <c r="A6114">
        <v>6053</v>
      </c>
      <c r="B6114" s="138">
        <f>'Assets-Liab 5-6'!D11</f>
        <v>39848</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20424</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85282</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310535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2188051</v>
      </c>
      <c r="D6126" s="2" t="str">
        <f t="shared" si="94"/>
        <v>Error?</v>
      </c>
      <c r="E6126" s="2" t="s">
        <v>190</v>
      </c>
    </row>
    <row r="6127" spans="1:5" x14ac:dyDescent="0.2">
      <c r="A6127">
        <v>6066</v>
      </c>
      <c r="B6127" s="138">
        <f>'Assets-Liab 5-6'!E25</f>
        <v>972136</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329695</v>
      </c>
      <c r="D6142" s="2" t="str">
        <f t="shared" si="94"/>
        <v>Error?</v>
      </c>
      <c r="E6142" s="2" t="s">
        <v>190</v>
      </c>
    </row>
    <row r="6143" spans="1:5" x14ac:dyDescent="0.2">
      <c r="A6143">
        <v>6082</v>
      </c>
      <c r="B6143" s="138">
        <f>'Assets-Liab 5-6'!D27</f>
        <v>407124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213</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1886270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51000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123112</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123112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187423</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310535</v>
      </c>
      <c r="D6216" s="2" t="str">
        <f t="shared" si="96"/>
        <v>Error?</v>
      </c>
      <c r="E6216" s="2" t="s">
        <v>190</v>
      </c>
    </row>
    <row r="6217" spans="1:5" x14ac:dyDescent="0.2">
      <c r="A6217">
        <v>6156</v>
      </c>
      <c r="B6217" s="138">
        <f>'Assets-Liab 5-6'!J4</f>
        <v>120867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104386</v>
      </c>
      <c r="D6219" s="2" t="str">
        <f t="shared" si="96"/>
        <v>Error?</v>
      </c>
      <c r="E6219" s="2" t="s">
        <v>190</v>
      </c>
    </row>
    <row r="6220" spans="1:5" x14ac:dyDescent="0.2">
      <c r="A6220">
        <v>6159</v>
      </c>
      <c r="B6220" s="138">
        <f>'Acct Summary 7-8'!J4</f>
        <v>103794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103794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103794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32053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32053</v>
      </c>
      <c r="D6229" s="2" t="str">
        <f t="shared" si="96"/>
        <v>Error?</v>
      </c>
      <c r="E6229" s="2" t="s">
        <v>190</v>
      </c>
    </row>
    <row r="6230" spans="1:5" x14ac:dyDescent="0.2">
      <c r="A6230">
        <v>6169</v>
      </c>
      <c r="B6230" s="138">
        <f>'Acct Summary 7-8'!J20</f>
        <v>71741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71741</v>
      </c>
      <c r="D6263" s="2" t="str">
        <f t="shared" si="96"/>
        <v>Error?</v>
      </c>
      <c r="E6263" s="2" t="s">
        <v>190</v>
      </c>
    </row>
    <row r="6264" spans="1:5" x14ac:dyDescent="0.2">
      <c r="A6264">
        <v>6203</v>
      </c>
      <c r="B6264" s="138">
        <f>'Acct Summary 7-8'!J79</f>
        <v>115682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187423</v>
      </c>
      <c r="D6266" s="2" t="str">
        <f t="shared" si="96"/>
        <v>Error?</v>
      </c>
      <c r="E6266" s="2" t="s">
        <v>190</v>
      </c>
    </row>
    <row r="6267" spans="1:5" x14ac:dyDescent="0.2">
      <c r="A6267">
        <v>6206</v>
      </c>
      <c r="B6267" s="138">
        <f>'Acct Summary 7-8'!C82</f>
        <v>139158</v>
      </c>
      <c r="D6267" s="2" t="str">
        <f t="shared" si="96"/>
        <v>Error?</v>
      </c>
      <c r="E6267" s="2" t="s">
        <v>190</v>
      </c>
    </row>
    <row r="6268" spans="1:5" x14ac:dyDescent="0.2">
      <c r="A6268">
        <v>6207</v>
      </c>
      <c r="B6268" s="138">
        <f>'Acct Summary 7-8'!D82</f>
        <v>-544351</v>
      </c>
      <c r="D6268" s="2" t="str">
        <f t="shared" si="96"/>
        <v>Error?</v>
      </c>
      <c r="E6268" s="2" t="s">
        <v>190</v>
      </c>
    </row>
    <row r="6269" spans="1:5" x14ac:dyDescent="0.2">
      <c r="A6269">
        <v>6208</v>
      </c>
      <c r="B6269" s="138">
        <f>'Acct Summary 7-8'!E82</f>
        <v>273932</v>
      </c>
      <c r="D6269" s="2" t="str">
        <f t="shared" si="96"/>
        <v>Error?</v>
      </c>
      <c r="E6269" s="2" t="s">
        <v>190</v>
      </c>
    </row>
    <row r="6270" spans="1:5" x14ac:dyDescent="0.2">
      <c r="A6270">
        <v>6209</v>
      </c>
      <c r="B6270" s="138">
        <f>'Acct Summary 7-8'!F82</f>
        <v>-24791</v>
      </c>
      <c r="D6270" s="2" t="str">
        <f t="shared" si="96"/>
        <v>Error?</v>
      </c>
      <c r="E6270" s="2" t="s">
        <v>190</v>
      </c>
    </row>
    <row r="6271" spans="1:5" x14ac:dyDescent="0.2">
      <c r="A6271">
        <v>6210</v>
      </c>
      <c r="B6271" s="138">
        <f>'Acct Summary 7-8'!G82</f>
        <v>66015</v>
      </c>
      <c r="D6271" s="2" t="str">
        <f t="shared" ref="D6271:D6334" si="97">IF(ISBLANK(B6271),"OK",IF(A6271-B6271=0,"OK","Error?"))</f>
        <v>Error?</v>
      </c>
      <c r="E6271" s="2" t="s">
        <v>190</v>
      </c>
    </row>
    <row r="6272" spans="1:5" x14ac:dyDescent="0.2">
      <c r="A6272">
        <v>6211</v>
      </c>
      <c r="B6272" s="138">
        <f>'Acct Summary 7-8'!H82</f>
        <v>4114306</v>
      </c>
      <c r="D6272" s="2" t="str">
        <f t="shared" si="97"/>
        <v>Error?</v>
      </c>
      <c r="E6272" s="2" t="s">
        <v>190</v>
      </c>
    </row>
    <row r="6273" spans="1:5" x14ac:dyDescent="0.2">
      <c r="A6273">
        <v>6212</v>
      </c>
      <c r="B6273" s="138">
        <f>'Acct Summary 7-8'!I82</f>
        <v>60602</v>
      </c>
      <c r="D6273" s="2" t="str">
        <f t="shared" si="97"/>
        <v>Error?</v>
      </c>
      <c r="E6273" s="2" t="s">
        <v>190</v>
      </c>
    </row>
    <row r="6274" spans="1:5" x14ac:dyDescent="0.2">
      <c r="A6274">
        <v>6213</v>
      </c>
      <c r="B6274" s="138">
        <f>'Acct Summary 7-8'!J82</f>
        <v>71741</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1.2559041701382922E-2</v>
      </c>
      <c r="D6276" s="2" t="str">
        <f t="shared" si="97"/>
        <v>Error?</v>
      </c>
      <c r="E6276" s="2" t="s">
        <v>190</v>
      </c>
    </row>
    <row r="6277" spans="1:5" x14ac:dyDescent="0.2">
      <c r="A6277">
        <v>6216</v>
      </c>
      <c r="B6277" s="138">
        <f>'Acct Summary 7-8'!D83</f>
        <v>-1.4827684831580037</v>
      </c>
      <c r="D6277" s="2" t="str">
        <f t="shared" si="97"/>
        <v>Error?</v>
      </c>
      <c r="E6277" s="2" t="s">
        <v>190</v>
      </c>
    </row>
    <row r="6278" spans="1:5" x14ac:dyDescent="0.2">
      <c r="A6278">
        <v>6217</v>
      </c>
      <c r="B6278" s="138">
        <f>'Acct Summary 7-8'!E83</f>
        <v>0.3170285431236915</v>
      </c>
      <c r="D6278" s="2" t="str">
        <f t="shared" si="97"/>
        <v>Error?</v>
      </c>
      <c r="E6278" s="2" t="s">
        <v>190</v>
      </c>
    </row>
    <row r="6279" spans="1:5" x14ac:dyDescent="0.2">
      <c r="A6279">
        <v>6218</v>
      </c>
      <c r="B6279" s="138">
        <f>'Acct Summary 7-8'!F83</f>
        <v>-1.4501180110962603E-2</v>
      </c>
      <c r="D6279" s="2" t="str">
        <f t="shared" si="97"/>
        <v>Error?</v>
      </c>
      <c r="E6279" s="2" t="s">
        <v>190</v>
      </c>
    </row>
    <row r="6280" spans="1:5" x14ac:dyDescent="0.2">
      <c r="A6280">
        <v>6219</v>
      </c>
      <c r="B6280" s="138">
        <f>'Acct Summary 7-8'!G83</f>
        <v>9.1752873922669897E-2</v>
      </c>
      <c r="D6280" s="2" t="str">
        <f t="shared" si="97"/>
        <v>Error?</v>
      </c>
      <c r="E6280" s="2" t="s">
        <v>190</v>
      </c>
    </row>
    <row r="6281" spans="1:5" x14ac:dyDescent="0.2">
      <c r="A6281">
        <v>6220</v>
      </c>
      <c r="B6281" s="138">
        <f>'Acct Summary 7-8'!H83</f>
        <v>0.74259245120850004</v>
      </c>
      <c r="D6281" s="2" t="str">
        <f t="shared" si="97"/>
        <v>Error?</v>
      </c>
      <c r="E6281" s="2" t="s">
        <v>190</v>
      </c>
    </row>
    <row r="6282" spans="1:5" x14ac:dyDescent="0.2">
      <c r="A6282">
        <v>6221</v>
      </c>
      <c r="B6282" s="138">
        <f>'Acct Summary 7-8'!I83</f>
        <v>0.19032275286809436</v>
      </c>
      <c r="D6282" s="2" t="str">
        <f t="shared" si="97"/>
        <v>Error?</v>
      </c>
      <c r="E6282" s="2" t="s">
        <v>190</v>
      </c>
    </row>
    <row r="6283" spans="1:5" x14ac:dyDescent="0.2">
      <c r="A6283">
        <v>6222</v>
      </c>
      <c r="B6283" s="138">
        <f>'Acct Summary 7-8'!J83</f>
        <v>0.38277585995315411</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103691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103691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103794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1926</v>
      </c>
    </row>
    <row r="6383" spans="1:6" x14ac:dyDescent="0.2">
      <c r="A6383" s="129">
        <v>6322</v>
      </c>
      <c r="D6383" s="2" t="str">
        <f t="shared" si="98"/>
        <v>OK</v>
      </c>
      <c r="E6383" s="2" t="s">
        <v>190</v>
      </c>
      <c r="F6383" s="1" t="s">
        <v>1926</v>
      </c>
    </row>
    <row r="6384" spans="1:6" x14ac:dyDescent="0.2">
      <c r="A6384" s="129">
        <v>6323</v>
      </c>
      <c r="D6384" s="2" t="str">
        <f t="shared" si="98"/>
        <v>OK</v>
      </c>
      <c r="E6384" s="2" t="s">
        <v>190</v>
      </c>
      <c r="F6384" s="1" t="s">
        <v>1926</v>
      </c>
    </row>
    <row r="6385" spans="1:6" x14ac:dyDescent="0.2">
      <c r="A6385" s="129">
        <v>6324</v>
      </c>
      <c r="D6385" s="2" t="str">
        <f t="shared" si="98"/>
        <v>OK</v>
      </c>
      <c r="E6385" s="2" t="s">
        <v>190</v>
      </c>
      <c r="F6385" s="1" t="s">
        <v>1926</v>
      </c>
    </row>
    <row r="6386" spans="1:6" x14ac:dyDescent="0.2">
      <c r="A6386" s="129">
        <v>6325</v>
      </c>
      <c r="D6386" s="2" t="str">
        <f t="shared" si="98"/>
        <v>OK</v>
      </c>
      <c r="E6386" s="2" t="s">
        <v>190</v>
      </c>
      <c r="F6386" s="1" t="s">
        <v>1926</v>
      </c>
    </row>
    <row r="6387" spans="1:6" x14ac:dyDescent="0.2">
      <c r="A6387" s="129">
        <v>6326</v>
      </c>
      <c r="D6387" s="2" t="str">
        <f t="shared" si="98"/>
        <v>OK</v>
      </c>
      <c r="E6387" s="2" t="s">
        <v>190</v>
      </c>
      <c r="F6387" s="1" t="s">
        <v>1926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1926</v>
      </c>
    </row>
    <row r="6411" spans="1:6" x14ac:dyDescent="0.2">
      <c r="A6411" s="129">
        <v>6350</v>
      </c>
      <c r="D6411" s="2" t="str">
        <f t="shared" si="99"/>
        <v>OK</v>
      </c>
      <c r="E6411" s="2" t="s">
        <v>190</v>
      </c>
      <c r="F6411" s="1" t="s">
        <v>1926</v>
      </c>
    </row>
    <row r="6412" spans="1:6" x14ac:dyDescent="0.2">
      <c r="A6412" s="129">
        <v>6351</v>
      </c>
      <c r="D6412" s="2" t="str">
        <f t="shared" si="99"/>
        <v>OK</v>
      </c>
      <c r="E6412" s="2" t="s">
        <v>190</v>
      </c>
      <c r="F6412" s="1" t="s">
        <v>1926</v>
      </c>
    </row>
    <row r="6413" spans="1:6" x14ac:dyDescent="0.2">
      <c r="A6413" s="129">
        <v>6352</v>
      </c>
      <c r="D6413" s="2" t="str">
        <f t="shared" si="99"/>
        <v>OK</v>
      </c>
      <c r="E6413" s="2" t="s">
        <v>190</v>
      </c>
      <c r="F6413" s="1" t="s">
        <v>1926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127887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1926</v>
      </c>
    </row>
    <row r="6842" spans="1:5" x14ac:dyDescent="0.2">
      <c r="A6842" s="129">
        <v>6781</v>
      </c>
      <c r="D6842" s="2" t="str">
        <f t="shared" si="105"/>
        <v>OK</v>
      </c>
      <c r="E6842" s="1" t="s">
        <v>1926</v>
      </c>
    </row>
    <row r="6843" spans="1:5" x14ac:dyDescent="0.2">
      <c r="A6843" s="129">
        <v>6782</v>
      </c>
      <c r="D6843" s="2" t="str">
        <f t="shared" si="105"/>
        <v>OK</v>
      </c>
      <c r="E6843" s="1" t="s">
        <v>1926</v>
      </c>
    </row>
    <row r="6844" spans="1:5" x14ac:dyDescent="0.2">
      <c r="A6844">
        <v>6783</v>
      </c>
      <c r="B6844" s="138">
        <f>'Expenditures 15-22'!I5</f>
        <v>4890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172971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514756</v>
      </c>
      <c r="D6878" s="2" t="str">
        <f t="shared" si="106"/>
        <v>Error?</v>
      </c>
    </row>
    <row r="6879" spans="1:4" x14ac:dyDescent="0.2">
      <c r="A6879">
        <v>6818</v>
      </c>
      <c r="B6879" s="138">
        <f>'Expenditures 15-22'!K21</f>
        <v>514756</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4890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27350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27350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2741</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2741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1813</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1813</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8023</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8023</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39927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87565</v>
      </c>
      <c r="D7016" s="2" t="str">
        <f t="shared" si="108"/>
        <v>Error?</v>
      </c>
    </row>
    <row r="7017" spans="1:4" x14ac:dyDescent="0.2">
      <c r="A7017">
        <v>6956</v>
      </c>
      <c r="B7017" s="138">
        <f>'Expenditures 15-22'!K111</f>
        <v>87565</v>
      </c>
      <c r="D7017" s="2" t="str">
        <f t="shared" si="108"/>
        <v>Error?</v>
      </c>
    </row>
    <row r="7018" spans="1:4" x14ac:dyDescent="0.2">
      <c r="A7018">
        <v>6957</v>
      </c>
      <c r="B7018" s="138">
        <f>'Expenditures 15-22'!H112</f>
        <v>87565</v>
      </c>
      <c r="D7018" s="2" t="str">
        <f t="shared" si="108"/>
        <v>Error?</v>
      </c>
    </row>
    <row r="7019" spans="1:4" x14ac:dyDescent="0.2">
      <c r="A7019">
        <v>6958</v>
      </c>
      <c r="B7019" s="138">
        <f>'Expenditures 15-22'!K112</f>
        <v>87565</v>
      </c>
      <c r="D7019" s="2" t="str">
        <f t="shared" si="108"/>
        <v>Error?</v>
      </c>
    </row>
    <row r="7020" spans="1:4" x14ac:dyDescent="0.2">
      <c r="A7020">
        <v>6959</v>
      </c>
      <c r="B7020" s="138">
        <f>'Expenditures 15-22'!I114</f>
        <v>44817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4432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4432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4432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32053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4432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103794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32053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32053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32053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32053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32053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32053</v>
      </c>
      <c r="D7224" s="2" t="str">
        <f t="shared" si="111"/>
        <v>Error?</v>
      </c>
    </row>
    <row r="7225" spans="1:4" x14ac:dyDescent="0.2">
      <c r="A7225">
        <v>7164</v>
      </c>
      <c r="B7225" s="138">
        <f>'Expenditures 15-22'!K343</f>
        <v>71741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44878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206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49249</v>
      </c>
      <c r="D7624" s="2" t="str">
        <f t="shared" si="124"/>
        <v>Error?</v>
      </c>
      <c r="E7624" s="2" t="s">
        <v>19</v>
      </c>
    </row>
    <row r="7625" spans="1:5" x14ac:dyDescent="0.2">
      <c r="A7625">
        <f t="shared" si="123"/>
        <v>7564</v>
      </c>
      <c r="B7625" s="138">
        <f>'Cap Outlay Deprec 26'!I17</f>
        <v>4924.8999999999996</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1815730.9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4504398</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1843</v>
      </c>
    </row>
    <row r="7775" spans="1:5" x14ac:dyDescent="0.2">
      <c r="A7775">
        <v>7714</v>
      </c>
      <c r="B7775" s="138">
        <f>'Expenditures 15-22'!H133</f>
        <v>0</v>
      </c>
      <c r="D7775" s="2" t="str">
        <f t="shared" si="127"/>
        <v>Error?</v>
      </c>
      <c r="E7775" s="4" t="s">
        <v>1843</v>
      </c>
    </row>
    <row r="7776" spans="1:5" x14ac:dyDescent="0.2">
      <c r="A7776">
        <v>7715</v>
      </c>
      <c r="B7776" s="138">
        <f>'Expenditures 15-22'!K133</f>
        <v>0</v>
      </c>
      <c r="D7776" s="2" t="str">
        <f t="shared" si="127"/>
        <v>Error?</v>
      </c>
      <c r="E7776" s="4" t="s">
        <v>1843</v>
      </c>
    </row>
    <row r="7777" spans="1:5" x14ac:dyDescent="0.2">
      <c r="A7777">
        <v>7716</v>
      </c>
      <c r="B7777" s="138">
        <f>'Expenditures 15-22'!H157</f>
        <v>0</v>
      </c>
      <c r="D7777" s="2" t="str">
        <f t="shared" si="127"/>
        <v>Error?</v>
      </c>
      <c r="E7777" s="4" t="s">
        <v>1843</v>
      </c>
    </row>
    <row r="7778" spans="1:5" x14ac:dyDescent="0.2">
      <c r="A7778">
        <v>7717</v>
      </c>
      <c r="B7778" s="138">
        <f>'Expenditures 15-22'!K157</f>
        <v>0</v>
      </c>
      <c r="D7778" s="2" t="str">
        <f t="shared" si="127"/>
        <v>Error?</v>
      </c>
      <c r="E7778" s="4" t="s">
        <v>1843</v>
      </c>
    </row>
    <row r="7779" spans="1:5" x14ac:dyDescent="0.2">
      <c r="A7779">
        <v>7718</v>
      </c>
      <c r="B7779" s="138">
        <f>'Expenditures 15-22'!H158</f>
        <v>0</v>
      </c>
      <c r="D7779" s="2" t="str">
        <f t="shared" si="127"/>
        <v>Error?</v>
      </c>
      <c r="E7779" s="4" t="s">
        <v>1843</v>
      </c>
    </row>
    <row r="7780" spans="1:5" x14ac:dyDescent="0.2">
      <c r="A7780">
        <v>7719</v>
      </c>
      <c r="B7780" s="138">
        <f>'Expenditures 15-22'!K158</f>
        <v>0</v>
      </c>
      <c r="D7780" s="2" t="str">
        <f t="shared" si="127"/>
        <v>Error?</v>
      </c>
      <c r="E7780" s="4" t="s">
        <v>1843</v>
      </c>
    </row>
    <row r="7781" spans="1:5" x14ac:dyDescent="0.2">
      <c r="A7781">
        <v>7720</v>
      </c>
      <c r="B7781" s="138">
        <f>'Expenditures 15-22'!H159</f>
        <v>0</v>
      </c>
      <c r="D7781" s="2" t="str">
        <f t="shared" si="127"/>
        <v>Error?</v>
      </c>
      <c r="E7781" s="4" t="s">
        <v>1843</v>
      </c>
    </row>
    <row r="7782" spans="1:5" x14ac:dyDescent="0.2">
      <c r="A7782">
        <v>7721</v>
      </c>
      <c r="B7782" s="138">
        <f>'Expenditures 15-22'!K159</f>
        <v>0</v>
      </c>
      <c r="D7782" s="2" t="str">
        <f t="shared" si="127"/>
        <v>Error?</v>
      </c>
      <c r="E7782" s="4" t="s">
        <v>1843</v>
      </c>
    </row>
    <row r="7783" spans="1:5" x14ac:dyDescent="0.2">
      <c r="A7783">
        <v>7722</v>
      </c>
      <c r="B7783" s="138">
        <f>'Expenditures 15-22'!D282</f>
        <v>0</v>
      </c>
      <c r="D7783" s="2" t="str">
        <f t="shared" si="127"/>
        <v>Error?</v>
      </c>
      <c r="E7783" s="4" t="s">
        <v>1843</v>
      </c>
    </row>
    <row r="7784" spans="1:5" x14ac:dyDescent="0.2">
      <c r="A7784">
        <v>7723</v>
      </c>
      <c r="B7784" s="138">
        <f>'Expenditures 15-22'!K282</f>
        <v>0</v>
      </c>
      <c r="D7784" s="2" t="str">
        <f t="shared" si="127"/>
        <v>Error?</v>
      </c>
      <c r="E7784" s="4" t="s">
        <v>1843</v>
      </c>
    </row>
    <row r="7785" spans="1:5" x14ac:dyDescent="0.2">
      <c r="A7785">
        <v>7724</v>
      </c>
      <c r="B7785" s="138">
        <f>'Expenditures 15-22'!H332</f>
        <v>0</v>
      </c>
      <c r="D7785" s="2" t="str">
        <f t="shared" si="127"/>
        <v>Error?</v>
      </c>
      <c r="E7785" s="4" t="s">
        <v>1843</v>
      </c>
    </row>
    <row r="7786" spans="1:5" x14ac:dyDescent="0.2">
      <c r="A7786">
        <v>7725</v>
      </c>
      <c r="B7786" s="138">
        <f>'Expenditures 15-22'!K332</f>
        <v>0</v>
      </c>
      <c r="D7786" s="2" t="str">
        <f t="shared" si="127"/>
        <v>Error?</v>
      </c>
      <c r="E7786" s="4" t="s">
        <v>1843</v>
      </c>
    </row>
    <row r="7787" spans="1:5" x14ac:dyDescent="0.2">
      <c r="A7787">
        <v>7726</v>
      </c>
      <c r="B7787" s="138">
        <f>'Expenditures 15-22'!H333</f>
        <v>0</v>
      </c>
      <c r="D7787" s="2" t="str">
        <f t="shared" si="127"/>
        <v>Error?</v>
      </c>
      <c r="E7787" s="4" t="s">
        <v>1843</v>
      </c>
    </row>
    <row r="7788" spans="1:5" x14ac:dyDescent="0.2">
      <c r="A7788">
        <v>7727</v>
      </c>
      <c r="B7788" s="138">
        <f>'Expenditures 15-22'!K333</f>
        <v>0</v>
      </c>
      <c r="D7788" s="2" t="str">
        <f t="shared" si="127"/>
        <v>Error?</v>
      </c>
      <c r="E7788" s="4" t="s">
        <v>1843</v>
      </c>
    </row>
    <row r="7789" spans="1:5" x14ac:dyDescent="0.2">
      <c r="A7789">
        <v>7728</v>
      </c>
      <c r="B7789" s="138">
        <f>'Expenditures 15-22'!H334</f>
        <v>0</v>
      </c>
      <c r="D7789" s="2" t="str">
        <f t="shared" si="127"/>
        <v>Error?</v>
      </c>
      <c r="E7789" s="4" t="s">
        <v>1843</v>
      </c>
    </row>
    <row r="7790" spans="1:5" x14ac:dyDescent="0.2">
      <c r="A7790">
        <v>7729</v>
      </c>
      <c r="B7790" s="138">
        <f>'Expenditures 15-22'!K334</f>
        <v>0</v>
      </c>
      <c r="D7790" s="2" t="str">
        <f t="shared" si="127"/>
        <v>Error?</v>
      </c>
      <c r="E7790" s="4" t="s">
        <v>1843</v>
      </c>
    </row>
    <row r="7791" spans="1:5" x14ac:dyDescent="0.2">
      <c r="A7791">
        <v>7730</v>
      </c>
      <c r="B7791" s="138">
        <f>'Expenditures 15-22'!H354</f>
        <v>0</v>
      </c>
      <c r="D7791" s="2" t="str">
        <f t="shared" si="127"/>
        <v>Error?</v>
      </c>
      <c r="E7791" s="4" t="s">
        <v>1843</v>
      </c>
    </row>
    <row r="7792" spans="1:5" x14ac:dyDescent="0.2">
      <c r="A7792">
        <v>7731</v>
      </c>
      <c r="B7792" s="138">
        <f>'Expenditures 15-22'!K354</f>
        <v>0</v>
      </c>
      <c r="D7792" s="2" t="str">
        <f t="shared" si="127"/>
        <v>Error?</v>
      </c>
      <c r="E7792" s="4" t="s">
        <v>1843</v>
      </c>
    </row>
    <row r="7793" spans="1:5" x14ac:dyDescent="0.2">
      <c r="A7793">
        <v>7732</v>
      </c>
      <c r="B7793" s="138">
        <f>'Expenditures 15-22'!H355</f>
        <v>0</v>
      </c>
      <c r="D7793" s="2" t="str">
        <f t="shared" si="127"/>
        <v>Error?</v>
      </c>
      <c r="E7793" s="4" t="s">
        <v>1843</v>
      </c>
    </row>
    <row r="7794" spans="1:5" x14ac:dyDescent="0.2">
      <c r="A7794">
        <v>7733</v>
      </c>
      <c r="B7794" s="138">
        <f>'Expenditures 15-22'!K355</f>
        <v>0</v>
      </c>
      <c r="D7794" s="2" t="str">
        <f t="shared" si="127"/>
        <v>Error?</v>
      </c>
      <c r="E7794" s="4" t="s">
        <v>1843</v>
      </c>
    </row>
    <row r="7795" spans="1:5" x14ac:dyDescent="0.2">
      <c r="A7795">
        <v>7734</v>
      </c>
      <c r="B7795" s="138">
        <f>'Expenditures 15-22'!E138</f>
        <v>0</v>
      </c>
      <c r="D7795" s="2" t="str">
        <f t="shared" si="127"/>
        <v>Error?</v>
      </c>
      <c r="E7795" s="4" t="s">
        <v>1843</v>
      </c>
    </row>
    <row r="7796" spans="1:5" x14ac:dyDescent="0.2">
      <c r="A7796">
        <v>7735</v>
      </c>
      <c r="B7796" s="138">
        <f>'Acct Summary 7-8'!J15</f>
        <v>0</v>
      </c>
      <c r="D7796" s="2" t="str">
        <f t="shared" si="127"/>
        <v>Error?</v>
      </c>
      <c r="E7796" s="4" t="s">
        <v>1843</v>
      </c>
    </row>
    <row r="7797" spans="1:5" x14ac:dyDescent="0.2">
      <c r="A7797">
        <v>7736</v>
      </c>
      <c r="B7797" s="138">
        <f>'Contracts Paid in CY 29'!D142</f>
        <v>2062241.44</v>
      </c>
      <c r="D7797" s="2" t="str">
        <f t="shared" si="127"/>
        <v>Error?</v>
      </c>
      <c r="E7797" s="4" t="s">
        <v>1892</v>
      </c>
    </row>
    <row r="7798" spans="1:5" x14ac:dyDescent="0.2">
      <c r="A7798">
        <v>7737</v>
      </c>
      <c r="B7798" s="138">
        <f>'Contracts Paid in CY 29'!F142</f>
        <v>543490</v>
      </c>
      <c r="D7798" s="2" t="str">
        <f t="shared" si="127"/>
        <v>Error?</v>
      </c>
      <c r="E7798" s="4" t="s">
        <v>1892</v>
      </c>
    </row>
    <row r="7799" spans="1:5" x14ac:dyDescent="0.2">
      <c r="A7799">
        <v>7738</v>
      </c>
      <c r="B7799" s="138">
        <f>'Contracts Paid in CY 29'!G142</f>
        <v>1518751.44</v>
      </c>
      <c r="D7799" s="2" t="str">
        <f t="shared" si="127"/>
        <v>Error?</v>
      </c>
      <c r="E7799" s="4" t="s">
        <v>1892</v>
      </c>
    </row>
    <row r="7800" spans="1:5" x14ac:dyDescent="0.2">
      <c r="A7800">
        <v>7739</v>
      </c>
      <c r="D7800" s="2" t="str">
        <f t="shared" si="127"/>
        <v>OK</v>
      </c>
    </row>
    <row r="7801" spans="1:5" x14ac:dyDescent="0.2">
      <c r="A7801">
        <v>7740</v>
      </c>
      <c r="B7801" s="138">
        <f>'Revenues 9-14'!C120</f>
        <v>0</v>
      </c>
      <c r="D7801" s="2" t="str">
        <f t="shared" si="127"/>
        <v>Error?</v>
      </c>
      <c r="E7801" s="4" t="s">
        <v>1928</v>
      </c>
    </row>
    <row r="7802" spans="1:5" x14ac:dyDescent="0.2">
      <c r="A7802">
        <v>7741</v>
      </c>
      <c r="B7802" s="138">
        <f>'Revenues 9-14'!D120</f>
        <v>0</v>
      </c>
      <c r="D7802" s="2" t="str">
        <f t="shared" si="127"/>
        <v>Error?</v>
      </c>
      <c r="E7802" s="4" t="s">
        <v>1928</v>
      </c>
    </row>
    <row r="7803" spans="1:5" x14ac:dyDescent="0.2">
      <c r="A7803">
        <v>7742</v>
      </c>
      <c r="B7803" s="138">
        <f>'Revenues 9-14'!E120</f>
        <v>0</v>
      </c>
      <c r="D7803" s="2" t="str">
        <f t="shared" si="127"/>
        <v>Error?</v>
      </c>
      <c r="E7803" s="4" t="s">
        <v>1928</v>
      </c>
    </row>
    <row r="7804" spans="1:5" x14ac:dyDescent="0.2">
      <c r="A7804">
        <v>7743</v>
      </c>
      <c r="B7804" s="138">
        <f>'Revenues 9-14'!F120</f>
        <v>0</v>
      </c>
      <c r="D7804" s="2" t="str">
        <f t="shared" si="127"/>
        <v>Error?</v>
      </c>
      <c r="E7804" s="4" t="s">
        <v>1928</v>
      </c>
    </row>
    <row r="7805" spans="1:5" x14ac:dyDescent="0.2">
      <c r="A7805">
        <v>7744</v>
      </c>
      <c r="B7805" s="138">
        <f>'Revenues 9-14'!G120</f>
        <v>0</v>
      </c>
      <c r="D7805" s="2" t="str">
        <f t="shared" si="127"/>
        <v>Error?</v>
      </c>
      <c r="E7805" s="4" t="s">
        <v>1928</v>
      </c>
    </row>
    <row r="7806" spans="1:5" x14ac:dyDescent="0.2">
      <c r="A7806">
        <v>7745</v>
      </c>
      <c r="B7806" s="138">
        <f>'Revenues 9-14'!H120</f>
        <v>0</v>
      </c>
      <c r="D7806" s="2" t="str">
        <f t="shared" si="127"/>
        <v>Error?</v>
      </c>
      <c r="E7806" s="4" t="s">
        <v>1928</v>
      </c>
    </row>
    <row r="7807" spans="1:5" x14ac:dyDescent="0.2">
      <c r="A7807">
        <v>7746</v>
      </c>
      <c r="B7807" s="138">
        <f>'Revenues 9-14'!J120</f>
        <v>0</v>
      </c>
      <c r="D7807" s="2" t="str">
        <f t="shared" ref="D7807:D7816" si="128">IF(ISBLANK(B7807),"OK",IF(A7807-B7807=0,"OK","Error?"))</f>
        <v>Error?</v>
      </c>
      <c r="E7807" s="4" t="s">
        <v>1928</v>
      </c>
    </row>
    <row r="7808" spans="1:5" x14ac:dyDescent="0.2">
      <c r="A7808">
        <v>7747</v>
      </c>
      <c r="B7808" s="138">
        <f>'Revenues 9-14'!K120</f>
        <v>0</v>
      </c>
      <c r="D7808" s="2" t="str">
        <f t="shared" si="128"/>
        <v>Error?</v>
      </c>
      <c r="E7808" s="4" t="s">
        <v>1928</v>
      </c>
    </row>
    <row r="7809" spans="1:5" x14ac:dyDescent="0.2">
      <c r="A7809">
        <v>7748</v>
      </c>
      <c r="B7809" s="138">
        <f>'Revenues 9-14'!C261</f>
        <v>0</v>
      </c>
      <c r="D7809" s="2" t="str">
        <f t="shared" si="128"/>
        <v>Error?</v>
      </c>
      <c r="E7809" s="4" t="s">
        <v>1929</v>
      </c>
    </row>
    <row r="7810" spans="1:5" x14ac:dyDescent="0.2">
      <c r="A7810">
        <v>7749</v>
      </c>
      <c r="B7810" s="138">
        <f>'Revenues 9-14'!D261</f>
        <v>0</v>
      </c>
      <c r="D7810" s="2" t="str">
        <f t="shared" si="128"/>
        <v>Error?</v>
      </c>
      <c r="E7810" s="4" t="s">
        <v>1929</v>
      </c>
    </row>
    <row r="7811" spans="1:5" x14ac:dyDescent="0.2">
      <c r="A7811">
        <v>7750</v>
      </c>
      <c r="B7811" s="138">
        <f>'Revenues 9-14'!F261</f>
        <v>0</v>
      </c>
      <c r="D7811" s="2" t="str">
        <f t="shared" si="128"/>
        <v>Error?</v>
      </c>
      <c r="E7811" s="4" t="s">
        <v>1929</v>
      </c>
    </row>
    <row r="7812" spans="1:5" x14ac:dyDescent="0.2">
      <c r="A7812">
        <v>7751</v>
      </c>
      <c r="B7812" s="138">
        <f>'Revenues 9-14'!G261</f>
        <v>0</v>
      </c>
      <c r="D7812" s="2" t="str">
        <f t="shared" si="128"/>
        <v>Error?</v>
      </c>
      <c r="E7812" s="4" t="s">
        <v>1929</v>
      </c>
    </row>
    <row r="7813" spans="1:5" x14ac:dyDescent="0.2">
      <c r="A7813">
        <v>7752</v>
      </c>
      <c r="B7813" s="138">
        <f>'Revenues 9-14'!C262</f>
        <v>0</v>
      </c>
      <c r="D7813" s="2" t="str">
        <f t="shared" si="128"/>
        <v>Error?</v>
      </c>
      <c r="E7813" s="4" t="s">
        <v>1930</v>
      </c>
    </row>
    <row r="7814" spans="1:5" x14ac:dyDescent="0.2">
      <c r="A7814">
        <v>7753</v>
      </c>
      <c r="B7814" s="138">
        <f>'Revenues 9-14'!D262</f>
        <v>0</v>
      </c>
      <c r="D7814" s="2" t="str">
        <f t="shared" si="128"/>
        <v>Error?</v>
      </c>
      <c r="E7814" s="4" t="s">
        <v>1930</v>
      </c>
    </row>
    <row r="7815" spans="1:5" x14ac:dyDescent="0.2">
      <c r="A7815">
        <v>7754</v>
      </c>
      <c r="B7815" s="138">
        <f>'Revenues 9-14'!F262</f>
        <v>0</v>
      </c>
      <c r="D7815" s="2" t="str">
        <f t="shared" si="128"/>
        <v>Error?</v>
      </c>
      <c r="E7815" s="4" t="s">
        <v>1930</v>
      </c>
    </row>
    <row r="7816" spans="1:5" x14ac:dyDescent="0.2">
      <c r="A7816">
        <v>7755</v>
      </c>
      <c r="B7816" s="138">
        <f>'Revenues 9-14'!G262</f>
        <v>0</v>
      </c>
      <c r="D7816" s="2" t="str">
        <f t="shared" si="128"/>
        <v>Error?</v>
      </c>
      <c r="E7816" s="4" t="s">
        <v>1930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B48" sqref="B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7" t="s">
        <v>1191</v>
      </c>
      <c r="B2" s="2387"/>
      <c r="C2" s="2387"/>
      <c r="D2" s="2387"/>
      <c r="E2" s="2387"/>
      <c r="F2" s="2387"/>
      <c r="G2" s="2387"/>
      <c r="H2" s="2387"/>
      <c r="I2" s="2387"/>
      <c r="J2" s="2387"/>
      <c r="K2" s="2387"/>
      <c r="L2" s="2387"/>
    </row>
    <row r="3" spans="1:29" ht="13.5" customHeight="1" x14ac:dyDescent="0.2">
      <c r="A3" s="2418" t="s">
        <v>1190</v>
      </c>
      <c r="B3" s="2418"/>
      <c r="C3" s="2418"/>
      <c r="D3" s="2418"/>
      <c r="E3" s="2418"/>
      <c r="F3" s="2418"/>
      <c r="G3" s="2418"/>
      <c r="H3" s="2418"/>
      <c r="I3" s="2418"/>
      <c r="J3" s="2418"/>
      <c r="K3" s="2418"/>
      <c r="L3" s="2418"/>
    </row>
    <row r="4" spans="1:29" ht="13.5" customHeight="1" x14ac:dyDescent="0.2">
      <c r="A4" s="2387" t="s">
        <v>1976</v>
      </c>
      <c r="B4" s="2408"/>
      <c r="C4" s="2408"/>
      <c r="D4" s="2408"/>
      <c r="E4" s="2408"/>
      <c r="F4" s="2408"/>
      <c r="G4" s="2408"/>
      <c r="H4" s="2408"/>
      <c r="I4" s="2408"/>
      <c r="J4" s="2408"/>
      <c r="K4" s="2408"/>
      <c r="L4" s="240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9" t="str">
        <f>COVER!A17</f>
        <v>Bourbonnais SD 53</v>
      </c>
      <c r="B7" s="2410"/>
      <c r="C7" s="2410"/>
      <c r="D7" s="2411"/>
      <c r="E7" s="2412">
        <f>COVER!A13</f>
        <v>32046053002</v>
      </c>
      <c r="F7" s="2413"/>
      <c r="G7" s="2419">
        <f>COVER!T23</f>
        <v>65.023278000000005</v>
      </c>
      <c r="H7" s="2420"/>
      <c r="I7" s="2420"/>
      <c r="J7" s="2420"/>
      <c r="K7" s="2420"/>
      <c r="L7" s="2421"/>
    </row>
    <row r="8" spans="1:29" ht="13.5" customHeight="1" x14ac:dyDescent="0.2">
      <c r="A8" s="1184" t="s">
        <v>1516</v>
      </c>
      <c r="B8" s="1185"/>
      <c r="C8" s="1186"/>
      <c r="D8" s="1186"/>
      <c r="E8" s="1191"/>
      <c r="F8" s="1190"/>
      <c r="G8" s="1192" t="s">
        <v>1186</v>
      </c>
      <c r="H8" s="1193"/>
      <c r="I8" s="1193"/>
      <c r="J8" s="1193"/>
      <c r="K8" s="1193"/>
      <c r="L8" s="1194"/>
    </row>
    <row r="9" spans="1:29" ht="13.5" customHeight="1" x14ac:dyDescent="0.2">
      <c r="A9" s="2422"/>
      <c r="B9" s="2423"/>
      <c r="C9" s="2423"/>
      <c r="D9" s="2423"/>
      <c r="E9" s="2423"/>
      <c r="F9" s="2424"/>
      <c r="G9" s="2393" t="str">
        <f>COVER!T13</f>
        <v>Jodi K. Gill, CPA</v>
      </c>
      <c r="H9" s="2425"/>
      <c r="I9" s="2425"/>
      <c r="J9" s="2425"/>
      <c r="K9" s="2425"/>
      <c r="L9" s="2426"/>
    </row>
    <row r="10" spans="1:29" ht="13.5" customHeight="1" x14ac:dyDescent="0.2">
      <c r="A10" s="2399" t="str">
        <f>COVER!A38</f>
        <v>Margaret Longo</v>
      </c>
      <c r="B10" s="2400"/>
      <c r="C10" s="2400"/>
      <c r="D10" s="2400"/>
      <c r="E10" s="2400"/>
      <c r="F10" s="2401"/>
      <c r="G10" s="2393" t="str">
        <f>COVER!T17</f>
        <v>33 N. Main Street, Ste. #1</v>
      </c>
      <c r="H10" s="2394"/>
      <c r="I10" s="2394"/>
      <c r="J10" s="2394"/>
      <c r="K10" s="2394"/>
      <c r="L10" s="2395"/>
    </row>
    <row r="11" spans="1:29" ht="13.5" customHeight="1" x14ac:dyDescent="0.2">
      <c r="A11" s="1184" t="s">
        <v>1518</v>
      </c>
      <c r="B11" s="1185"/>
      <c r="C11" s="1186"/>
      <c r="D11" s="1191"/>
      <c r="E11" s="1186"/>
      <c r="F11" s="1190"/>
      <c r="G11" s="2393" t="str">
        <f>COVER!T19</f>
        <v>Manteno</v>
      </c>
      <c r="H11" s="2394"/>
      <c r="I11" s="2394"/>
      <c r="J11" s="2394"/>
      <c r="K11" s="2394"/>
      <c r="L11" s="2395"/>
    </row>
    <row r="12" spans="1:29" ht="13.5" customHeight="1" x14ac:dyDescent="0.2">
      <c r="A12" s="2402" t="s">
        <v>1517</v>
      </c>
      <c r="B12" s="2403"/>
      <c r="C12" s="2403"/>
      <c r="D12" s="2403"/>
      <c r="E12" s="2403"/>
      <c r="F12" s="2404"/>
      <c r="G12" s="2396"/>
      <c r="H12" s="2397"/>
      <c r="I12" s="2397"/>
      <c r="J12" s="2397"/>
      <c r="K12" s="2397"/>
      <c r="L12" s="2398"/>
    </row>
    <row r="13" spans="1:29" ht="13.5" customHeight="1" x14ac:dyDescent="0.2">
      <c r="A13" s="2393"/>
      <c r="B13" s="2394"/>
      <c r="C13" s="2394"/>
      <c r="D13" s="2394"/>
      <c r="E13" s="2394"/>
      <c r="F13" s="2395"/>
      <c r="G13" s="2388" t="s">
        <v>1519</v>
      </c>
      <c r="H13" s="2389"/>
      <c r="I13" s="2405" t="str">
        <f>COVER!T25</f>
        <v>jodi@jodigillcpa.com</v>
      </c>
      <c r="J13" s="2406"/>
      <c r="K13" s="2406"/>
      <c r="L13" s="2407"/>
    </row>
    <row r="14" spans="1:29" ht="13.5" customHeight="1" x14ac:dyDescent="0.2">
      <c r="A14" s="2393" t="str">
        <f>COVER!A19</f>
        <v>281 John Casey Road</v>
      </c>
      <c r="B14" s="2394"/>
      <c r="C14" s="2394"/>
      <c r="D14" s="2394"/>
      <c r="E14" s="2394"/>
      <c r="F14" s="2395"/>
      <c r="G14" s="1195" t="s">
        <v>1185</v>
      </c>
      <c r="H14" s="1193"/>
      <c r="I14" s="1193"/>
      <c r="J14" s="1193"/>
      <c r="K14" s="1193"/>
      <c r="L14" s="1194"/>
    </row>
    <row r="15" spans="1:29" ht="13.5" customHeight="1" x14ac:dyDescent="0.2">
      <c r="A15" s="2393" t="str">
        <f>COVER!A21</f>
        <v>Bourbonnais</v>
      </c>
      <c r="B15" s="2394"/>
      <c r="C15" s="2394"/>
      <c r="D15" s="2394"/>
      <c r="E15" s="2394"/>
      <c r="F15" s="2395"/>
      <c r="G15" s="2390" t="str">
        <f>COVER!T15</f>
        <v>Jodi Gill</v>
      </c>
      <c r="H15" s="2391"/>
      <c r="I15" s="2391"/>
      <c r="J15" s="2391"/>
      <c r="K15" s="2391"/>
      <c r="L15" s="2392"/>
    </row>
    <row r="16" spans="1:29" ht="12.2" customHeight="1" x14ac:dyDescent="0.2">
      <c r="A16" s="2415">
        <f>COVER!A25</f>
        <v>60914</v>
      </c>
      <c r="B16" s="2416"/>
      <c r="C16" s="2416"/>
      <c r="D16" s="2416"/>
      <c r="E16" s="2416"/>
      <c r="F16" s="2417"/>
      <c r="G16" s="2427"/>
      <c r="H16" s="2428"/>
      <c r="I16" s="2428"/>
      <c r="J16" s="2428"/>
      <c r="K16" s="2428"/>
      <c r="L16" s="2429"/>
    </row>
    <row r="17" spans="1:13" ht="12.2" customHeight="1" x14ac:dyDescent="0.2">
      <c r="A17" s="2430"/>
      <c r="B17" s="2416"/>
      <c r="C17" s="2416"/>
      <c r="D17" s="2416"/>
      <c r="E17" s="2416"/>
      <c r="F17" s="2417"/>
      <c r="G17" s="1195" t="s">
        <v>1184</v>
      </c>
      <c r="H17" s="1193"/>
      <c r="I17" s="1193"/>
      <c r="J17" s="1193"/>
      <c r="K17" s="1197" t="s">
        <v>1183</v>
      </c>
      <c r="L17" s="1190"/>
      <c r="M17" s="1183"/>
    </row>
    <row r="18" spans="1:13" ht="12.2" customHeight="1" x14ac:dyDescent="0.2">
      <c r="A18" s="2399"/>
      <c r="B18" s="2400"/>
      <c r="C18" s="2400"/>
      <c r="D18" s="2400"/>
      <c r="E18" s="2400"/>
      <c r="F18" s="2401"/>
      <c r="G18" s="2409" t="str">
        <f>COVER!T21</f>
        <v>815-468-88802</v>
      </c>
      <c r="H18" s="2410"/>
      <c r="I18" s="2410"/>
      <c r="J18" s="2410"/>
      <c r="K18" s="2409" t="str">
        <f>COVER!X21</f>
        <v>815-468-8805</v>
      </c>
      <c r="L18" s="241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1694</v>
      </c>
    </row>
    <row r="22" spans="1:13" ht="12.2" customHeight="1" x14ac:dyDescent="0.2">
      <c r="A22" s="1200"/>
    </row>
    <row r="23" spans="1:13" ht="12.2" customHeight="1" x14ac:dyDescent="0.2">
      <c r="A23" s="1200"/>
      <c r="B23" s="1201" t="s">
        <v>2054</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2054</v>
      </c>
      <c r="C26" s="1202" t="s">
        <v>1695</v>
      </c>
    </row>
    <row r="27" spans="1:13" s="1198" customFormat="1" ht="9" customHeight="1" x14ac:dyDescent="0.2">
      <c r="B27" s="1203"/>
      <c r="C27" s="1202"/>
    </row>
    <row r="28" spans="1:13" s="1198" customFormat="1" ht="12.2" customHeight="1" x14ac:dyDescent="0.2">
      <c r="A28" s="1205"/>
      <c r="B28" s="1201" t="s">
        <v>2054</v>
      </c>
      <c r="C28" s="1202" t="s">
        <v>1696</v>
      </c>
    </row>
    <row r="29" spans="1:13" s="1198" customFormat="1" ht="9" customHeight="1" x14ac:dyDescent="0.2">
      <c r="A29" s="1205"/>
      <c r="B29" s="1203"/>
      <c r="C29" s="1202"/>
    </row>
    <row r="30" spans="1:13" s="1198" customFormat="1" ht="12.2" customHeight="1" x14ac:dyDescent="0.2">
      <c r="B30" s="1201" t="s">
        <v>2054</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2054</v>
      </c>
      <c r="C32" s="1202" t="s">
        <v>1562</v>
      </c>
      <c r="D32" s="1196"/>
      <c r="E32" s="1196"/>
    </row>
    <row r="33" spans="1:8" s="1198" customFormat="1" ht="10.9" customHeight="1" x14ac:dyDescent="0.2">
      <c r="B33" s="1203"/>
      <c r="C33" s="1206" t="s">
        <v>1697</v>
      </c>
      <c r="D33" s="1196"/>
      <c r="E33" s="1196"/>
    </row>
    <row r="34" spans="1:8" ht="9" customHeight="1" x14ac:dyDescent="0.2">
      <c r="B34" s="1203"/>
      <c r="C34" s="1206"/>
    </row>
    <row r="35" spans="1:8" s="1198" customFormat="1" ht="13.5" customHeight="1" x14ac:dyDescent="0.2">
      <c r="B35" s="1201" t="s">
        <v>2054</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2054</v>
      </c>
      <c r="C38" s="1202" t="s">
        <v>1565</v>
      </c>
    </row>
    <row r="39" spans="1:8" ht="9" customHeight="1" x14ac:dyDescent="0.2">
      <c r="B39" s="1203"/>
      <c r="C39" s="1206"/>
    </row>
    <row r="40" spans="1:8" s="1198" customFormat="1" ht="13.5" customHeight="1" x14ac:dyDescent="0.2">
      <c r="B40" s="1201" t="s">
        <v>2054</v>
      </c>
      <c r="C40" s="1202" t="s">
        <v>1566</v>
      </c>
    </row>
    <row r="41" spans="1:8" ht="9" customHeight="1" x14ac:dyDescent="0.2">
      <c r="A41" s="1207"/>
      <c r="B41" s="1203"/>
      <c r="C41" s="1206"/>
    </row>
    <row r="42" spans="1:8" s="1198" customFormat="1" ht="13.5" customHeight="1" x14ac:dyDescent="0.2">
      <c r="B42" s="1201" t="s">
        <v>2054</v>
      </c>
      <c r="C42" s="1202" t="s">
        <v>1826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2054</v>
      </c>
      <c r="C46" s="1209" t="s">
        <v>1567</v>
      </c>
      <c r="D46" s="1196"/>
      <c r="E46" s="1196"/>
      <c r="F46" s="1196"/>
      <c r="G46" s="1196"/>
      <c r="H46" s="1196"/>
    </row>
    <row r="47" spans="1:8" ht="9" customHeight="1" x14ac:dyDescent="0.2"/>
    <row r="48" spans="1:8" ht="12.2" customHeight="1" x14ac:dyDescent="0.2">
      <c r="B48" s="1934" t="s">
        <v>2054</v>
      </c>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6" zoomScale="125" zoomScaleNormal="125" workbookViewId="0">
      <selection activeCell="B102" sqref="B10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Bourbonnais SD 53</v>
      </c>
      <c r="B1" s="2408"/>
      <c r="C1" s="2408"/>
      <c r="D1" s="2408"/>
    </row>
    <row r="2" spans="1:11" s="1212" customFormat="1" ht="12.75" x14ac:dyDescent="0.2">
      <c r="A2" s="2432">
        <f>'Single Audit Cover'!E7</f>
        <v>32046053002</v>
      </c>
      <c r="B2" s="2433"/>
      <c r="C2" s="2433"/>
      <c r="D2" s="2433"/>
    </row>
    <row r="3" spans="1:11" s="1212" customFormat="1" ht="12.75" x14ac:dyDescent="0.2">
      <c r="A3" s="2431" t="s">
        <v>1512</v>
      </c>
      <c r="B3" s="2408"/>
      <c r="C3" s="2408"/>
      <c r="D3" s="2408"/>
    </row>
    <row r="4" spans="1:11" s="1212" customFormat="1" ht="4.5" customHeight="1" x14ac:dyDescent="0.2">
      <c r="A4" s="1213"/>
      <c r="B4" s="1214"/>
      <c r="C4" s="1214"/>
      <c r="D4" s="1214"/>
    </row>
    <row r="5" spans="1:11" x14ac:dyDescent="0.2">
      <c r="B5" s="1216" t="s">
        <v>1513</v>
      </c>
      <c r="C5" s="1217"/>
      <c r="D5" s="1218"/>
    </row>
    <row r="6" spans="1:11" x14ac:dyDescent="0.2">
      <c r="B6" s="1216" t="s">
        <v>1225</v>
      </c>
      <c r="C6" s="1217"/>
      <c r="D6" s="1218"/>
    </row>
    <row r="7" spans="1:11" x14ac:dyDescent="0.2">
      <c r="B7" s="1216" t="s">
        <v>1514</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2054</v>
      </c>
      <c r="C11" s="1223">
        <v>1</v>
      </c>
      <c r="D11" s="1224" t="s">
        <v>1698</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2054</v>
      </c>
      <c r="C13" s="1223">
        <f>C11+1</f>
        <v>2</v>
      </c>
      <c r="D13" s="1227" t="s">
        <v>1699</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2054</v>
      </c>
      <c r="C15" s="1223">
        <f>C13+1</f>
        <v>3</v>
      </c>
      <c r="D15" s="1224" t="s">
        <v>1700</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2054</v>
      </c>
      <c r="C18" s="1223">
        <f>C15+1</f>
        <v>4</v>
      </c>
      <c r="D18" s="1230" t="s">
        <v>1701</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2054</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2054</v>
      </c>
      <c r="C24" s="1223">
        <f>C21+1</f>
        <v>6</v>
      </c>
      <c r="D24" s="1231" t="s">
        <v>1722</v>
      </c>
      <c r="E24" s="1225"/>
      <c r="F24" s="1225"/>
      <c r="G24" s="1225"/>
      <c r="H24" s="1225"/>
      <c r="I24" s="1225"/>
      <c r="J24" s="1225"/>
      <c r="K24" s="1225"/>
    </row>
    <row r="25" spans="1:11" x14ac:dyDescent="0.2">
      <c r="A25" s="1219"/>
      <c r="B25" s="1228"/>
      <c r="D25" s="1227" t="s">
        <v>1702</v>
      </c>
      <c r="E25" s="1225"/>
      <c r="F25" s="1225"/>
      <c r="G25" s="1225"/>
      <c r="H25" s="1225"/>
      <c r="I25" s="1225"/>
      <c r="J25" s="1225"/>
      <c r="K25" s="1225"/>
    </row>
    <row r="26" spans="1:11" x14ac:dyDescent="0.2">
      <c r="A26" s="1219"/>
      <c r="B26" s="1228"/>
      <c r="D26" s="1232" t="s">
        <v>1703</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2054</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2054</v>
      </c>
      <c r="C33" s="1223">
        <v>8</v>
      </c>
      <c r="D33" s="1234" t="s">
        <v>1218</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2054</v>
      </c>
      <c r="C36" s="1223">
        <f>C33+1</f>
        <v>9</v>
      </c>
      <c r="D36" s="1234" t="s">
        <v>1217</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t="s">
        <v>2054</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2054</v>
      </c>
      <c r="C48" s="1223">
        <f>C44+1</f>
        <v>13</v>
      </c>
      <c r="D48" s="1234" t="s">
        <v>1574</v>
      </c>
    </row>
    <row r="49" spans="1:4" ht="3" customHeight="1" x14ac:dyDescent="0.2">
      <c r="A49" s="1219"/>
      <c r="B49" s="1226"/>
      <c r="C49" s="1223"/>
      <c r="D49" s="1234"/>
    </row>
    <row r="50" spans="1:4" x14ac:dyDescent="0.2">
      <c r="A50" s="1219"/>
      <c r="B50" s="1222" t="s">
        <v>2054</v>
      </c>
      <c r="C50" s="1223">
        <f>C48+1</f>
        <v>14</v>
      </c>
      <c r="D50" s="1234" t="s">
        <v>1212</v>
      </c>
    </row>
    <row r="51" spans="1:4" ht="3" customHeight="1" x14ac:dyDescent="0.2">
      <c r="A51" s="1219"/>
      <c r="B51" s="1226"/>
      <c r="C51" s="1223"/>
      <c r="D51" s="1234"/>
    </row>
    <row r="52" spans="1:4" x14ac:dyDescent="0.2">
      <c r="A52" s="1219"/>
      <c r="B52" s="1222" t="s">
        <v>2054</v>
      </c>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t="s">
        <v>2054</v>
      </c>
      <c r="C56" s="1223">
        <f>C54+1</f>
        <v>17</v>
      </c>
      <c r="D56" s="1218" t="s">
        <v>1704</v>
      </c>
    </row>
    <row r="57" spans="1:4" ht="10.5" customHeight="1" x14ac:dyDescent="0.2">
      <c r="A57" s="1219"/>
      <c r="D57" s="1234" t="s">
        <v>1705</v>
      </c>
    </row>
    <row r="58" spans="1:4" x14ac:dyDescent="0.2">
      <c r="A58" s="1219"/>
      <c r="C58" s="1241" t="s">
        <v>2054</v>
      </c>
      <c r="D58" s="1234" t="s">
        <v>1706</v>
      </c>
    </row>
    <row r="59" spans="1:4" ht="10.5" customHeight="1" x14ac:dyDescent="0.2">
      <c r="A59" s="1219"/>
      <c r="D59" s="1218" t="s">
        <v>1209</v>
      </c>
    </row>
    <row r="60" spans="1:4" ht="10.5" customHeight="1" x14ac:dyDescent="0.2">
      <c r="A60" s="1219"/>
      <c r="D60" s="1242" t="s">
        <v>1595</v>
      </c>
    </row>
    <row r="61" spans="1:4" ht="10.5" customHeight="1" x14ac:dyDescent="0.2">
      <c r="A61" s="1219"/>
      <c r="C61" s="1241" t="s">
        <v>2054</v>
      </c>
      <c r="D61" s="1234" t="s">
        <v>1707</v>
      </c>
    </row>
    <row r="62" spans="1:4" ht="10.5" customHeight="1" x14ac:dyDescent="0.2">
      <c r="A62" s="1219"/>
      <c r="D62" s="1243" t="s">
        <v>1208</v>
      </c>
    </row>
    <row r="63" spans="1:4" ht="10.5" customHeight="1" x14ac:dyDescent="0.2">
      <c r="A63" s="1219"/>
      <c r="D63" s="1218" t="s">
        <v>1575</v>
      </c>
    </row>
    <row r="64" spans="1:4" ht="10.5" customHeight="1" x14ac:dyDescent="0.2">
      <c r="A64" s="1219"/>
      <c r="D64" s="1242" t="s">
        <v>1594</v>
      </c>
    </row>
    <row r="65" spans="1:4" x14ac:dyDescent="0.2">
      <c r="A65" s="1219"/>
      <c r="C65" s="1241" t="s">
        <v>2054</v>
      </c>
      <c r="D65" s="1234" t="s">
        <v>1708</v>
      </c>
    </row>
    <row r="66" spans="1:4" ht="10.5" customHeight="1" x14ac:dyDescent="0.2">
      <c r="A66" s="1219"/>
      <c r="D66" s="1244" t="s">
        <v>1207</v>
      </c>
    </row>
    <row r="67" spans="1:4" ht="10.5" customHeight="1" x14ac:dyDescent="0.2">
      <c r="A67" s="1219"/>
      <c r="D67" s="1218" t="s">
        <v>1576</v>
      </c>
    </row>
    <row r="68" spans="1:4" ht="10.5" customHeight="1" x14ac:dyDescent="0.2">
      <c r="A68" s="1219"/>
      <c r="D68" s="1242" t="s">
        <v>1594</v>
      </c>
    </row>
    <row r="69" spans="1:4" ht="10.5" customHeight="1" x14ac:dyDescent="0.2">
      <c r="A69" s="1219"/>
      <c r="C69" s="1241" t="s">
        <v>2054</v>
      </c>
      <c r="D69" s="1234" t="s">
        <v>1709</v>
      </c>
    </row>
    <row r="70" spans="1:4" x14ac:dyDescent="0.2">
      <c r="A70" s="1219"/>
      <c r="D70" s="1243" t="s">
        <v>1206</v>
      </c>
    </row>
    <row r="71" spans="1:4" ht="3" customHeight="1" x14ac:dyDescent="0.2">
      <c r="A71" s="1219"/>
      <c r="D71" s="1218"/>
    </row>
    <row r="72" spans="1:4" x14ac:dyDescent="0.2">
      <c r="A72" s="1219"/>
      <c r="B72" s="1222" t="s">
        <v>2054</v>
      </c>
      <c r="C72" s="1223">
        <f>C56+1</f>
        <v>18</v>
      </c>
      <c r="D72" s="1244" t="s">
        <v>1710</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t="s">
        <v>2054</v>
      </c>
      <c r="C76" s="1223">
        <f>C74+1</f>
        <v>20</v>
      </c>
      <c r="D76" s="1245" t="s">
        <v>1711</v>
      </c>
    </row>
    <row r="77" spans="1:4" ht="3" customHeight="1" x14ac:dyDescent="0.2">
      <c r="A77" s="1219"/>
      <c r="B77" s="1226"/>
      <c r="C77" s="1223"/>
      <c r="D77" s="1245"/>
    </row>
    <row r="78" spans="1:4" x14ac:dyDescent="0.2">
      <c r="A78" s="1219"/>
      <c r="B78" s="1222" t="s">
        <v>2054</v>
      </c>
      <c r="C78" s="1223">
        <f>C76+1</f>
        <v>21</v>
      </c>
      <c r="D78" s="1218" t="s">
        <v>1712</v>
      </c>
    </row>
    <row r="79" spans="1:4" ht="3" customHeight="1" x14ac:dyDescent="0.2">
      <c r="A79" s="1219"/>
      <c r="B79" s="1226"/>
      <c r="C79" s="1223"/>
      <c r="D79" s="1218"/>
    </row>
    <row r="80" spans="1:4" x14ac:dyDescent="0.2">
      <c r="A80" s="1219"/>
      <c r="B80" s="1222" t="s">
        <v>2054</v>
      </c>
      <c r="C80" s="1223">
        <f>C78+1</f>
        <v>22</v>
      </c>
      <c r="D80" s="1246" t="s">
        <v>1713</v>
      </c>
    </row>
    <row r="81" spans="1:4" ht="3" customHeight="1" x14ac:dyDescent="0.2">
      <c r="A81" s="1219"/>
      <c r="B81" s="1226"/>
      <c r="C81" s="1223"/>
      <c r="D81" s="1246"/>
    </row>
    <row r="82" spans="1:4" x14ac:dyDescent="0.2">
      <c r="A82" s="1219"/>
      <c r="B82" s="1222" t="s">
        <v>2054</v>
      </c>
      <c r="C82" s="1223">
        <f>C80+1</f>
        <v>23</v>
      </c>
      <c r="D82" s="1245" t="s">
        <v>1714</v>
      </c>
    </row>
    <row r="83" spans="1:4" ht="10.5" customHeight="1" x14ac:dyDescent="0.2">
      <c r="A83" s="1219"/>
      <c r="B83" s="1228"/>
      <c r="D83" s="1234" t="s">
        <v>1204</v>
      </c>
    </row>
    <row r="84" spans="1:4" ht="3" customHeight="1" x14ac:dyDescent="0.2">
      <c r="A84" s="1219"/>
      <c r="B84" s="1228"/>
      <c r="D84" s="1234"/>
    </row>
    <row r="85" spans="1:4" x14ac:dyDescent="0.2">
      <c r="A85" s="1219"/>
      <c r="B85" s="1222" t="s">
        <v>2054</v>
      </c>
      <c r="C85" s="1223">
        <f>C82+1</f>
        <v>24</v>
      </c>
      <c r="D85" s="1234" t="s">
        <v>1203</v>
      </c>
    </row>
    <row r="86" spans="1:4" ht="3" customHeight="1" x14ac:dyDescent="0.2">
      <c r="A86" s="1219"/>
      <c r="B86" s="1226"/>
      <c r="C86" s="1223"/>
      <c r="D86" s="1234"/>
    </row>
    <row r="87" spans="1:4" x14ac:dyDescent="0.2">
      <c r="A87" s="1219"/>
      <c r="B87" s="1222" t="s">
        <v>2054</v>
      </c>
      <c r="C87" s="1223">
        <f>C85+1</f>
        <v>25</v>
      </c>
      <c r="D87" s="1234" t="s">
        <v>1202</v>
      </c>
    </row>
    <row r="88" spans="1:4" ht="3" customHeight="1" x14ac:dyDescent="0.2">
      <c r="A88" s="1219"/>
      <c r="B88" s="1226"/>
      <c r="C88" s="1223"/>
      <c r="D88" s="1234"/>
    </row>
    <row r="89" spans="1:4" x14ac:dyDescent="0.2">
      <c r="A89" s="1219"/>
      <c r="B89" s="1222" t="s">
        <v>2054</v>
      </c>
      <c r="C89" s="1223">
        <f>C87+1</f>
        <v>26</v>
      </c>
      <c r="D89" s="1234" t="s">
        <v>1201</v>
      </c>
    </row>
    <row r="90" spans="1:4" ht="3" customHeight="1" x14ac:dyDescent="0.2">
      <c r="A90" s="1219"/>
      <c r="B90" s="1226"/>
      <c r="C90" s="1223"/>
      <c r="D90" s="1234"/>
    </row>
    <row r="91" spans="1:4" x14ac:dyDescent="0.2">
      <c r="A91" s="1219"/>
      <c r="B91" s="1222"/>
      <c r="C91" s="1223">
        <f>C89+1</f>
        <v>27</v>
      </c>
      <c r="D91" s="1234" t="s">
        <v>1715</v>
      </c>
    </row>
    <row r="92" spans="1:4" x14ac:dyDescent="0.2">
      <c r="A92" s="1219"/>
      <c r="B92" s="1247"/>
      <c r="C92" s="1241"/>
      <c r="D92" s="1234" t="s">
        <v>1200</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2054</v>
      </c>
      <c r="C96" s="1223">
        <f>C91+1</f>
        <v>28</v>
      </c>
      <c r="D96" s="1234" t="s">
        <v>1716</v>
      </c>
    </row>
    <row r="97" spans="1:4" ht="3" customHeight="1" x14ac:dyDescent="0.2">
      <c r="A97" s="1219"/>
      <c r="B97" s="1226"/>
      <c r="C97" s="1223"/>
      <c r="D97" s="1234"/>
    </row>
    <row r="98" spans="1:4" x14ac:dyDescent="0.2">
      <c r="A98" s="1219"/>
      <c r="B98" s="1222" t="s">
        <v>2054</v>
      </c>
      <c r="C98" s="1223">
        <f>C96+1</f>
        <v>29</v>
      </c>
      <c r="D98" s="1248" t="s">
        <v>1717</v>
      </c>
    </row>
    <row r="99" spans="1:4" ht="3" customHeight="1" x14ac:dyDescent="0.2">
      <c r="A99" s="1219"/>
      <c r="B99" s="1226"/>
      <c r="C99" s="1223"/>
      <c r="D99" s="1248"/>
    </row>
    <row r="100" spans="1:4" x14ac:dyDescent="0.2">
      <c r="A100" s="1219"/>
      <c r="B100" s="1222" t="s">
        <v>2054</v>
      </c>
      <c r="C100" s="1223">
        <f>C98+1</f>
        <v>30</v>
      </c>
      <c r="D100" s="1234" t="s">
        <v>1718</v>
      </c>
    </row>
    <row r="101" spans="1:4" ht="3" customHeight="1" x14ac:dyDescent="0.2">
      <c r="A101" s="1219"/>
      <c r="B101" s="1226"/>
      <c r="C101" s="1223"/>
      <c r="D101" s="1249"/>
    </row>
    <row r="102" spans="1:4" x14ac:dyDescent="0.2">
      <c r="A102" s="1219"/>
      <c r="B102" s="1222" t="s">
        <v>2054</v>
      </c>
      <c r="C102" s="1223">
        <f>C100+1</f>
        <v>31</v>
      </c>
      <c r="D102" s="1234" t="s">
        <v>1578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1719</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1720</v>
      </c>
    </row>
    <row r="118" spans="1:4" ht="3" customHeight="1" x14ac:dyDescent="0.2">
      <c r="A118" s="1219"/>
      <c r="B118" s="1226"/>
      <c r="C118" s="1223"/>
      <c r="D118" s="1234"/>
    </row>
    <row r="119" spans="1:4" x14ac:dyDescent="0.2">
      <c r="A119" s="1219"/>
      <c r="B119" s="1222"/>
      <c r="C119" s="1223">
        <f>C117+1</f>
        <v>38</v>
      </c>
      <c r="D119" s="1234" t="s">
        <v>1721</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1827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Bourbonnais SD 53</v>
      </c>
      <c r="B1" s="2435"/>
      <c r="C1" s="2435"/>
      <c r="D1" s="2435"/>
      <c r="E1" s="2435"/>
    </row>
    <row r="2" spans="1:5" x14ac:dyDescent="0.2">
      <c r="A2" s="2436">
        <f>'Single Audit Cover'!E7</f>
        <v>32046053002</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7" t="s">
        <v>1243</v>
      </c>
    </row>
    <row r="10" spans="1:5" x14ac:dyDescent="0.2">
      <c r="A10" s="1258" t="s">
        <v>1242</v>
      </c>
      <c r="B10" s="1259" t="s">
        <v>1241</v>
      </c>
      <c r="C10" s="1259"/>
      <c r="D10" s="1260">
        <f>SUM('Acct Summary 7-8'!C7:K7)</f>
        <v>1840648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1723</v>
      </c>
      <c r="B14" s="1259"/>
      <c r="C14" s="1259"/>
      <c r="D14" s="1261">
        <f>'ICR Computation 30'!E11</f>
        <v>59901</v>
      </c>
    </row>
    <row r="15" spans="1:5" x14ac:dyDescent="0.2">
      <c r="A15" s="1258"/>
      <c r="B15" s="1259"/>
      <c r="C15" s="1259"/>
    </row>
    <row r="16" spans="1:5" x14ac:dyDescent="0.2">
      <c r="A16" s="1258" t="s">
        <v>1832</v>
      </c>
      <c r="B16" s="1259"/>
      <c r="C16" s="1259"/>
    </row>
    <row r="17" spans="1:4" x14ac:dyDescent="0.2">
      <c r="A17" s="1258" t="s">
        <v>2048</v>
      </c>
      <c r="B17" s="1259" t="s">
        <v>1236</v>
      </c>
      <c r="C17" s="1259"/>
      <c r="D17" s="1261">
        <f>-SUM('Revenues 9-14'!C264:D264,'Revenues 9-14'!F264:G264)</f>
        <v>-66618</v>
      </c>
    </row>
    <row r="19" spans="1:4" ht="13.5" thickBot="1" x14ac:dyDescent="0.25">
      <c r="A19" s="1262" t="s">
        <v>1235</v>
      </c>
      <c r="D19" s="1263">
        <f>SUM(D10:D17)</f>
        <v>1833931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1233</v>
      </c>
      <c r="D32" s="1260">
        <f>SUM(D19:D30)</f>
        <v>1833931</v>
      </c>
    </row>
    <row r="33" spans="1:4" x14ac:dyDescent="0.2">
      <c r="D33" s="1266"/>
    </row>
    <row r="34" spans="1:4" x14ac:dyDescent="0.2">
      <c r="A34" s="317" t="s">
        <v>1232</v>
      </c>
    </row>
    <row r="35" spans="1:4" x14ac:dyDescent="0.2">
      <c r="A35" s="317" t="s">
        <v>1231</v>
      </c>
      <c r="B35" s="1255" t="s">
        <v>1230</v>
      </c>
      <c r="D35" s="1267">
        <v>1833931</v>
      </c>
    </row>
    <row r="37" spans="1:4" x14ac:dyDescent="0.2">
      <c r="A37" s="1257" t="s">
        <v>1229</v>
      </c>
    </row>
    <row r="39" spans="1:4" ht="13.35" customHeight="1" x14ac:dyDescent="0.2">
      <c r="A39" s="1264" t="s">
        <v>1228</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1227</v>
      </c>
      <c r="C47" s="1269"/>
      <c r="D47" s="1270">
        <f>SUM(D35:D45)</f>
        <v>1833931</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63"/>
  <sheetViews>
    <sheetView showGridLines="0" topLeftCell="A13" zoomScaleNormal="100" workbookViewId="0">
      <selection activeCell="F10" sqref="F10:F11"/>
    </sheetView>
  </sheetViews>
  <sheetFormatPr defaultColWidth="33.5703125" defaultRowHeight="12.75" x14ac:dyDescent="0.2"/>
  <cols>
    <col min="1" max="1" width="0.140625" style="317" customWidth="1"/>
    <col min="2" max="2" width="3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8" t="str">
        <f>'Single Audit Cover'!A7</f>
        <v>Bourbonnais SD 53</v>
      </c>
      <c r="C1" s="2439"/>
      <c r="D1" s="2439"/>
      <c r="E1" s="2439"/>
      <c r="F1" s="2439"/>
      <c r="G1" s="2439"/>
      <c r="H1" s="2439"/>
      <c r="I1" s="2439"/>
      <c r="J1" s="2439"/>
      <c r="K1" s="2439"/>
      <c r="L1" s="2439"/>
      <c r="M1" s="2439"/>
    </row>
    <row r="2" spans="2:14" ht="15" x14ac:dyDescent="0.2">
      <c r="B2" s="2440">
        <f>'Single Audit Cover'!E7</f>
        <v>32046053002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1264</v>
      </c>
      <c r="E6" s="1303" t="s">
        <v>527</v>
      </c>
      <c r="F6" s="1304"/>
      <c r="G6" s="1305" t="s">
        <v>1729</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1829</v>
      </c>
      <c r="I8" s="1316" t="s">
        <v>1261</v>
      </c>
      <c r="J8" s="1315" t="s">
        <v>1977</v>
      </c>
      <c r="K8" s="1316" t="s">
        <v>1260</v>
      </c>
      <c r="L8" s="1317" t="s">
        <v>1256</v>
      </c>
      <c r="M8" s="1318" t="s">
        <v>30</v>
      </c>
    </row>
    <row r="9" spans="2:14" ht="14.25" x14ac:dyDescent="0.2">
      <c r="B9" s="1322" t="s">
        <v>1258</v>
      </c>
      <c r="C9" s="1310" t="s">
        <v>1730</v>
      </c>
      <c r="D9" s="1311" t="s">
        <v>1731</v>
      </c>
      <c r="E9" s="1319" t="s">
        <v>1829</v>
      </c>
      <c r="F9" s="1320" t="s">
        <v>1977</v>
      </c>
      <c r="G9" s="1321" t="s">
        <v>1829</v>
      </c>
      <c r="H9" s="1314" t="s">
        <v>1581</v>
      </c>
      <c r="I9" s="1316" t="s">
        <v>1977</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2073</v>
      </c>
      <c r="C11" s="1335"/>
      <c r="D11" s="1336"/>
      <c r="E11" s="1337"/>
      <c r="F11" s="1337"/>
      <c r="G11" s="1337"/>
      <c r="H11" s="1337"/>
      <c r="I11" s="1337"/>
      <c r="J11" s="1337"/>
      <c r="K11" s="1337"/>
      <c r="L11" s="1337"/>
      <c r="M11" s="1337"/>
    </row>
    <row r="12" spans="2:14" ht="20.100000000000001" customHeight="1" x14ac:dyDescent="0.2">
      <c r="B12" s="1334" t="s">
        <v>2110</v>
      </c>
      <c r="C12" s="1338" t="s">
        <v>2074</v>
      </c>
      <c r="D12" s="1339" t="s">
        <v>2076</v>
      </c>
      <c r="E12" s="1340"/>
      <c r="F12" s="1340">
        <v>396075</v>
      </c>
      <c r="G12" s="1340"/>
      <c r="H12" s="1340"/>
      <c r="I12" s="1340">
        <v>607479</v>
      </c>
      <c r="J12" s="1340"/>
      <c r="K12" s="1340"/>
      <c r="L12" s="1337"/>
      <c r="M12" s="1340">
        <v>670397</v>
      </c>
    </row>
    <row r="13" spans="2:14" ht="20.100000000000001" customHeight="1" x14ac:dyDescent="0.2">
      <c r="B13" s="1334" t="s">
        <v>2121</v>
      </c>
      <c r="C13" s="1338" t="s">
        <v>2074</v>
      </c>
      <c r="D13" s="1339" t="s">
        <v>2075</v>
      </c>
      <c r="E13" s="1340">
        <v>466204</v>
      </c>
      <c r="F13" s="1340">
        <v>165525</v>
      </c>
      <c r="G13" s="1340">
        <f>+E13+F13</f>
        <v>631729</v>
      </c>
      <c r="H13" s="1340"/>
      <c r="I13" s="1340"/>
      <c r="J13" s="1340"/>
      <c r="K13" s="1340"/>
      <c r="L13" s="1337">
        <f>+G13</f>
        <v>631729</v>
      </c>
      <c r="M13" s="1340"/>
    </row>
    <row r="14" spans="2:14" ht="20.100000000000001" customHeight="1" x14ac:dyDescent="0.2">
      <c r="B14" s="1334" t="s">
        <v>2077</v>
      </c>
      <c r="C14" s="1338" t="s">
        <v>2078</v>
      </c>
      <c r="D14" s="1339" t="s">
        <v>2080</v>
      </c>
      <c r="E14" s="1340"/>
      <c r="F14" s="1340">
        <v>31508</v>
      </c>
      <c r="G14" s="1340"/>
      <c r="H14" s="1340"/>
      <c r="I14" s="1340">
        <v>48928</v>
      </c>
      <c r="J14" s="1340"/>
      <c r="K14" s="1340"/>
      <c r="L14" s="1337">
        <f>+I14</f>
        <v>48928</v>
      </c>
      <c r="M14" s="1340">
        <v>55429</v>
      </c>
    </row>
    <row r="15" spans="2:14" ht="20.100000000000001" customHeight="1" x14ac:dyDescent="0.2">
      <c r="B15" s="1334" t="s">
        <v>2077</v>
      </c>
      <c r="C15" s="1338" t="s">
        <v>2078</v>
      </c>
      <c r="D15" s="1339" t="s">
        <v>2079</v>
      </c>
      <c r="E15" s="1340">
        <v>23182</v>
      </c>
      <c r="F15" s="1340">
        <v>12467</v>
      </c>
      <c r="G15" s="1340">
        <f>+E15+F15</f>
        <v>35649</v>
      </c>
      <c r="H15" s="1340"/>
      <c r="I15" s="1340"/>
      <c r="J15" s="1340"/>
      <c r="K15" s="1340"/>
      <c r="L15" s="1337">
        <f>+G15</f>
        <v>35649</v>
      </c>
      <c r="M15" s="1340"/>
    </row>
    <row r="16" spans="2:14" ht="20.100000000000001" customHeight="1" x14ac:dyDescent="0.2">
      <c r="B16" s="1334" t="s">
        <v>2111</v>
      </c>
      <c r="C16" s="1338" t="s">
        <v>2082</v>
      </c>
      <c r="D16" s="1339" t="s">
        <v>2083</v>
      </c>
      <c r="E16" s="1340"/>
      <c r="F16" s="1340">
        <v>28373</v>
      </c>
      <c r="G16" s="1340"/>
      <c r="H16" s="1340"/>
      <c r="I16" s="1340">
        <v>45495</v>
      </c>
      <c r="J16" s="1340"/>
      <c r="K16" s="1340"/>
      <c r="L16" s="1337">
        <f>+I16</f>
        <v>45495</v>
      </c>
      <c r="M16" s="1340">
        <v>49802</v>
      </c>
    </row>
    <row r="17" spans="2:13" ht="20.100000000000001" customHeight="1" x14ac:dyDescent="0.2">
      <c r="B17" s="1334" t="s">
        <v>2081</v>
      </c>
      <c r="C17" s="1338" t="s">
        <v>2082</v>
      </c>
      <c r="D17" s="1339" t="s">
        <v>2084</v>
      </c>
      <c r="E17" s="1340">
        <v>13788</v>
      </c>
      <c r="F17" s="1340">
        <v>2028</v>
      </c>
      <c r="G17" s="1340">
        <f>+E17+F17</f>
        <v>15816</v>
      </c>
      <c r="H17" s="1340"/>
      <c r="I17" s="1340"/>
      <c r="J17" s="1340"/>
      <c r="K17" s="1340"/>
      <c r="L17" s="1337">
        <f>+G17</f>
        <v>15816</v>
      </c>
      <c r="M17" s="1340"/>
    </row>
    <row r="18" spans="2:13" ht="20.100000000000001" customHeight="1" x14ac:dyDescent="0.2">
      <c r="B18" s="1334" t="s">
        <v>2085</v>
      </c>
      <c r="C18" s="1338" t="s">
        <v>2086</v>
      </c>
      <c r="D18" s="1339" t="s">
        <v>2087</v>
      </c>
      <c r="E18" s="1340"/>
      <c r="F18" s="1340">
        <v>12288</v>
      </c>
      <c r="G18" s="1340"/>
      <c r="H18" s="1340"/>
      <c r="I18" s="1340">
        <v>18999</v>
      </c>
      <c r="J18" s="1340"/>
      <c r="K18" s="1340"/>
      <c r="L18" s="1337">
        <v>18999</v>
      </c>
      <c r="M18" s="1340">
        <v>18999</v>
      </c>
    </row>
    <row r="19" spans="2:13" ht="20.100000000000001" customHeight="1" x14ac:dyDescent="0.2">
      <c r="B19" s="1334" t="s">
        <v>2085</v>
      </c>
      <c r="C19" s="1338" t="s">
        <v>2086</v>
      </c>
      <c r="D19" s="1339" t="s">
        <v>2088</v>
      </c>
      <c r="E19" s="1340">
        <v>3479</v>
      </c>
      <c r="F19" s="1340">
        <v>14297</v>
      </c>
      <c r="G19" s="1340">
        <f>+E19+F19</f>
        <v>17776</v>
      </c>
      <c r="H19" s="1340"/>
      <c r="I19" s="1340"/>
      <c r="J19" s="1340"/>
      <c r="K19" s="1340"/>
      <c r="L19" s="1337">
        <f>+G19</f>
        <v>17776</v>
      </c>
      <c r="M19" s="1340"/>
    </row>
    <row r="20" spans="2:13" ht="20.100000000000001" customHeight="1" x14ac:dyDescent="0.2">
      <c r="B20" s="1334" t="s">
        <v>2119</v>
      </c>
      <c r="C20" s="1338" t="s">
        <v>2090</v>
      </c>
      <c r="D20" s="1339" t="s">
        <v>2091</v>
      </c>
      <c r="E20" s="1340"/>
      <c r="F20" s="1340">
        <v>350599</v>
      </c>
      <c r="G20" s="1340"/>
      <c r="H20" s="1340"/>
      <c r="I20" s="1340">
        <v>514679</v>
      </c>
      <c r="J20" s="1340"/>
      <c r="K20" s="1340"/>
      <c r="L20" s="1337">
        <f>+I20</f>
        <v>514679</v>
      </c>
      <c r="M20" s="1340">
        <v>532541</v>
      </c>
    </row>
    <row r="21" spans="2:13" ht="20.100000000000001" customHeight="1" x14ac:dyDescent="0.2">
      <c r="B21" s="1334" t="s">
        <v>2089</v>
      </c>
      <c r="C21" s="1338" t="s">
        <v>2090</v>
      </c>
      <c r="D21" s="1339" t="s">
        <v>2092</v>
      </c>
      <c r="E21" s="1340">
        <v>410929</v>
      </c>
      <c r="F21" s="1340">
        <v>104701</v>
      </c>
      <c r="G21" s="1340">
        <f>+E21+F21</f>
        <v>515630</v>
      </c>
      <c r="H21" s="1340"/>
      <c r="I21" s="1340"/>
      <c r="J21" s="1340"/>
      <c r="K21" s="1340"/>
      <c r="L21" s="1337">
        <f>+G21</f>
        <v>515630</v>
      </c>
      <c r="M21" s="1340"/>
    </row>
    <row r="22" spans="2:13" ht="20.100000000000001" customHeight="1" thickBot="1" x14ac:dyDescent="0.25">
      <c r="B22" s="1334" t="s">
        <v>2120</v>
      </c>
      <c r="C22" s="1338" t="s">
        <v>2093</v>
      </c>
      <c r="D22" s="1339" t="s">
        <v>2094</v>
      </c>
      <c r="E22" s="1941"/>
      <c r="F22" s="1941">
        <v>11050</v>
      </c>
      <c r="G22" s="1941"/>
      <c r="H22" s="1941"/>
      <c r="I22" s="1941">
        <v>49690</v>
      </c>
      <c r="J22" s="1941"/>
      <c r="K22" s="1941"/>
      <c r="L22" s="1941"/>
      <c r="M22" s="1941"/>
    </row>
    <row r="23" spans="2:13" ht="20.100000000000001" customHeight="1" thickBot="1" x14ac:dyDescent="0.25">
      <c r="B23" s="1940" t="s">
        <v>2100</v>
      </c>
      <c r="C23" s="1338"/>
      <c r="D23" s="1339"/>
      <c r="E23" s="1942">
        <f t="shared" ref="E23:M23" si="0">SUM(E12:E22)</f>
        <v>917582</v>
      </c>
      <c r="F23" s="1942">
        <f>SUM(F12:F22)</f>
        <v>1128911</v>
      </c>
      <c r="G23" s="1942">
        <f t="shared" si="0"/>
        <v>1216600</v>
      </c>
      <c r="H23" s="1942">
        <f t="shared" si="0"/>
        <v>0</v>
      </c>
      <c r="I23" s="1942">
        <f t="shared" si="0"/>
        <v>1285270</v>
      </c>
      <c r="J23" s="1942">
        <f t="shared" si="0"/>
        <v>0</v>
      </c>
      <c r="K23" s="1942">
        <f t="shared" si="0"/>
        <v>0</v>
      </c>
      <c r="L23" s="1942">
        <f t="shared" si="0"/>
        <v>1844701</v>
      </c>
      <c r="M23" s="1942">
        <f t="shared" si="0"/>
        <v>1327168</v>
      </c>
    </row>
    <row r="24" spans="2:13" ht="20.100000000000001" customHeight="1" x14ac:dyDescent="0.2">
      <c r="B24" s="1334"/>
      <c r="C24" s="1338"/>
      <c r="D24" s="1339"/>
      <c r="E24" s="1340"/>
      <c r="F24" s="1337"/>
      <c r="G24" s="1337"/>
      <c r="H24" s="1337"/>
      <c r="I24" s="1337"/>
      <c r="J24" s="1337"/>
      <c r="K24" s="1337"/>
      <c r="L24" s="1337"/>
      <c r="M24" s="1337"/>
    </row>
    <row r="25" spans="2:13" ht="20.100000000000001" customHeight="1" x14ac:dyDescent="0.2">
      <c r="B25" s="1334" t="s">
        <v>2095</v>
      </c>
      <c r="C25" s="1338"/>
      <c r="D25" s="1339"/>
      <c r="E25" s="1340"/>
      <c r="F25" s="1340"/>
      <c r="G25" s="1340"/>
      <c r="H25" s="1340"/>
      <c r="I25" s="1340"/>
      <c r="J25" s="1340"/>
      <c r="K25" s="1340"/>
      <c r="L25" s="1337"/>
      <c r="M25" s="1340"/>
    </row>
    <row r="26" spans="2:13" ht="20.100000000000001" customHeight="1" x14ac:dyDescent="0.2">
      <c r="B26" s="1334" t="s">
        <v>2096</v>
      </c>
      <c r="C26" s="1338">
        <v>10.555</v>
      </c>
      <c r="D26" s="1339" t="s">
        <v>2102</v>
      </c>
      <c r="E26" s="1340"/>
      <c r="F26" s="1340">
        <v>399226</v>
      </c>
      <c r="G26" s="1340"/>
      <c r="H26" s="1340"/>
      <c r="I26" s="1340">
        <f t="shared" ref="I26:I31" si="1">+F26</f>
        <v>399226</v>
      </c>
      <c r="J26" s="1340"/>
      <c r="K26" s="1340"/>
      <c r="L26" s="1337">
        <f t="shared" ref="L26:L31" si="2">+I26</f>
        <v>399226</v>
      </c>
      <c r="M26" s="1340"/>
    </row>
    <row r="27" spans="2:13" ht="20.100000000000001" customHeight="1" x14ac:dyDescent="0.2">
      <c r="B27" s="1334" t="s">
        <v>2096</v>
      </c>
      <c r="C27" s="1338">
        <v>10.555</v>
      </c>
      <c r="D27" s="1339" t="s">
        <v>2103</v>
      </c>
      <c r="E27" s="1340">
        <v>398297</v>
      </c>
      <c r="F27" s="1340">
        <v>72158.5</v>
      </c>
      <c r="G27" s="1340">
        <v>398297</v>
      </c>
      <c r="H27" s="1340"/>
      <c r="I27" s="1340">
        <f t="shared" si="1"/>
        <v>72158.5</v>
      </c>
      <c r="J27" s="1340"/>
      <c r="K27" s="1340"/>
      <c r="L27" s="1337">
        <f t="shared" si="2"/>
        <v>72158.5</v>
      </c>
      <c r="M27" s="1340"/>
    </row>
    <row r="28" spans="2:13" ht="20.100000000000001" customHeight="1" x14ac:dyDescent="0.2">
      <c r="B28" s="1334" t="s">
        <v>2097</v>
      </c>
      <c r="C28" s="1338">
        <v>10.553000000000001</v>
      </c>
      <c r="D28" s="1339" t="s">
        <v>2104</v>
      </c>
      <c r="E28" s="1340"/>
      <c r="F28" s="1340">
        <v>122598</v>
      </c>
      <c r="G28" s="1340"/>
      <c r="H28" s="1340"/>
      <c r="I28" s="1340">
        <f t="shared" si="1"/>
        <v>122598</v>
      </c>
      <c r="J28" s="1340"/>
      <c r="K28" s="1340"/>
      <c r="L28" s="1337">
        <f t="shared" si="2"/>
        <v>122598</v>
      </c>
      <c r="M28" s="1340"/>
    </row>
    <row r="29" spans="2:13" ht="20.100000000000001" customHeight="1" x14ac:dyDescent="0.2">
      <c r="B29" s="1334" t="s">
        <v>2097</v>
      </c>
      <c r="C29" s="1338">
        <v>10.553000000000001</v>
      </c>
      <c r="D29" s="1339" t="s">
        <v>2105</v>
      </c>
      <c r="E29" s="1340">
        <v>122437</v>
      </c>
      <c r="F29" s="1340">
        <v>20786</v>
      </c>
      <c r="G29" s="1340">
        <v>122437</v>
      </c>
      <c r="H29" s="1340"/>
      <c r="I29" s="1340">
        <f t="shared" si="1"/>
        <v>20786</v>
      </c>
      <c r="J29" s="1340"/>
      <c r="K29" s="1340"/>
      <c r="L29" s="1337">
        <f t="shared" si="2"/>
        <v>20786</v>
      </c>
      <c r="M29" s="1340"/>
    </row>
    <row r="30" spans="2:13" ht="20.100000000000001" customHeight="1" x14ac:dyDescent="0.2">
      <c r="B30" s="1334" t="s">
        <v>2098</v>
      </c>
      <c r="C30" s="1338">
        <v>10.582000000000001</v>
      </c>
      <c r="D30" s="1339"/>
      <c r="E30" s="1340"/>
      <c r="F30" s="1340">
        <v>17033</v>
      </c>
      <c r="G30" s="1340"/>
      <c r="H30" s="1340"/>
      <c r="I30" s="1340">
        <f t="shared" si="1"/>
        <v>17033</v>
      </c>
      <c r="J30" s="1340"/>
      <c r="K30" s="1340"/>
      <c r="L30" s="1337">
        <f t="shared" si="2"/>
        <v>17033</v>
      </c>
      <c r="M30" s="1340"/>
    </row>
    <row r="31" spans="2:13" ht="20.100000000000001" customHeight="1" thickBot="1" x14ac:dyDescent="0.25">
      <c r="B31" s="1334" t="s">
        <v>2099</v>
      </c>
      <c r="C31" s="1338">
        <v>10.569000000000001</v>
      </c>
      <c r="D31" s="1339"/>
      <c r="E31" s="1941"/>
      <c r="F31" s="1941">
        <v>42868</v>
      </c>
      <c r="G31" s="1941"/>
      <c r="H31" s="1941"/>
      <c r="I31" s="1941">
        <f t="shared" si="1"/>
        <v>42868</v>
      </c>
      <c r="J31" s="1941"/>
      <c r="K31" s="1941"/>
      <c r="L31" s="1941">
        <f t="shared" si="2"/>
        <v>42868</v>
      </c>
      <c r="M31" s="1941"/>
    </row>
    <row r="32" spans="2:13" ht="20.100000000000001" customHeight="1" thickBot="1" x14ac:dyDescent="0.25">
      <c r="B32" s="1940" t="s">
        <v>2101</v>
      </c>
      <c r="C32" s="1338"/>
      <c r="D32" s="1339"/>
      <c r="E32" s="1942">
        <f t="shared" ref="E32:M32" si="3">SUM(E26:E31)</f>
        <v>520734</v>
      </c>
      <c r="F32" s="1942">
        <f>SUM(F26:F31)</f>
        <v>674669.5</v>
      </c>
      <c r="G32" s="1942">
        <f t="shared" si="3"/>
        <v>520734</v>
      </c>
      <c r="H32" s="1942">
        <f t="shared" si="3"/>
        <v>0</v>
      </c>
      <c r="I32" s="1942">
        <f t="shared" si="3"/>
        <v>674669.5</v>
      </c>
      <c r="J32" s="1942">
        <f t="shared" si="3"/>
        <v>0</v>
      </c>
      <c r="K32" s="1942">
        <f t="shared" si="3"/>
        <v>0</v>
      </c>
      <c r="L32" s="1942">
        <f t="shared" si="3"/>
        <v>674669.5</v>
      </c>
      <c r="M32" s="1942">
        <f t="shared" si="3"/>
        <v>0</v>
      </c>
    </row>
    <row r="33" spans="2:14" ht="20.100000000000001" customHeight="1" x14ac:dyDescent="0.2">
      <c r="B33" s="1940"/>
      <c r="C33" s="1338"/>
      <c r="D33" s="1339"/>
      <c r="E33" s="1340"/>
      <c r="F33" s="1337"/>
      <c r="G33" s="1337"/>
      <c r="H33" s="1337"/>
      <c r="I33" s="1337"/>
      <c r="J33" s="1337"/>
      <c r="K33" s="1337"/>
      <c r="L33" s="1337"/>
      <c r="M33" s="1337"/>
    </row>
    <row r="34" spans="2:14" ht="20.100000000000001" customHeight="1" x14ac:dyDescent="0.2">
      <c r="B34" s="1334" t="s">
        <v>2106</v>
      </c>
      <c r="C34" s="1338"/>
      <c r="D34" s="1339"/>
      <c r="E34" s="1340"/>
      <c r="F34" s="1340"/>
      <c r="G34" s="1340"/>
      <c r="H34" s="1340"/>
      <c r="I34" s="1340"/>
      <c r="J34" s="1340"/>
      <c r="K34" s="1340"/>
      <c r="L34" s="1337"/>
      <c r="M34" s="1340"/>
    </row>
    <row r="35" spans="2:14" ht="20.100000000000001" customHeight="1" thickBot="1" x14ac:dyDescent="0.25">
      <c r="B35" s="1939" t="s">
        <v>2107</v>
      </c>
      <c r="C35" s="1338"/>
      <c r="D35" s="1339"/>
      <c r="E35" s="1941"/>
      <c r="F35" s="1941">
        <v>30350</v>
      </c>
      <c r="G35" s="1941"/>
      <c r="H35" s="1941"/>
      <c r="I35" s="1941">
        <f>+F35</f>
        <v>30350</v>
      </c>
      <c r="J35" s="1941"/>
      <c r="K35" s="1941"/>
      <c r="L35" s="1941">
        <f>+I35</f>
        <v>30350</v>
      </c>
      <c r="M35" s="1941"/>
    </row>
    <row r="36" spans="2:14" ht="20.100000000000001" customHeight="1" thickBot="1" x14ac:dyDescent="0.25">
      <c r="B36" s="1940" t="s">
        <v>2108</v>
      </c>
      <c r="C36" s="1338"/>
      <c r="D36" s="1339"/>
      <c r="E36" s="1942">
        <f t="shared" ref="E36:M36" si="4">+E35</f>
        <v>0</v>
      </c>
      <c r="F36" s="1942">
        <f>+F35</f>
        <v>30350</v>
      </c>
      <c r="G36" s="1942">
        <f t="shared" si="4"/>
        <v>0</v>
      </c>
      <c r="H36" s="1942">
        <f t="shared" si="4"/>
        <v>0</v>
      </c>
      <c r="I36" s="1942">
        <f t="shared" si="4"/>
        <v>30350</v>
      </c>
      <c r="J36" s="1942">
        <f t="shared" si="4"/>
        <v>0</v>
      </c>
      <c r="K36" s="1942">
        <f t="shared" si="4"/>
        <v>0</v>
      </c>
      <c r="L36" s="1942">
        <f t="shared" si="4"/>
        <v>30350</v>
      </c>
      <c r="M36" s="1942">
        <f t="shared" si="4"/>
        <v>0</v>
      </c>
    </row>
    <row r="37" spans="2:14" ht="20.100000000000001" customHeight="1" x14ac:dyDescent="0.2">
      <c r="B37" s="1940"/>
      <c r="C37" s="1338"/>
      <c r="D37" s="1339"/>
      <c r="E37" s="1340"/>
      <c r="F37" s="1337"/>
      <c r="G37" s="1337"/>
      <c r="H37" s="1337"/>
      <c r="I37" s="1337"/>
      <c r="J37" s="1337"/>
      <c r="K37" s="1337"/>
      <c r="L37" s="1337"/>
      <c r="M37" s="1337"/>
    </row>
    <row r="38" spans="2:14" ht="20.100000000000001" customHeight="1" x14ac:dyDescent="0.2">
      <c r="B38" s="1943" t="s">
        <v>2109</v>
      </c>
      <c r="C38" s="1338"/>
      <c r="D38" s="1339"/>
      <c r="E38" s="1340">
        <f>+E23+E32+E36</f>
        <v>1438316</v>
      </c>
      <c r="F38" s="1340">
        <f>+F23+F32+F36</f>
        <v>1833930.5</v>
      </c>
      <c r="G38" s="1340">
        <f t="shared" ref="G38:M38" si="5">+G23+G32+G36</f>
        <v>1737334</v>
      </c>
      <c r="H38" s="1340">
        <f t="shared" si="5"/>
        <v>0</v>
      </c>
      <c r="I38" s="1340">
        <f t="shared" si="5"/>
        <v>1990289.5</v>
      </c>
      <c r="J38" s="1340">
        <f t="shared" si="5"/>
        <v>0</v>
      </c>
      <c r="K38" s="1340">
        <f t="shared" si="5"/>
        <v>0</v>
      </c>
      <c r="L38" s="1340">
        <f t="shared" si="5"/>
        <v>2549720.5</v>
      </c>
      <c r="M38" s="1340">
        <f t="shared" si="5"/>
        <v>1327168</v>
      </c>
      <c r="N38" s="1341"/>
    </row>
    <row r="39" spans="2:14" ht="12.75" customHeight="1" x14ac:dyDescent="0.2">
      <c r="B39" s="1342"/>
      <c r="C39" s="1343"/>
      <c r="D39" s="1344"/>
      <c r="E39" s="1345"/>
      <c r="F39" s="1345"/>
      <c r="G39" s="1345"/>
      <c r="H39" s="1345"/>
      <c r="I39" s="1345"/>
      <c r="J39" s="1345"/>
      <c r="K39" s="1345"/>
      <c r="L39" s="1345"/>
      <c r="M39" s="1345"/>
      <c r="N39" s="1341"/>
    </row>
    <row r="40" spans="2:14" x14ac:dyDescent="0.2">
      <c r="B40" s="1254"/>
      <c r="C40" s="1346"/>
      <c r="D40" s="1347"/>
      <c r="E40" s="1254"/>
      <c r="F40" s="1254"/>
      <c r="G40" s="1247"/>
      <c r="H40" s="1247"/>
      <c r="I40" s="1247"/>
      <c r="J40" s="1247"/>
      <c r="K40" s="1247"/>
      <c r="L40" s="1247"/>
      <c r="M40" s="1254"/>
      <c r="N40" s="1341"/>
    </row>
    <row r="41" spans="2:14" ht="13.5" customHeight="1" x14ac:dyDescent="0.2">
      <c r="B41" s="1279"/>
      <c r="C41" s="1346"/>
      <c r="D41" s="1347"/>
      <c r="E41" s="1254"/>
      <c r="F41" s="1254"/>
      <c r="G41" s="1247"/>
      <c r="H41" s="1247"/>
      <c r="I41" s="1247"/>
      <c r="J41" s="1247"/>
      <c r="K41" s="1247"/>
      <c r="L41" s="1247"/>
      <c r="M41" s="1254"/>
      <c r="N41" s="1341"/>
    </row>
    <row r="42" spans="2:14" ht="8.25" customHeight="1" x14ac:dyDescent="0.2">
      <c r="B42" s="1279"/>
      <c r="C42" s="1346"/>
      <c r="D42" s="1347"/>
      <c r="E42" s="1254"/>
      <c r="F42" s="1254"/>
      <c r="G42" s="1247"/>
      <c r="H42" s="1247"/>
      <c r="I42" s="1247"/>
      <c r="J42" s="1247"/>
      <c r="K42" s="1247"/>
      <c r="L42" s="1247"/>
      <c r="M42" s="1254"/>
      <c r="N42" s="1341"/>
    </row>
    <row r="43" spans="2:14" x14ac:dyDescent="0.2">
      <c r="B43" s="1348"/>
      <c r="C43" s="1349"/>
      <c r="D43" s="1350"/>
      <c r="E43" s="1351"/>
      <c r="F43" s="1351"/>
      <c r="G43" s="1351"/>
      <c r="H43" s="1351"/>
      <c r="I43" s="317"/>
      <c r="J43" s="317"/>
    </row>
    <row r="44" spans="2:14" x14ac:dyDescent="0.2">
      <c r="B44" s="1274"/>
      <c r="C44" s="1352"/>
      <c r="D44" s="1353"/>
      <c r="E44" s="1275"/>
      <c r="F44" s="1275"/>
      <c r="G44" s="317"/>
      <c r="H44" s="317"/>
      <c r="I44" s="317"/>
      <c r="J44" s="317"/>
    </row>
    <row r="45" spans="2:14" ht="13.5" customHeight="1" x14ac:dyDescent="0.2">
      <c r="B45" s="1273"/>
      <c r="G45" s="317"/>
      <c r="H45" s="317"/>
      <c r="I45" s="317"/>
      <c r="J45" s="317"/>
    </row>
    <row r="46" spans="2:14" ht="13.5" customHeight="1" x14ac:dyDescent="0.2">
      <c r="B46" s="1356"/>
      <c r="C46" s="1357"/>
      <c r="D46" s="1358"/>
      <c r="E46" s="1294"/>
      <c r="F46" s="1294"/>
      <c r="G46" s="1294"/>
      <c r="H46" s="1294"/>
      <c r="I46" s="1294"/>
      <c r="J46" s="1294"/>
      <c r="K46" s="1359"/>
      <c r="L46" s="1359"/>
      <c r="M46" s="1294"/>
    </row>
    <row r="47" spans="2:14" ht="9.6" customHeight="1" x14ac:dyDescent="0.2">
      <c r="B47" s="1360"/>
      <c r="G47" s="317"/>
      <c r="H47" s="317"/>
      <c r="I47" s="317"/>
      <c r="J47" s="317"/>
    </row>
    <row r="48" spans="2:14" ht="11.25" customHeight="1" x14ac:dyDescent="0.2">
      <c r="B48" s="1361"/>
      <c r="C48" s="1362"/>
      <c r="D48" s="1362"/>
      <c r="E48" s="1362"/>
      <c r="F48" s="1362"/>
      <c r="G48" s="1362"/>
      <c r="H48" s="1362"/>
      <c r="I48" s="1363"/>
      <c r="J48" s="1363"/>
      <c r="K48" s="1363"/>
      <c r="L48" s="1363"/>
      <c r="M48" s="1363"/>
    </row>
    <row r="49" spans="2:13" ht="11.25" customHeight="1" x14ac:dyDescent="0.2">
      <c r="B49" s="1364"/>
      <c r="C49" s="1363"/>
      <c r="D49" s="1363"/>
      <c r="E49" s="1363"/>
      <c r="F49" s="1363"/>
      <c r="G49" s="1363"/>
      <c r="H49" s="1363"/>
      <c r="I49" s="1363"/>
      <c r="J49" s="1363"/>
      <c r="K49" s="1363"/>
      <c r="L49" s="1363"/>
      <c r="M49" s="1363"/>
    </row>
    <row r="50" spans="2:13" ht="3.95" customHeight="1" x14ac:dyDescent="0.2">
      <c r="B50" s="1364"/>
      <c r="C50" s="1363"/>
      <c r="D50" s="1363"/>
      <c r="E50" s="1363"/>
      <c r="F50" s="1363"/>
      <c r="G50" s="1363"/>
      <c r="H50" s="1363"/>
      <c r="I50" s="1363"/>
      <c r="J50" s="1363"/>
      <c r="K50" s="1363"/>
      <c r="L50" s="1363"/>
      <c r="M50" s="1363"/>
    </row>
    <row r="51" spans="2:13" ht="11.25" customHeight="1" x14ac:dyDescent="0.2">
      <c r="B51" s="1361"/>
      <c r="C51" s="1363"/>
      <c r="D51" s="1363"/>
      <c r="E51" s="1363"/>
      <c r="F51" s="1363"/>
      <c r="G51" s="1363"/>
      <c r="H51" s="1363"/>
      <c r="I51" s="1363"/>
      <c r="J51" s="1363"/>
      <c r="K51" s="1363"/>
      <c r="L51" s="1363"/>
      <c r="M51" s="1363"/>
    </row>
    <row r="52" spans="2:13" ht="11.25" customHeight="1" x14ac:dyDescent="0.2">
      <c r="B52" s="1297"/>
      <c r="C52" s="1365"/>
      <c r="D52" s="1366"/>
      <c r="E52" s="1297"/>
      <c r="F52" s="1297"/>
      <c r="G52" s="1297"/>
      <c r="H52" s="1297"/>
      <c r="I52" s="1297"/>
      <c r="J52" s="1297"/>
      <c r="K52" s="1367"/>
      <c r="L52" s="1367"/>
      <c r="M52" s="1297"/>
    </row>
    <row r="53" spans="2:13" ht="3.95" customHeight="1" x14ac:dyDescent="0.2">
      <c r="B53" s="1297"/>
      <c r="C53" s="1365"/>
      <c r="D53" s="1366"/>
      <c r="E53" s="1297"/>
      <c r="F53" s="1297"/>
      <c r="G53" s="1297"/>
      <c r="H53" s="1297"/>
      <c r="I53" s="1297"/>
      <c r="J53" s="1297"/>
      <c r="K53" s="1367"/>
      <c r="L53" s="1367"/>
      <c r="M53" s="1297"/>
    </row>
    <row r="54" spans="2:13" ht="11.25" customHeight="1" x14ac:dyDescent="0.2">
      <c r="B54" s="1368"/>
      <c r="C54" s="1365"/>
      <c r="D54" s="1366"/>
      <c r="E54" s="1297"/>
      <c r="F54" s="1297"/>
      <c r="G54" s="1297"/>
      <c r="H54" s="1297"/>
      <c r="I54" s="1297"/>
      <c r="J54" s="1297"/>
      <c r="K54" s="1367"/>
      <c r="L54" s="1367"/>
      <c r="M54" s="1297"/>
    </row>
    <row r="55" spans="2:13" ht="3.95" customHeight="1" x14ac:dyDescent="0.2">
      <c r="B55" s="1368"/>
      <c r="C55" s="1365"/>
      <c r="D55" s="1366"/>
      <c r="E55" s="1297"/>
      <c r="F55" s="1297"/>
      <c r="G55" s="1297"/>
      <c r="H55" s="1297"/>
      <c r="I55" s="1297"/>
      <c r="J55" s="1297"/>
      <c r="K55" s="1367"/>
      <c r="L55" s="1367"/>
      <c r="M55" s="1297"/>
    </row>
    <row r="56" spans="2:13" ht="11.25" customHeight="1" x14ac:dyDescent="0.2">
      <c r="B56" s="1369"/>
      <c r="C56" s="1365"/>
      <c r="D56" s="1366"/>
      <c r="E56" s="1297"/>
      <c r="F56" s="1297"/>
      <c r="G56" s="1297"/>
      <c r="H56" s="1297"/>
      <c r="I56" s="1297"/>
      <c r="J56" s="1297"/>
      <c r="K56" s="1367"/>
      <c r="L56" s="1367"/>
      <c r="M56" s="1297"/>
    </row>
    <row r="57" spans="2:13" ht="11.25" customHeight="1" x14ac:dyDescent="0.2">
      <c r="B57" s="1297"/>
      <c r="G57" s="317"/>
      <c r="H57" s="317"/>
      <c r="I57" s="317"/>
      <c r="J57" s="317"/>
    </row>
    <row r="58" spans="2:13" ht="11.1" customHeight="1" x14ac:dyDescent="0.2">
      <c r="B58" s="1297"/>
      <c r="G58" s="317"/>
      <c r="H58" s="317"/>
      <c r="I58" s="317"/>
      <c r="J58" s="317"/>
    </row>
    <row r="59" spans="2:13" ht="11.1" customHeight="1" x14ac:dyDescent="0.2">
      <c r="B59" s="1297"/>
      <c r="G59" s="317"/>
      <c r="H59" s="317"/>
      <c r="I59" s="317"/>
      <c r="J59" s="317"/>
    </row>
    <row r="60" spans="2:13" ht="13.5" customHeight="1" x14ac:dyDescent="0.2">
      <c r="M60" s="1370"/>
    </row>
    <row r="61" spans="2:13" ht="13.5" customHeight="1" x14ac:dyDescent="0.2">
      <c r="M61" s="1370"/>
    </row>
    <row r="62" spans="2:13" ht="13.5" customHeight="1" x14ac:dyDescent="0.2">
      <c r="M62" s="1370"/>
    </row>
    <row r="63" spans="2:13" ht="13.5" customHeight="1" x14ac:dyDescent="0.2">
      <c r="G63" s="317"/>
      <c r="H63" s="317"/>
      <c r="I63" s="317"/>
      <c r="J63" s="317"/>
    </row>
    <row r="64" spans="2:13" ht="13.5" customHeight="1" x14ac:dyDescent="0.2">
      <c r="G64" s="317"/>
      <c r="H64" s="317"/>
      <c r="I64" s="317"/>
      <c r="J64" s="317"/>
    </row>
    <row r="65" spans="7:10" ht="13.5" customHeight="1" x14ac:dyDescent="0.2">
      <c r="G65" s="317"/>
      <c r="H65" s="317"/>
      <c r="I65" s="317"/>
      <c r="J65" s="317"/>
    </row>
    <row r="66" spans="7:10" ht="13.5" customHeight="1" x14ac:dyDescent="0.2">
      <c r="G66" s="317"/>
      <c r="H66" s="317"/>
      <c r="I66" s="317"/>
      <c r="J66" s="317"/>
    </row>
    <row r="67" spans="7:10" ht="13.5" customHeight="1" x14ac:dyDescent="0.2">
      <c r="G67" s="317"/>
      <c r="H67" s="317"/>
      <c r="I67" s="317"/>
      <c r="J67" s="317"/>
    </row>
    <row r="68" spans="7:10" ht="13.5" customHeight="1" x14ac:dyDescent="0.2">
      <c r="G68" s="317"/>
      <c r="H68" s="317"/>
      <c r="I68" s="317"/>
      <c r="J68" s="317"/>
    </row>
    <row r="69" spans="7:10" ht="13.5" customHeight="1" x14ac:dyDescent="0.2">
      <c r="G69" s="317"/>
      <c r="H69" s="317"/>
      <c r="I69" s="317"/>
      <c r="J69" s="317"/>
    </row>
    <row r="70" spans="7:10" ht="13.5" customHeight="1" x14ac:dyDescent="0.2"/>
    <row r="71" spans="7:10" ht="13.5" customHeight="1" x14ac:dyDescent="0.2"/>
    <row r="72" spans="7:10" ht="13.5" customHeight="1" x14ac:dyDescent="0.2"/>
    <row r="73" spans="7:10" ht="25.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25.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4.7" customHeight="1" x14ac:dyDescent="0.2"/>
    <row r="123" ht="12.2"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4.7" customHeight="1" x14ac:dyDescent="0.2"/>
    <row r="163"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Bourbonnais SD 53</v>
      </c>
      <c r="B1" s="2452"/>
      <c r="C1" s="2452"/>
      <c r="D1" s="2452"/>
      <c r="E1" s="2452"/>
      <c r="F1" s="2452"/>
    </row>
    <row r="2" spans="1:7" ht="13.5" customHeight="1" x14ac:dyDescent="0.2">
      <c r="A2" s="2440">
        <f>'Single Audit Cover'!E7</f>
        <v>32046053002</v>
      </c>
      <c r="B2" s="2440"/>
      <c r="C2" s="2440"/>
      <c r="D2" s="2440"/>
      <c r="E2" s="2440"/>
      <c r="F2" s="2440"/>
      <c r="G2" s="1272"/>
    </row>
    <row r="3" spans="1:7" ht="15.75" customHeight="1" x14ac:dyDescent="0.2">
      <c r="A3" s="2453" t="s">
        <v>1270</v>
      </c>
      <c r="B3" s="2453"/>
      <c r="C3" s="2453"/>
      <c r="D3" s="2453"/>
      <c r="E3" s="2453"/>
      <c r="F3" s="2453"/>
    </row>
    <row r="4" spans="1:7" ht="13.5" customHeight="1" x14ac:dyDescent="0.2">
      <c r="A4" s="2454" t="str">
        <f>'Single Audit Cover'!A4</f>
        <v>Year Ending June 30, 2019</v>
      </c>
      <c r="B4" s="2454"/>
      <c r="C4" s="2454"/>
      <c r="D4" s="2454"/>
      <c r="E4" s="2454"/>
      <c r="F4" s="2454"/>
    </row>
    <row r="5" spans="1:7" ht="8.25" customHeight="1" x14ac:dyDescent="0.2">
      <c r="C5" s="317"/>
      <c r="D5" s="317"/>
    </row>
    <row r="6" spans="1:7" ht="13.5" customHeight="1" x14ac:dyDescent="0.2">
      <c r="A6" s="1273" t="s">
        <v>1724</v>
      </c>
      <c r="C6" s="317"/>
      <c r="D6" s="317"/>
    </row>
    <row r="7" spans="1:7" ht="60.95" customHeight="1" x14ac:dyDescent="0.2">
      <c r="A7" s="2451" t="s">
        <v>2112</v>
      </c>
      <c r="B7" s="2451"/>
      <c r="C7" s="2451"/>
      <c r="D7" s="2451"/>
      <c r="E7" s="2451"/>
      <c r="F7" s="2451"/>
    </row>
    <row r="8" spans="1:7" ht="12" customHeight="1" x14ac:dyDescent="0.2">
      <c r="A8" s="1273"/>
      <c r="B8" s="1279"/>
      <c r="C8" s="1279"/>
      <c r="D8" s="1279"/>
    </row>
    <row r="9" spans="1:7" ht="15" customHeight="1" x14ac:dyDescent="0.2">
      <c r="A9" s="1274" t="s">
        <v>1725</v>
      </c>
      <c r="B9" s="1277"/>
      <c r="C9" s="1277"/>
      <c r="D9" s="1277"/>
      <c r="E9" s="1275"/>
      <c r="F9" s="1275"/>
      <c r="G9" s="1275"/>
    </row>
    <row r="10" spans="1:7" ht="15" customHeight="1" x14ac:dyDescent="0.2">
      <c r="A10" s="1276" t="s">
        <v>1546</v>
      </c>
      <c r="B10" s="1277"/>
      <c r="C10" s="1278" t="s">
        <v>2113</v>
      </c>
      <c r="D10" s="1277" t="s">
        <v>1547</v>
      </c>
      <c r="E10" s="1278"/>
      <c r="F10" s="1277" t="s">
        <v>99</v>
      </c>
      <c r="G10" s="1275"/>
    </row>
    <row r="11" spans="1:7" ht="12" customHeight="1" x14ac:dyDescent="0.2">
      <c r="A11" s="1276"/>
      <c r="B11" s="1277"/>
      <c r="C11" s="1902"/>
      <c r="D11" s="1277"/>
      <c r="E11" s="1902"/>
      <c r="F11" s="1277"/>
      <c r="G11" s="1275"/>
    </row>
    <row r="12" spans="1:7" x14ac:dyDescent="0.2">
      <c r="A12" s="1273" t="s">
        <v>1583</v>
      </c>
      <c r="C12" s="1257"/>
      <c r="D12" s="1257"/>
    </row>
    <row r="13" spans="1:7" ht="15" customHeight="1" x14ac:dyDescent="0.2">
      <c r="A13" s="2451" t="s">
        <v>1726</v>
      </c>
      <c r="B13" s="2451"/>
      <c r="C13" s="2451"/>
      <c r="D13" s="2451"/>
      <c r="E13" s="2451"/>
      <c r="F13" s="2451"/>
    </row>
    <row r="14" spans="1:7" ht="9.75" customHeight="1" x14ac:dyDescent="0.2">
      <c r="C14" s="1257"/>
      <c r="D14" s="1257"/>
    </row>
    <row r="15" spans="1:7" ht="13.5" customHeight="1" x14ac:dyDescent="0.2">
      <c r="C15" s="1846" t="s">
        <v>1269</v>
      </c>
      <c r="D15" s="2449" t="s">
        <v>1268</v>
      </c>
      <c r="E15" s="2449"/>
      <c r="F15" s="2449"/>
    </row>
    <row r="16" spans="1:7" ht="13.5" customHeight="1" x14ac:dyDescent="0.2">
      <c r="A16" s="1279"/>
      <c r="B16" s="1273" t="s">
        <v>1267</v>
      </c>
      <c r="C16" s="1846" t="s">
        <v>1266</v>
      </c>
      <c r="D16" s="2450" t="s">
        <v>1584</v>
      </c>
      <c r="E16" s="2450"/>
      <c r="F16" s="2450"/>
    </row>
    <row r="17" spans="1:6" ht="20.45" customHeight="1" x14ac:dyDescent="0.2">
      <c r="A17" s="1280"/>
      <c r="B17" s="1281" t="s">
        <v>2114</v>
      </c>
      <c r="C17" s="1282"/>
      <c r="D17" s="2444"/>
      <c r="E17" s="2444"/>
      <c r="F17" s="2444"/>
    </row>
    <row r="18" spans="1:6" ht="20.65" customHeight="1" x14ac:dyDescent="0.2">
      <c r="A18" s="1280"/>
      <c r="B18" s="1281"/>
      <c r="C18" s="1282"/>
      <c r="D18" s="2444"/>
      <c r="E18" s="2444"/>
      <c r="F18" s="2444"/>
    </row>
    <row r="19" spans="1:6" ht="20.65" customHeight="1" x14ac:dyDescent="0.2">
      <c r="A19" s="1280"/>
      <c r="B19" s="1281"/>
      <c r="C19" s="1282"/>
      <c r="D19" s="2444"/>
      <c r="E19" s="2444"/>
      <c r="F19" s="2444"/>
    </row>
    <row r="20" spans="1:6" ht="20.65" customHeight="1" x14ac:dyDescent="0.2">
      <c r="A20" s="1280"/>
      <c r="B20" s="1281"/>
      <c r="C20" s="1282"/>
      <c r="D20" s="2444"/>
      <c r="E20" s="2444"/>
      <c r="F20" s="2444"/>
    </row>
    <row r="21" spans="1:6" ht="20.65" customHeight="1" x14ac:dyDescent="0.2">
      <c r="A21" s="1280"/>
      <c r="B21" s="1281"/>
      <c r="C21" s="1282"/>
      <c r="D21" s="2444"/>
      <c r="E21" s="2444"/>
      <c r="F21" s="2444"/>
    </row>
    <row r="22" spans="1:6" ht="20.65" customHeight="1" x14ac:dyDescent="0.2">
      <c r="A22" s="1280"/>
      <c r="B22" s="1281"/>
      <c r="C22" s="1282"/>
      <c r="D22" s="2444"/>
      <c r="E22" s="2444"/>
      <c r="F22" s="2444"/>
    </row>
    <row r="23" spans="1:6" ht="20.65" customHeight="1" x14ac:dyDescent="0.2">
      <c r="A23" s="1280"/>
      <c r="B23" s="1281"/>
      <c r="C23" s="1282"/>
      <c r="D23" s="2444"/>
      <c r="E23" s="2444"/>
      <c r="F23" s="2444"/>
    </row>
    <row r="24" spans="1:6" ht="20.65" customHeight="1" x14ac:dyDescent="0.2">
      <c r="A24" s="1280"/>
      <c r="B24" s="1281"/>
      <c r="C24" s="1282"/>
      <c r="D24" s="2444"/>
      <c r="E24" s="2444"/>
      <c r="F24" s="2444"/>
    </row>
    <row r="25" spans="1:6" ht="20.65" customHeight="1" x14ac:dyDescent="0.2">
      <c r="A25" s="1280"/>
      <c r="B25" s="1281"/>
      <c r="C25" s="1282"/>
      <c r="D25" s="2444"/>
      <c r="E25" s="2444"/>
      <c r="F25" s="2444"/>
    </row>
    <row r="26" spans="1:6" ht="20.65" customHeight="1" x14ac:dyDescent="0.2">
      <c r="A26" s="1280"/>
      <c r="B26" s="1281"/>
      <c r="C26" s="1282"/>
      <c r="D26" s="2444"/>
      <c r="E26" s="2444"/>
      <c r="F26" s="2444"/>
    </row>
    <row r="27" spans="1:6" ht="20.65" customHeight="1" x14ac:dyDescent="0.2">
      <c r="A27" s="1280"/>
      <c r="B27" s="1281"/>
      <c r="C27" s="1282"/>
      <c r="D27" s="2444"/>
      <c r="E27" s="2444"/>
      <c r="F27" s="2444"/>
    </row>
    <row r="28" spans="1:6" ht="20.65" customHeight="1" x14ac:dyDescent="0.2">
      <c r="A28" s="1280"/>
      <c r="B28" s="1281"/>
      <c r="C28" s="1282"/>
      <c r="D28" s="2444"/>
      <c r="E28" s="2444"/>
      <c r="F28" s="2444"/>
    </row>
    <row r="29" spans="1:6" ht="20.65" customHeight="1" x14ac:dyDescent="0.2">
      <c r="A29" s="1280"/>
      <c r="B29" s="1281"/>
      <c r="C29" s="1282"/>
      <c r="D29" s="2444"/>
      <c r="E29" s="2444"/>
      <c r="F29" s="2444"/>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5" t="s">
        <v>1727</v>
      </c>
      <c r="B32" s="2445"/>
      <c r="C32" s="2445"/>
      <c r="D32" s="2445"/>
      <c r="E32" s="2445"/>
      <c r="F32" s="2445"/>
    </row>
    <row r="33" spans="1:6" ht="13.5" customHeight="1" x14ac:dyDescent="0.2">
      <c r="A33" s="328" t="s">
        <v>1433</v>
      </c>
      <c r="B33" s="328"/>
      <c r="C33" s="1285">
        <v>17033</v>
      </c>
      <c r="D33" s="1903"/>
      <c r="E33" s="1283"/>
    </row>
    <row r="34" spans="1:6" ht="13.5" customHeight="1" x14ac:dyDescent="0.2">
      <c r="A34" s="328" t="s">
        <v>1828</v>
      </c>
      <c r="B34" s="328"/>
      <c r="C34" s="1286">
        <v>42868</v>
      </c>
      <c r="D34" s="1903" t="s">
        <v>1585</v>
      </c>
      <c r="E34" s="2446">
        <f>+C33+C34</f>
        <v>59901</v>
      </c>
      <c r="F34" s="2447"/>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t="s">
        <v>383</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1728</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1586</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3" t="s">
        <v>1550</v>
      </c>
      <c r="C51" s="2443"/>
      <c r="D51" s="2443"/>
    </row>
    <row r="52" spans="1:5" ht="14.25" customHeight="1" x14ac:dyDescent="0.2">
      <c r="A52" s="1298"/>
      <c r="B52" s="2443"/>
      <c r="C52" s="2443"/>
      <c r="D52" s="244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0" colorId="8" zoomScale="110" zoomScaleNormal="110" workbookViewId="0">
      <selection activeCell="F119" sqref="F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1633</v>
      </c>
      <c r="B4" s="344"/>
      <c r="C4" s="344"/>
      <c r="D4" s="344"/>
      <c r="E4" s="344"/>
      <c r="F4" s="344"/>
      <c r="G4" s="344"/>
      <c r="H4" s="344"/>
      <c r="I4" s="344"/>
      <c r="J4" s="344"/>
      <c r="K4" s="344"/>
    </row>
    <row r="5" spans="1:11" x14ac:dyDescent="0.2">
      <c r="A5" s="237" t="s">
        <v>1634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1620</v>
      </c>
    </row>
    <row r="11" spans="1:11" s="181" customFormat="1" x14ac:dyDescent="0.2">
      <c r="A11" s="219"/>
      <c r="B11" s="226"/>
      <c r="C11" s="227">
        <v>2</v>
      </c>
      <c r="D11" s="228" t="s">
        <v>1621</v>
      </c>
    </row>
    <row r="12" spans="1:11" s="181" customFormat="1" hidden="1" x14ac:dyDescent="0.2">
      <c r="A12" s="219"/>
      <c r="B12" s="229"/>
      <c r="C12" s="227"/>
      <c r="D12" s="230"/>
    </row>
    <row r="13" spans="1:11" s="181" customFormat="1" x14ac:dyDescent="0.2">
      <c r="A13" s="219"/>
      <c r="B13" s="226"/>
      <c r="C13" s="227">
        <v>3</v>
      </c>
      <c r="D13" s="228" t="s">
        <v>1622</v>
      </c>
    </row>
    <row r="14" spans="1:11" s="181" customFormat="1" x14ac:dyDescent="0.2">
      <c r="A14" s="219"/>
      <c r="B14" s="226"/>
      <c r="C14" s="227">
        <v>4</v>
      </c>
      <c r="D14" s="228" t="s">
        <v>1623</v>
      </c>
    </row>
    <row r="15" spans="1:11" s="181" customFormat="1" x14ac:dyDescent="0.2">
      <c r="A15" s="219"/>
      <c r="B15" s="226"/>
      <c r="C15" s="227">
        <v>5</v>
      </c>
      <c r="D15" s="231" t="s">
        <v>969</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1624</v>
      </c>
    </row>
    <row r="21" spans="1:4" s="181" customFormat="1" x14ac:dyDescent="0.2">
      <c r="A21" s="219"/>
      <c r="B21" s="229"/>
      <c r="C21" s="227"/>
      <c r="D21" s="233" t="s">
        <v>1554</v>
      </c>
    </row>
    <row r="22" spans="1:4" s="181" customFormat="1" x14ac:dyDescent="0.2">
      <c r="A22" s="219"/>
      <c r="B22" s="226"/>
      <c r="C22" s="227">
        <v>9</v>
      </c>
      <c r="D22" s="231" t="s">
        <v>1625</v>
      </c>
    </row>
    <row r="23" spans="1:4" s="181" customFormat="1" x14ac:dyDescent="0.2">
      <c r="A23" s="219"/>
      <c r="B23" s="234"/>
      <c r="C23" s="227"/>
      <c r="D23" s="235" t="s">
        <v>1555</v>
      </c>
    </row>
    <row r="24" spans="1:4" s="181" customFormat="1" x14ac:dyDescent="0.2">
      <c r="A24" s="219"/>
      <c r="B24" s="226"/>
      <c r="C24" s="227">
        <v>10</v>
      </c>
      <c r="D24" s="231" t="s">
        <v>1626</v>
      </c>
    </row>
    <row r="25" spans="1:4" s="181" customFormat="1" x14ac:dyDescent="0.2">
      <c r="A25" s="219"/>
      <c r="B25" s="226"/>
      <c r="C25" s="227">
        <v>11</v>
      </c>
      <c r="D25" s="231" t="s">
        <v>1627</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1628</v>
      </c>
    </row>
    <row r="31" spans="1:4" s="181" customFormat="1" x14ac:dyDescent="0.2">
      <c r="A31" s="219"/>
      <c r="B31" s="226"/>
      <c r="C31" s="227">
        <v>14</v>
      </c>
      <c r="D31" s="231" t="s">
        <v>1933</v>
      </c>
    </row>
    <row r="32" spans="1:4" s="181" customFormat="1" x14ac:dyDescent="0.2">
      <c r="A32" s="219"/>
      <c r="B32" s="236"/>
      <c r="C32" s="227"/>
      <c r="D32" s="237" t="s">
        <v>1783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1629</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1630</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1631</v>
      </c>
    </row>
    <row r="43" spans="1:9" s="181" customFormat="1" x14ac:dyDescent="0.2">
      <c r="A43" s="219"/>
      <c r="B43" s="229"/>
      <c r="C43" s="227"/>
      <c r="D43" s="240" t="s">
        <v>1632</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1635</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2054</v>
      </c>
      <c r="C53" s="179">
        <v>22</v>
      </c>
      <c r="D53" s="247" t="s">
        <v>1461</v>
      </c>
      <c r="E53" s="248"/>
      <c r="F53" s="249"/>
      <c r="G53" s="249" t="s">
        <v>1460</v>
      </c>
      <c r="H53" s="250">
        <v>35431</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1322</v>
      </c>
      <c r="B70" s="2077"/>
      <c r="C70" s="2077"/>
      <c r="D70" s="2077"/>
      <c r="E70" s="2078"/>
      <c r="F70" s="2078"/>
      <c r="G70" s="2078"/>
      <c r="H70" s="2078"/>
      <c r="I70" s="207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1918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1934</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1643</v>
      </c>
      <c r="G77" s="297" t="s">
        <v>1893</v>
      </c>
      <c r="I77" s="1838"/>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1641</v>
      </c>
      <c r="E79" s="248"/>
      <c r="F79" s="249"/>
    </row>
    <row r="80" spans="1:10" s="181" customFormat="1" x14ac:dyDescent="0.2">
      <c r="A80" s="219"/>
      <c r="B80" s="262"/>
      <c r="C80" s="179"/>
      <c r="D80" s="247" t="s">
        <v>1642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1319</v>
      </c>
      <c r="B83" s="2079"/>
      <c r="C83" s="2079"/>
      <c r="D83" s="208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1916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1916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1636</v>
      </c>
      <c r="C92" s="179"/>
      <c r="E92" s="260"/>
      <c r="F92" s="296"/>
      <c r="H92" s="297"/>
    </row>
    <row r="93" spans="1:10" s="181" customFormat="1" ht="16.5" customHeight="1" x14ac:dyDescent="0.2">
      <c r="A93" s="219"/>
      <c r="B93" s="298" t="s">
        <v>1917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1637</v>
      </c>
      <c r="C95" s="309"/>
      <c r="D95" s="310"/>
      <c r="E95" s="304"/>
      <c r="F95" s="304"/>
      <c r="G95" s="304"/>
      <c r="H95" s="304"/>
      <c r="I95" s="304"/>
    </row>
    <row r="96" spans="1:10" s="181" customFormat="1" x14ac:dyDescent="0.2">
      <c r="A96" s="307" t="s">
        <v>1169</v>
      </c>
      <c r="B96" s="345" t="s">
        <v>1639</v>
      </c>
      <c r="C96" s="309"/>
      <c r="D96" s="311"/>
      <c r="E96" s="311"/>
      <c r="F96" s="311"/>
      <c r="G96" s="311"/>
      <c r="H96" s="311"/>
      <c r="I96" s="304"/>
    </row>
    <row r="97" spans="1:9" s="181" customFormat="1" x14ac:dyDescent="0.2">
      <c r="A97" s="307"/>
      <c r="B97" s="308" t="s">
        <v>1638</v>
      </c>
      <c r="C97" s="309"/>
      <c r="D97" s="311"/>
      <c r="E97" s="311"/>
      <c r="F97" s="311"/>
      <c r="G97" s="311"/>
      <c r="H97" s="311"/>
      <c r="I97" s="304"/>
    </row>
    <row r="98" spans="1:9" s="181" customFormat="1" x14ac:dyDescent="0.2">
      <c r="A98" s="308"/>
      <c r="B98" s="312" t="s">
        <v>1640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2057</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1329</v>
      </c>
      <c r="D117" s="2072"/>
      <c r="E117" s="2073"/>
      <c r="F117" s="2073"/>
      <c r="G117" s="2073"/>
      <c r="H117" s="2073"/>
      <c r="I117" s="304"/>
    </row>
    <row r="118" spans="1:9" s="181" customFormat="1" ht="24" customHeight="1" x14ac:dyDescent="0.2">
      <c r="A118" s="316"/>
      <c r="B118" s="316"/>
      <c r="C118" s="316"/>
      <c r="D118" s="323"/>
      <c r="E118" s="322"/>
      <c r="F118" s="1946">
        <v>43748</v>
      </c>
      <c r="G118" s="1840"/>
      <c r="H118" s="322"/>
      <c r="I118" s="304"/>
    </row>
    <row r="119" spans="1:9" s="181" customFormat="1" ht="11.25" customHeight="1" x14ac:dyDescent="0.2">
      <c r="A119" s="325"/>
      <c r="B119" s="325"/>
      <c r="C119" s="326"/>
      <c r="D119" s="327" t="s">
        <v>361</v>
      </c>
      <c r="E119" s="310"/>
      <c r="F119" s="1839" t="s">
        <v>1894</v>
      </c>
      <c r="G119" s="328"/>
      <c r="H119" s="328"/>
      <c r="I119" s="304"/>
    </row>
    <row r="120" spans="1:9" x14ac:dyDescent="0.2">
      <c r="A120" s="329"/>
      <c r="B120" s="180"/>
      <c r="C120" s="330"/>
      <c r="D120" s="256"/>
      <c r="E120" s="256"/>
      <c r="F120" s="256"/>
      <c r="G120" s="256"/>
      <c r="H120" s="256"/>
      <c r="I120" s="304"/>
    </row>
    <row r="121" spans="1:9" x14ac:dyDescent="0.2">
      <c r="A121" s="329"/>
      <c r="B121" s="1488" t="s">
        <v>1597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D46" sqref="D4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Bourbonnais SD 53</v>
      </c>
      <c r="C1" s="2467"/>
      <c r="D1" s="2467"/>
      <c r="E1" s="2467"/>
      <c r="F1" s="2467"/>
      <c r="G1" s="2467"/>
      <c r="H1" s="2467"/>
      <c r="I1" s="2467"/>
      <c r="J1" s="1406"/>
    </row>
    <row r="2" spans="2:10" s="317" customFormat="1" ht="12.75" customHeight="1" x14ac:dyDescent="0.2">
      <c r="B2" s="2468">
        <f>'Single Audit Cover'!E7</f>
        <v>32046053002</v>
      </c>
      <c r="C2" s="2469"/>
      <c r="D2" s="2469"/>
      <c r="E2" s="2469"/>
      <c r="F2" s="2469"/>
      <c r="G2" s="2469"/>
      <c r="H2" s="2469"/>
      <c r="I2" s="2469"/>
      <c r="J2" s="1406"/>
    </row>
    <row r="3" spans="2:10" s="317" customFormat="1" ht="12.75" customHeight="1" x14ac:dyDescent="0.2">
      <c r="B3" s="2470" t="s">
        <v>1284</v>
      </c>
      <c r="C3" s="2471"/>
      <c r="D3" s="2471"/>
      <c r="E3" s="2471"/>
      <c r="F3" s="2471"/>
      <c r="G3" s="2471"/>
      <c r="H3" s="2471"/>
      <c r="I3" s="2471"/>
      <c r="J3" s="1407"/>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0" t="s">
        <v>1283</v>
      </c>
      <c r="C7" s="2471"/>
      <c r="D7" s="2471"/>
      <c r="E7" s="2471"/>
      <c r="F7" s="2471"/>
      <c r="G7" s="2471"/>
      <c r="H7" s="2471"/>
      <c r="I7" s="247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72" t="s">
        <v>2115</v>
      </c>
      <c r="D11" s="2472"/>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885</v>
      </c>
      <c r="G15" s="1422" t="s">
        <v>2054</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885</v>
      </c>
      <c r="G18" s="1422" t="s">
        <v>2054</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1587</v>
      </c>
      <c r="C20" s="1421"/>
      <c r="D20" s="1395"/>
      <c r="E20" s="1422"/>
      <c r="F20" s="1297" t="s">
        <v>885</v>
      </c>
      <c r="G20" s="1422" t="s">
        <v>2054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885</v>
      </c>
      <c r="G24" s="1422" t="s">
        <v>2054</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885</v>
      </c>
      <c r="G27" s="1422" t="s">
        <v>2054</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73"/>
      <c r="E29" s="2473"/>
      <c r="F29" s="2473"/>
      <c r="G29" s="2473"/>
      <c r="H29" s="2473"/>
      <c r="I29" s="2473"/>
    </row>
    <row r="30" spans="2:9" s="317" customFormat="1" x14ac:dyDescent="0.2">
      <c r="B30" s="1365"/>
      <c r="C30" s="322"/>
      <c r="D30" s="1417" t="s">
        <v>1738</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885</v>
      </c>
      <c r="G33" s="1422"/>
      <c r="H33" s="1297" t="s">
        <v>99</v>
      </c>
    </row>
    <row r="35" spans="2:9" x14ac:dyDescent="0.2">
      <c r="B35" s="1425" t="s">
        <v>1739</v>
      </c>
      <c r="C35" s="1426"/>
      <c r="D35" s="1264"/>
    </row>
    <row r="36" spans="2:9" ht="6" customHeight="1" x14ac:dyDescent="0.2">
      <c r="B36" s="1425"/>
      <c r="C36" s="1426"/>
      <c r="D36" s="1264"/>
    </row>
    <row r="37" spans="2:9" ht="17.25" customHeight="1" x14ac:dyDescent="0.2">
      <c r="B37" s="1427" t="s">
        <v>1740</v>
      </c>
      <c r="C37" s="2474" t="s">
        <v>1741</v>
      </c>
      <c r="D37" s="2475"/>
      <c r="E37" s="2475"/>
      <c r="F37" s="2476"/>
      <c r="G37" s="2474" t="s">
        <v>1588</v>
      </c>
      <c r="H37" s="2475"/>
      <c r="I37" s="2476"/>
    </row>
    <row r="38" spans="2:9" ht="16.5" customHeight="1" x14ac:dyDescent="0.2">
      <c r="B38" s="1428" t="s">
        <v>2074</v>
      </c>
      <c r="C38" s="2462" t="s">
        <v>2118</v>
      </c>
      <c r="D38" s="2463"/>
      <c r="E38" s="2463"/>
      <c r="F38" s="2464"/>
      <c r="G38" s="2477">
        <v>572650</v>
      </c>
      <c r="H38" s="2478"/>
      <c r="I38" s="2479"/>
    </row>
    <row r="39" spans="2:9" ht="16.5" customHeight="1" x14ac:dyDescent="0.2">
      <c r="B39" s="1428" t="s">
        <v>2116</v>
      </c>
      <c r="C39" s="2462" t="s">
        <v>2117</v>
      </c>
      <c r="D39" s="2463"/>
      <c r="E39" s="2463"/>
      <c r="F39" s="2464"/>
      <c r="G39" s="2465">
        <f>28373+2028</f>
        <v>30401</v>
      </c>
      <c r="H39" s="2465"/>
      <c r="I39" s="2465"/>
    </row>
    <row r="40" spans="2:9" ht="16.5" customHeight="1" x14ac:dyDescent="0.2">
      <c r="B40" s="1428"/>
      <c r="C40" s="2462"/>
      <c r="D40" s="2463"/>
      <c r="E40" s="2463"/>
      <c r="F40" s="2464"/>
      <c r="G40" s="2465"/>
      <c r="H40" s="2465"/>
      <c r="I40" s="2465"/>
    </row>
    <row r="41" spans="2:9" ht="16.5" customHeight="1" x14ac:dyDescent="0.2">
      <c r="B41" s="1428"/>
      <c r="C41" s="2462"/>
      <c r="D41" s="2463"/>
      <c r="E41" s="2463"/>
      <c r="F41" s="2464"/>
      <c r="G41" s="2465"/>
      <c r="H41" s="2465"/>
      <c r="I41" s="2465"/>
    </row>
    <row r="42" spans="2:9" ht="16.5" customHeight="1" x14ac:dyDescent="0.2">
      <c r="B42" s="1428"/>
      <c r="C42" s="2462"/>
      <c r="D42" s="2463"/>
      <c r="E42" s="2463"/>
      <c r="F42" s="2464"/>
      <c r="G42" s="2465"/>
      <c r="H42" s="2465"/>
      <c r="I42" s="2465"/>
    </row>
    <row r="43" spans="2:9" ht="16.5" customHeight="1" x14ac:dyDescent="0.2">
      <c r="B43" s="1428"/>
      <c r="C43" s="2455" t="s">
        <v>1589</v>
      </c>
      <c r="D43" s="2456"/>
      <c r="E43" s="2456"/>
      <c r="F43" s="2457"/>
      <c r="G43" s="2458">
        <f>SUM(G38:I42)</f>
        <v>603051</v>
      </c>
      <c r="H43" s="2458"/>
      <c r="I43" s="2458"/>
    </row>
    <row r="44" spans="2:9" ht="12.75" customHeight="1" x14ac:dyDescent="0.2"/>
    <row r="45" spans="2:9" ht="12.75" customHeight="1" x14ac:dyDescent="0.2">
      <c r="B45" s="1419" t="s">
        <v>2051</v>
      </c>
      <c r="D45" s="2459">
        <v>1990290</v>
      </c>
      <c r="E45" s="2460"/>
    </row>
    <row r="46" spans="2:9" ht="5.25" customHeight="1" x14ac:dyDescent="0.2">
      <c r="B46" s="1429"/>
      <c r="D46" s="1430"/>
      <c r="E46" s="1431"/>
    </row>
    <row r="47" spans="2:9" ht="12.75" customHeight="1" x14ac:dyDescent="0.2">
      <c r="B47" s="1297" t="s">
        <v>1590</v>
      </c>
      <c r="C47" s="1297"/>
      <c r="D47" s="1432">
        <f>+G43/D45</f>
        <v>0.30299654824171351</v>
      </c>
      <c r="E47" s="1433"/>
      <c r="F47" s="1434"/>
      <c r="I47" s="1435"/>
    </row>
    <row r="48" spans="2:9" ht="9.9499999999999993" customHeight="1" x14ac:dyDescent="0.2"/>
    <row r="49" spans="1:9" x14ac:dyDescent="0.2">
      <c r="B49" s="1365" t="s">
        <v>1272</v>
      </c>
      <c r="C49" s="1279"/>
      <c r="D49" s="1279"/>
      <c r="E49" s="2461">
        <v>750000</v>
      </c>
      <c r="F49" s="2461"/>
      <c r="G49" s="2461"/>
      <c r="H49" s="322"/>
    </row>
    <row r="51" spans="1:9" ht="13.5" customHeight="1" x14ac:dyDescent="0.2">
      <c r="B51" s="1365" t="s">
        <v>1271</v>
      </c>
      <c r="C51" s="1279"/>
      <c r="E51" s="1422" t="s">
        <v>2054</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1742</v>
      </c>
      <c r="C54" s="1444"/>
      <c r="D54" s="1444"/>
    </row>
    <row r="55" spans="1:9" s="1445" customFormat="1" ht="12.75" customHeight="1" x14ac:dyDescent="0.2">
      <c r="A55" s="1442"/>
      <c r="B55" s="1446" t="s">
        <v>1591</v>
      </c>
      <c r="C55" s="1442"/>
      <c r="D55" s="1442"/>
    </row>
    <row r="56" spans="1:9" s="1445" customFormat="1" ht="12.75" customHeight="1" x14ac:dyDescent="0.2">
      <c r="A56" s="1442"/>
      <c r="B56" s="1446" t="s">
        <v>1592</v>
      </c>
      <c r="C56" s="1442"/>
      <c r="D56" s="1442"/>
    </row>
    <row r="57" spans="1:9" s="1445" customFormat="1" ht="3.95" customHeight="1" x14ac:dyDescent="0.2">
      <c r="A57" s="1442"/>
      <c r="B57" s="1446"/>
      <c r="C57" s="1442"/>
      <c r="D57" s="1442"/>
    </row>
    <row r="58" spans="1:9" s="1445" customFormat="1" ht="13.5" customHeight="1" x14ac:dyDescent="0.2">
      <c r="A58" s="1442"/>
      <c r="B58" s="1447" t="s">
        <v>1743</v>
      </c>
      <c r="C58" s="1448"/>
      <c r="D58" s="1448"/>
    </row>
    <row r="59" spans="1:9" s="1445" customFormat="1" ht="3.95" customHeight="1" x14ac:dyDescent="0.2">
      <c r="A59" s="1442"/>
      <c r="B59" s="1447"/>
      <c r="C59" s="1448"/>
      <c r="D59" s="1448"/>
    </row>
    <row r="60" spans="1:9" s="1445" customFormat="1" ht="13.5" customHeight="1" x14ac:dyDescent="0.2">
      <c r="A60" s="1442"/>
      <c r="B60" s="1447" t="s">
        <v>1744</v>
      </c>
      <c r="C60" s="1448"/>
      <c r="D60" s="1448"/>
    </row>
    <row r="61" spans="1:9" s="1445" customFormat="1" ht="3.95" customHeight="1" x14ac:dyDescent="0.2">
      <c r="A61" s="1442"/>
      <c r="B61" s="1447"/>
      <c r="C61" s="1448"/>
      <c r="D61" s="1448"/>
    </row>
    <row r="62" spans="1:9" s="1445" customFormat="1" ht="12.75" customHeight="1" x14ac:dyDescent="0.2">
      <c r="A62" s="1442"/>
      <c r="B62" s="1447" t="s">
        <v>1745</v>
      </c>
      <c r="C62" s="1448"/>
      <c r="D62" s="1448"/>
    </row>
    <row r="63" spans="1:9" s="1445" customFormat="1" ht="13.5" customHeight="1" x14ac:dyDescent="0.2">
      <c r="A63" s="1442"/>
      <c r="B63" s="1446" t="s">
        <v>1593</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Bourbonnais SD 53</v>
      </c>
      <c r="C1" s="2466"/>
      <c r="D1" s="2466"/>
      <c r="E1" s="2466"/>
      <c r="F1" s="2466"/>
      <c r="G1" s="2466"/>
      <c r="H1" s="2466"/>
      <c r="I1" s="2466"/>
      <c r="J1" s="2466"/>
      <c r="K1" s="2466"/>
      <c r="L1" s="1371"/>
      <c r="M1" s="1371"/>
    </row>
    <row r="2" spans="1:13" ht="12" customHeight="1" x14ac:dyDescent="0.2">
      <c r="B2" s="2468">
        <f>'Single Audit Cover'!E7</f>
        <v>32046053002</v>
      </c>
      <c r="C2" s="2468"/>
      <c r="D2" s="2468"/>
      <c r="E2" s="2468"/>
      <c r="F2" s="2468"/>
      <c r="G2" s="2468"/>
      <c r="H2" s="2468"/>
      <c r="I2" s="2468"/>
      <c r="J2" s="2468"/>
      <c r="K2" s="2468"/>
      <c r="L2" s="1372"/>
      <c r="M2" s="1373"/>
    </row>
    <row r="3" spans="1:13" ht="10.35" customHeight="1" x14ac:dyDescent="0.2">
      <c r="B3" s="2482" t="s">
        <v>1284</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1295</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1732</v>
      </c>
      <c r="C10" s="1382" t="s">
        <v>1978</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1" t="s">
        <v>2122</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81"/>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1733</v>
      </c>
      <c r="C19" s="1390"/>
      <c r="D19" s="1391"/>
      <c r="E19" s="1391"/>
      <c r="F19" s="1391"/>
      <c r="G19" s="1392"/>
      <c r="H19" s="1391"/>
      <c r="I19" s="1392"/>
      <c r="J19" s="1391"/>
      <c r="K19" s="1391"/>
      <c r="L19" s="1393"/>
    </row>
    <row r="20" spans="2:12" ht="45.75" customHeight="1" x14ac:dyDescent="0.2">
      <c r="B20" s="2485"/>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1"/>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1"/>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0"/>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1734</v>
      </c>
      <c r="C31" s="1400"/>
      <c r="D31" s="1375"/>
      <c r="E31" s="1376"/>
      <c r="F31" s="1376"/>
      <c r="G31" s="1377"/>
      <c r="H31" s="1376"/>
      <c r="I31" s="1377"/>
      <c r="J31" s="1376"/>
      <c r="K31" s="1376"/>
      <c r="L31" s="1378"/>
    </row>
    <row r="32" spans="2:12" s="322" customFormat="1" ht="44.25" customHeight="1" x14ac:dyDescent="0.2">
      <c r="B32" s="2480"/>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1735</v>
      </c>
      <c r="C35" s="1403"/>
      <c r="D35" s="322"/>
      <c r="E35" s="322"/>
      <c r="F35" s="322"/>
      <c r="L35" s="1378"/>
    </row>
    <row r="36" spans="1:13" ht="9.6" customHeight="1" x14ac:dyDescent="0.2">
      <c r="B36" s="1297" t="s">
        <v>1830</v>
      </c>
      <c r="C36" s="1297"/>
      <c r="L36" s="1378"/>
    </row>
    <row r="37" spans="1:13" ht="9.6" customHeight="1" x14ac:dyDescent="0.2">
      <c r="B37" s="1297" t="s">
        <v>1831</v>
      </c>
      <c r="C37" s="1297"/>
    </row>
    <row r="38" spans="1:13" ht="11.85" customHeight="1" x14ac:dyDescent="0.2">
      <c r="B38" s="1404" t="s">
        <v>1736</v>
      </c>
      <c r="C38" s="1404"/>
    </row>
    <row r="39" spans="1:13" ht="9.6" customHeight="1" x14ac:dyDescent="0.2">
      <c r="B39" s="1297" t="s">
        <v>1285</v>
      </c>
      <c r="C39" s="1297"/>
      <c r="M39" s="1405"/>
    </row>
    <row r="40" spans="1:13" ht="12.6" customHeight="1" x14ac:dyDescent="0.2">
      <c r="B40" s="1404" t="s">
        <v>1737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Bourbonnais SD 53</v>
      </c>
      <c r="C1" s="2489"/>
      <c r="D1" s="2489"/>
      <c r="E1" s="2489"/>
      <c r="F1" s="2489"/>
      <c r="G1" s="2489"/>
      <c r="H1" s="2489"/>
      <c r="I1" s="2489"/>
      <c r="J1" s="2489"/>
      <c r="K1" s="2489"/>
      <c r="L1" s="1449"/>
    </row>
    <row r="2" spans="1:12" ht="12.75" customHeight="1" x14ac:dyDescent="0.2">
      <c r="B2" s="2490">
        <f>'Single Audit Cover'!E7</f>
        <v>32046053002</v>
      </c>
      <c r="C2" s="2490"/>
      <c r="D2" s="2490"/>
      <c r="E2" s="2490"/>
      <c r="F2" s="2490"/>
      <c r="G2" s="2490"/>
      <c r="H2" s="2490"/>
      <c r="I2" s="2490"/>
      <c r="J2" s="2490"/>
      <c r="K2" s="2490"/>
      <c r="L2" s="1450"/>
    </row>
    <row r="3" spans="1:12" ht="12.75" customHeight="1" x14ac:dyDescent="0.2">
      <c r="B3" s="2482" t="s">
        <v>1284</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91" t="s">
        <v>1307</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1746</v>
      </c>
      <c r="C8" s="1451" t="s">
        <v>1978</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73"/>
      <c r="G12" s="2473"/>
      <c r="H12" s="2473"/>
      <c r="I12" s="2473"/>
      <c r="J12" s="2473"/>
      <c r="K12" s="247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6"/>
      <c r="E14" s="2486"/>
      <c r="F14" s="2486"/>
      <c r="H14" s="1459" t="s">
        <v>1302</v>
      </c>
      <c r="I14" s="2487"/>
      <c r="J14" s="2487"/>
      <c r="K14" s="248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7"/>
      <c r="E16" s="2487"/>
      <c r="F16" s="2487"/>
      <c r="G16" s="2487"/>
      <c r="H16" s="2487"/>
      <c r="I16" s="2487"/>
      <c r="J16" s="2487"/>
      <c r="K16" s="2487"/>
      <c r="L16" s="322"/>
    </row>
    <row r="17" spans="2:12" ht="13.5" customHeight="1" x14ac:dyDescent="0.2">
      <c r="B17" s="1384" t="s">
        <v>1300</v>
      </c>
      <c r="C17" s="1384"/>
      <c r="D17" s="2488"/>
      <c r="E17" s="2488"/>
      <c r="F17" s="2488"/>
      <c r="G17" s="2488"/>
      <c r="H17" s="2488"/>
      <c r="I17" s="2488"/>
      <c r="J17" s="2488"/>
      <c r="K17" s="248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1747</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1748</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1749</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1750</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1751</v>
      </c>
      <c r="C44" s="1403"/>
      <c r="D44" s="322"/>
      <c r="E44" s="322"/>
      <c r="F44" s="322"/>
    </row>
    <row r="45" spans="2:12" ht="10.5" customHeight="1" x14ac:dyDescent="0.2">
      <c r="B45" s="1404" t="s">
        <v>1752</v>
      </c>
      <c r="C45" s="1404"/>
      <c r="G45" s="317"/>
      <c r="I45" s="317"/>
    </row>
    <row r="46" spans="2:12" ht="11.1" customHeight="1" x14ac:dyDescent="0.2">
      <c r="B46" s="1404" t="s">
        <v>1753</v>
      </c>
      <c r="C46" s="1404"/>
      <c r="G46" s="317"/>
      <c r="I46" s="317"/>
    </row>
    <row r="47" spans="2:12" ht="11.1" customHeight="1" x14ac:dyDescent="0.2">
      <c r="B47" s="1404" t="s">
        <v>1754</v>
      </c>
      <c r="C47" s="1404"/>
      <c r="G47" s="317"/>
      <c r="I47" s="317"/>
    </row>
    <row r="48" spans="2:12" ht="11.1" customHeight="1" x14ac:dyDescent="0.2">
      <c r="B48" s="1404" t="s">
        <v>1755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6" t="str">
        <f>'Single Audit Cover'!A7</f>
        <v>Bourbonnais SD 53</v>
      </c>
      <c r="C1" s="2466"/>
      <c r="D1" s="2466"/>
      <c r="E1" s="1469"/>
    </row>
    <row r="2" spans="2:5" s="1279" customFormat="1" ht="12.75" customHeight="1" x14ac:dyDescent="0.2">
      <c r="B2" s="2468">
        <f>'Single Audit Cover'!E7</f>
        <v>32046053002</v>
      </c>
      <c r="C2" s="2468"/>
      <c r="D2" s="2468"/>
      <c r="E2" s="1470"/>
    </row>
    <row r="3" spans="2:5" ht="12.75" customHeight="1" x14ac:dyDescent="0.2">
      <c r="B3" s="2482" t="s">
        <v>1756</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1757</v>
      </c>
      <c r="C5" s="328"/>
      <c r="D5" s="328"/>
      <c r="E5" s="328"/>
    </row>
    <row r="6" spans="2:5" s="1279" customFormat="1" ht="13.5" customHeight="1" x14ac:dyDescent="0.2">
      <c r="B6" s="1473" t="s">
        <v>1314</v>
      </c>
      <c r="C6" s="1473" t="s">
        <v>1313</v>
      </c>
      <c r="D6" s="1473" t="s">
        <v>1758</v>
      </c>
    </row>
    <row r="7" spans="2:5" ht="13.5" customHeight="1" x14ac:dyDescent="0.2">
      <c r="B7" s="1474" t="s">
        <v>2122</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1759</v>
      </c>
    </row>
    <row r="46" spans="2:5" ht="12.2" customHeight="1" x14ac:dyDescent="0.2">
      <c r="B46" s="1483" t="s">
        <v>1760</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E37" sqref="E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1935</v>
      </c>
      <c r="E7" s="222"/>
      <c r="F7" s="351" t="s">
        <v>272</v>
      </c>
      <c r="G7" s="222"/>
      <c r="H7" s="222"/>
      <c r="I7" s="222"/>
      <c r="J7" s="352">
        <v>436761400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2.3026000000000001E-2</v>
      </c>
      <c r="E10" s="356" t="s">
        <v>1005</v>
      </c>
      <c r="F10" s="355">
        <v>4.8199999999999996E-3</v>
      </c>
      <c r="G10" s="356" t="s">
        <v>1005</v>
      </c>
      <c r="H10" s="355">
        <v>1.364E-3</v>
      </c>
      <c r="I10" s="356" t="s">
        <v>1006</v>
      </c>
      <c r="J10" s="1732">
        <f>ROUND(D10+F10+H10,5)</f>
        <v>2.921E-2</v>
      </c>
      <c r="K10" s="222"/>
      <c r="L10" s="355">
        <v>0</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23261948</v>
      </c>
      <c r="E16" s="356"/>
      <c r="F16" s="1733">
        <f>SUM('Acct Summary 7-8'!C17,'Acct Summary 7-8'!D17,'Acct Summary 7-8'!F17)</f>
        <v>23691932</v>
      </c>
      <c r="G16" s="356"/>
      <c r="H16" s="1733">
        <f>SUM(D16-F16)</f>
        <v>-429984</v>
      </c>
      <c r="I16" s="222"/>
      <c r="J16" s="1733">
        <f>SUM('Acct Summary 7-8'!C81,'Acct Summary 7-8'!D81,'Acct Summary 7-8'!F81,'Acct Summary 7-8'!I81)</f>
        <v>13475424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1646</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2054</v>
      </c>
      <c r="C31" s="367" t="s">
        <v>586</v>
      </c>
      <c r="D31" s="237" t="s">
        <v>1072</v>
      </c>
      <c r="E31" s="222"/>
      <c r="F31" s="222"/>
      <c r="G31" s="363"/>
      <c r="H31" s="1735">
        <f>IF(B31="X",(J7*0.069),IF(B32="X",(J7*0.138),"Enter x in a.or b."))</f>
        <v>30136536.600000001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10890000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1412</v>
      </c>
      <c r="B3" s="2110"/>
      <c r="C3" s="2110"/>
      <c r="D3" s="2110"/>
      <c r="E3" s="2110"/>
      <c r="F3" s="2110"/>
      <c r="G3" s="2110"/>
      <c r="H3" s="2110"/>
      <c r="I3" s="2110"/>
      <c r="J3" s="2110"/>
      <c r="K3" s="2110"/>
      <c r="L3" s="2110"/>
      <c r="M3" s="2110"/>
      <c r="N3" s="2110"/>
      <c r="O3" s="2110"/>
      <c r="P3" s="2110"/>
      <c r="Q3" s="2110"/>
      <c r="R3" s="2110"/>
    </row>
    <row r="4" spans="1:18" x14ac:dyDescent="0.2">
      <c r="A4" s="2111" t="s">
        <v>1553</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Bourbonnais SD 53</v>
      </c>
      <c r="E7" s="391"/>
      <c r="G7" s="252"/>
      <c r="H7" s="387"/>
      <c r="I7" s="387"/>
      <c r="J7" s="387"/>
      <c r="K7" s="387"/>
      <c r="L7" s="329"/>
      <c r="M7" s="329"/>
      <c r="N7" s="329"/>
      <c r="O7" s="329"/>
      <c r="P7" s="329"/>
    </row>
    <row r="8" spans="1:18" ht="12.75" x14ac:dyDescent="0.2">
      <c r="A8" s="329"/>
      <c r="B8" s="329"/>
      <c r="C8" s="389" t="s">
        <v>1125</v>
      </c>
      <c r="D8" s="392">
        <f>COVER!A13</f>
        <v>32046053002</v>
      </c>
      <c r="E8" s="393"/>
      <c r="G8" s="329"/>
      <c r="H8" s="329"/>
      <c r="I8" s="329"/>
      <c r="J8" s="329"/>
      <c r="K8" s="329"/>
      <c r="L8" s="329"/>
      <c r="M8" s="329"/>
      <c r="N8" s="329"/>
      <c r="O8" s="329"/>
      <c r="P8" s="329"/>
    </row>
    <row r="9" spans="1:18" ht="12.75" x14ac:dyDescent="0.2">
      <c r="A9" s="329"/>
      <c r="B9" s="329"/>
      <c r="C9" s="389" t="s">
        <v>713</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1364</v>
      </c>
      <c r="D12" s="218"/>
      <c r="E12" s="218"/>
      <c r="F12" s="218" t="s">
        <v>1091</v>
      </c>
      <c r="G12" s="402"/>
      <c r="H12" s="403">
        <f>SUM('Acct Summary 7-8'!C81+'Acct Summary 7-8'!D81+'Acct Summary 7-8'!F81+'Acct Summary 7-8'!I81+IF('Acct Summary 7-8'!G81&lt;0,'Acct Summary 7-8'!G81,"0")+IF('Acct Summary 7-8'!J81&lt;0,'Acct Summary 7-8'!J81,"0"))</f>
        <v>13475424</v>
      </c>
      <c r="I12" s="404"/>
      <c r="J12" s="404"/>
      <c r="K12" s="405">
        <f>TRUNC((H12/H13*100000),5)/100000</f>
        <v>0.57929043599999996</v>
      </c>
      <c r="L12" s="406"/>
      <c r="M12" s="360" t="s">
        <v>1144</v>
      </c>
      <c r="N12" s="360"/>
      <c r="O12" s="407">
        <v>0.35</v>
      </c>
      <c r="P12" s="218"/>
      <c r="Q12" s="218"/>
    </row>
    <row r="13" spans="1:18" s="408" customFormat="1" ht="12.75" x14ac:dyDescent="0.2">
      <c r="A13" s="218"/>
      <c r="B13" s="401"/>
      <c r="C13" s="2107" t="s">
        <v>1323</v>
      </c>
      <c r="D13" s="2108"/>
      <c r="E13" s="218"/>
      <c r="F13" s="409" t="s">
        <v>793</v>
      </c>
      <c r="G13" s="402"/>
      <c r="H13" s="403">
        <f>SUM('Acct Summary 7-8'!C8+'Acct Summary 7-8'!D8+'Acct Summary 7-8'!F8+'Acct Summary 7-8'!I8)+H14</f>
        <v>23261948</v>
      </c>
      <c r="I13" s="404"/>
      <c r="J13" s="404"/>
      <c r="K13" s="410"/>
      <c r="L13" s="218"/>
      <c r="M13" s="360" t="s">
        <v>1145</v>
      </c>
      <c r="N13" s="360"/>
      <c r="O13" s="411">
        <f>(O11*O12)</f>
        <v>1.4</v>
      </c>
      <c r="P13" s="218"/>
      <c r="Q13" s="218"/>
      <c r="R13" s="412"/>
    </row>
    <row r="14" spans="1:18" s="408" customFormat="1" ht="12.75" x14ac:dyDescent="0.2">
      <c r="A14" s="218"/>
      <c r="B14" s="401"/>
      <c r="C14" s="240" t="s">
        <v>1396</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23691932</v>
      </c>
      <c r="I17" s="404"/>
      <c r="J17" s="416"/>
      <c r="K17" s="405">
        <f>TRUNC((H17/H18*100000),5)/100000</f>
        <v>1.0184844364000001</v>
      </c>
      <c r="L17" s="406"/>
      <c r="M17" s="417" t="s">
        <v>1171</v>
      </c>
      <c r="O17" s="418" t="str">
        <f>IF(AND(O16="2", J20 &gt; 2),"1",IF(AND(O16 = "1", J20 &gt; 2),"2",IF(AND(O16="1", J20 &gt;1),"1","0")))</f>
        <v>0</v>
      </c>
      <c r="P17" s="218"/>
    </row>
    <row r="18" spans="1:18" s="408" customFormat="1" ht="11.25" x14ac:dyDescent="0.2">
      <c r="A18" s="218"/>
      <c r="B18" s="401"/>
      <c r="C18" s="2107" t="s">
        <v>1316</v>
      </c>
      <c r="D18" s="2108"/>
      <c r="E18" s="218"/>
      <c r="F18" s="419" t="s">
        <v>794</v>
      </c>
      <c r="G18" s="402"/>
      <c r="H18" s="403">
        <f>SUM('Acct Summary 7-8'!C8+'Acct Summary 7-8'!D8+'Acct Summary 7-8'!F8+'Acct Summary 7-8'!I8)+H19</f>
        <v>23261948</v>
      </c>
      <c r="I18" s="404"/>
      <c r="J18" s="404"/>
      <c r="K18" s="410"/>
      <c r="L18" s="218"/>
      <c r="M18" s="360" t="s">
        <v>1144</v>
      </c>
      <c r="N18" s="360"/>
      <c r="O18" s="410">
        <v>0.35</v>
      </c>
      <c r="P18" s="218"/>
    </row>
    <row r="19" spans="1:18" s="408" customFormat="1" ht="11.25" x14ac:dyDescent="0.2">
      <c r="A19" s="218"/>
      <c r="B19" s="401"/>
      <c r="C19" s="240" t="s">
        <v>1396</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25.929404899999998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4" t="s">
        <v>1411</v>
      </c>
      <c r="D24" s="2104"/>
      <c r="E24" s="218"/>
      <c r="F24" s="218" t="s">
        <v>445</v>
      </c>
      <c r="G24" s="402"/>
      <c r="H24" s="403">
        <f>SUM('Assets-Liab 5-6'!C4+'Assets-Liab 5-6'!D4+'Assets-Liab 5-6'!F4+'Assets-Liab 5-6'!I4+'Assets-Liab 5-6'!C5+'Assets-Liab 5-6'!D5+'Assets-Liab 5-6'!F5+'Assets-Liab 5-6'!I5)</f>
        <v>12044810</v>
      </c>
      <c r="I24" s="422"/>
      <c r="J24" s="422"/>
      <c r="K24" s="423">
        <f>TRUNC(((H24/H25*100000)/100000),2)</f>
        <v>183.02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65810.922219999993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1919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10844130.4199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10890000</v>
      </c>
      <c r="I32" s="420"/>
      <c r="J32" s="420"/>
      <c r="K32" s="423">
        <f>TRUNC(100-((((H32/H33*100))*100)/100),2)</f>
        <v>63.86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30136536.600000001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H38" sqref="H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9"/>
      <c r="D3" s="1560"/>
      <c r="E3" s="1560"/>
      <c r="F3" s="1560"/>
      <c r="G3" s="1560"/>
      <c r="H3" s="1560"/>
      <c r="I3" s="1560"/>
      <c r="J3" s="1560"/>
      <c r="K3" s="1560"/>
      <c r="L3" s="1560"/>
      <c r="M3" s="1561"/>
      <c r="N3" s="1562"/>
    </row>
    <row r="4" spans="1:14" ht="13.5" customHeight="1" x14ac:dyDescent="0.2">
      <c r="A4" s="463" t="s">
        <v>1647</v>
      </c>
      <c r="B4" s="464"/>
      <c r="C4" s="465">
        <v>14159</v>
      </c>
      <c r="D4" s="466"/>
      <c r="E4" s="466"/>
      <c r="F4" s="466">
        <v>1216706</v>
      </c>
      <c r="G4" s="466">
        <v>385482</v>
      </c>
      <c r="H4" s="466">
        <v>5114306</v>
      </c>
      <c r="I4" s="466">
        <v>60602</v>
      </c>
      <c r="J4" s="467">
        <v>120867</v>
      </c>
      <c r="K4" s="466">
        <v>23289</v>
      </c>
      <c r="L4" s="466"/>
      <c r="M4" s="468"/>
      <c r="N4" s="469"/>
    </row>
    <row r="5" spans="1:14" x14ac:dyDescent="0.2">
      <c r="A5" s="463" t="s">
        <v>992</v>
      </c>
      <c r="B5" s="470">
        <v>120</v>
      </c>
      <c r="C5" s="465">
        <v>8625678</v>
      </c>
      <c r="D5" s="466">
        <v>1869850</v>
      </c>
      <c r="E5" s="466">
        <v>1202893</v>
      </c>
      <c r="F5" s="466"/>
      <c r="G5" s="466"/>
      <c r="H5" s="466">
        <v>426157</v>
      </c>
      <c r="I5" s="466">
        <v>257815</v>
      </c>
      <c r="J5" s="467"/>
      <c r="K5" s="471"/>
      <c r="L5" s="472"/>
      <c r="M5" s="468"/>
      <c r="N5" s="469"/>
    </row>
    <row r="6" spans="1:14" ht="13.5" customHeight="1" x14ac:dyDescent="0.2">
      <c r="A6" s="473" t="s">
        <v>417</v>
      </c>
      <c r="B6" s="470">
        <v>130</v>
      </c>
      <c r="C6" s="465">
        <v>10056868</v>
      </c>
      <c r="D6" s="466">
        <v>2105190</v>
      </c>
      <c r="E6" s="466">
        <v>1266608</v>
      </c>
      <c r="F6" s="466">
        <v>595743</v>
      </c>
      <c r="G6" s="471">
        <v>770010</v>
      </c>
      <c r="H6" s="471"/>
      <c r="I6" s="466"/>
      <c r="J6" s="474">
        <v>104386</v>
      </c>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88499</v>
      </c>
      <c r="D8" s="467"/>
      <c r="E8" s="467"/>
      <c r="F8" s="467">
        <v>174796</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123682</v>
      </c>
      <c r="D11" s="467">
        <v>39848</v>
      </c>
      <c r="E11" s="467"/>
      <c r="F11" s="467">
        <v>20424</v>
      </c>
      <c r="G11" s="467"/>
      <c r="H11" s="467"/>
      <c r="I11" s="478"/>
      <c r="J11" s="478">
        <v>85282</v>
      </c>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18908886</v>
      </c>
      <c r="D13" s="1737">
        <f t="shared" ref="D13:L13" si="0">SUM(D4:D12)</f>
        <v>4014888</v>
      </c>
      <c r="E13" s="1737">
        <f t="shared" si="0"/>
        <v>2469501</v>
      </c>
      <c r="F13" s="1737">
        <f t="shared" si="0"/>
        <v>2007669</v>
      </c>
      <c r="G13" s="1737">
        <f t="shared" si="0"/>
        <v>1155492</v>
      </c>
      <c r="H13" s="1737">
        <f t="shared" si="0"/>
        <v>5540463</v>
      </c>
      <c r="I13" s="1737">
        <f t="shared" si="0"/>
        <v>318417</v>
      </c>
      <c r="J13" s="1737">
        <f t="shared" si="0"/>
        <v>310535</v>
      </c>
      <c r="K13" s="1737">
        <f t="shared" si="0"/>
        <v>23289</v>
      </c>
      <c r="L13" s="1737">
        <f t="shared" si="0"/>
        <v>0</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1136737</v>
      </c>
      <c r="N16" s="484"/>
    </row>
    <row r="17" spans="1:14" s="485" customFormat="1" ht="12.75" customHeight="1" x14ac:dyDescent="0.2">
      <c r="A17" s="482" t="s">
        <v>1402</v>
      </c>
      <c r="B17" s="483">
        <v>230</v>
      </c>
      <c r="C17" s="477"/>
      <c r="D17" s="477"/>
      <c r="E17" s="477"/>
      <c r="F17" s="477"/>
      <c r="G17" s="477"/>
      <c r="H17" s="477"/>
      <c r="I17" s="477"/>
      <c r="J17" s="477"/>
      <c r="K17" s="477"/>
      <c r="L17" s="477"/>
      <c r="M17" s="467">
        <v>40515407</v>
      </c>
      <c r="N17" s="484"/>
    </row>
    <row r="18" spans="1:14" s="485" customFormat="1" ht="12.75" customHeight="1" x14ac:dyDescent="0.2">
      <c r="A18" s="482" t="s">
        <v>1403</v>
      </c>
      <c r="B18" s="483">
        <v>240</v>
      </c>
      <c r="C18" s="477"/>
      <c r="D18" s="477"/>
      <c r="E18" s="477"/>
      <c r="F18" s="477"/>
      <c r="G18" s="477"/>
      <c r="H18" s="477"/>
      <c r="I18" s="477"/>
      <c r="J18" s="477"/>
      <c r="K18" s="477"/>
      <c r="L18" s="477"/>
      <c r="M18" s="467">
        <v>2489895</v>
      </c>
      <c r="N18" s="484"/>
    </row>
    <row r="19" spans="1:14" s="485" customFormat="1" ht="12.75" customHeight="1" x14ac:dyDescent="0.2">
      <c r="A19" s="482" t="s">
        <v>1404</v>
      </c>
      <c r="B19" s="483">
        <v>250</v>
      </c>
      <c r="C19" s="477"/>
      <c r="D19" s="477"/>
      <c r="E19" s="477"/>
      <c r="F19" s="477"/>
      <c r="G19" s="477"/>
      <c r="H19" s="477"/>
      <c r="I19" s="477"/>
      <c r="J19" s="477"/>
      <c r="K19" s="477"/>
      <c r="L19" s="477"/>
      <c r="M19" s="467">
        <v>11086461</v>
      </c>
      <c r="N19" s="484"/>
    </row>
    <row r="20" spans="1:14" s="485" customFormat="1" ht="12.75" customHeight="1" x14ac:dyDescent="0.2">
      <c r="A20" s="482" t="s">
        <v>1405</v>
      </c>
      <c r="B20" s="483">
        <v>260</v>
      </c>
      <c r="C20" s="477"/>
      <c r="D20" s="477"/>
      <c r="E20" s="477"/>
      <c r="F20" s="477"/>
      <c r="G20" s="477"/>
      <c r="H20" s="477"/>
      <c r="I20" s="477"/>
      <c r="J20" s="477"/>
      <c r="K20" s="477"/>
      <c r="L20" s="477"/>
      <c r="M20" s="467">
        <v>390092</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10890000</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55618592</v>
      </c>
      <c r="N23" s="1688">
        <f>SUM(N21:N22)</f>
        <v>10890000</v>
      </c>
    </row>
    <row r="24" spans="1:14" ht="18" customHeight="1" thickTop="1" x14ac:dyDescent="0.2">
      <c r="A24" s="2118" t="s">
        <v>598</v>
      </c>
      <c r="B24" s="2119"/>
      <c r="C24" s="1568"/>
      <c r="D24" s="1565"/>
      <c r="E24" s="1565"/>
      <c r="F24" s="1565"/>
      <c r="G24" s="1565"/>
      <c r="H24" s="1565"/>
      <c r="I24" s="1565"/>
      <c r="J24" s="1565"/>
      <c r="K24" s="1565"/>
      <c r="L24" s="1565"/>
      <c r="M24" s="1564"/>
      <c r="N24" s="1569"/>
    </row>
    <row r="25" spans="1:14" x14ac:dyDescent="0.2">
      <c r="A25" s="473" t="s">
        <v>645</v>
      </c>
      <c r="B25" s="470">
        <v>410</v>
      </c>
      <c r="C25" s="478"/>
      <c r="D25" s="478">
        <v>2188051</v>
      </c>
      <c r="E25" s="478">
        <v>972136</v>
      </c>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329695</v>
      </c>
      <c r="D27" s="467">
        <v>407124</v>
      </c>
      <c r="E27" s="467"/>
      <c r="F27" s="467">
        <v>213</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1886270</v>
      </c>
      <c r="D30" s="474"/>
      <c r="E30" s="467"/>
      <c r="F30" s="467"/>
      <c r="G30" s="467">
        <v>51000</v>
      </c>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5612617</v>
      </c>
      <c r="D32" s="492">
        <v>1052595</v>
      </c>
      <c r="E32" s="474">
        <v>633304</v>
      </c>
      <c r="F32" s="474">
        <v>297871</v>
      </c>
      <c r="G32" s="474">
        <v>385005</v>
      </c>
      <c r="H32" s="474"/>
      <c r="I32" s="474"/>
      <c r="J32" s="474">
        <v>123112</v>
      </c>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7828582</v>
      </c>
      <c r="D34" s="1740">
        <f t="shared" ref="D34:K34" si="1">SUM(D25:D33)</f>
        <v>3647770</v>
      </c>
      <c r="E34" s="1740">
        <f t="shared" si="1"/>
        <v>1605440</v>
      </c>
      <c r="F34" s="1740">
        <f t="shared" si="1"/>
        <v>298084</v>
      </c>
      <c r="G34" s="1740">
        <f t="shared" si="1"/>
        <v>436005</v>
      </c>
      <c r="H34" s="1740">
        <f t="shared" si="1"/>
        <v>0</v>
      </c>
      <c r="I34" s="1740">
        <f t="shared" si="1"/>
        <v>0</v>
      </c>
      <c r="J34" s="1740">
        <f t="shared" si="1"/>
        <v>123112</v>
      </c>
      <c r="K34" s="1740">
        <f t="shared" si="1"/>
        <v>0</v>
      </c>
      <c r="L34" s="1721">
        <f>SUM(L33)</f>
        <v>0</v>
      </c>
      <c r="M34" s="468"/>
      <c r="N34" s="480"/>
    </row>
    <row r="35" spans="1:14" ht="18" customHeight="1" thickTop="1" x14ac:dyDescent="0.2">
      <c r="A35" s="2120" t="s">
        <v>529</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10890000</v>
      </c>
    </row>
    <row r="37" spans="1:14" ht="13.5" thickBot="1" x14ac:dyDescent="0.25">
      <c r="A37" s="1736" t="s">
        <v>653</v>
      </c>
      <c r="B37" s="1741"/>
      <c r="C37" s="477"/>
      <c r="D37" s="477"/>
      <c r="E37" s="477"/>
      <c r="F37" s="477"/>
      <c r="G37" s="477"/>
      <c r="H37" s="477"/>
      <c r="I37" s="477"/>
      <c r="J37" s="477"/>
      <c r="K37" s="477"/>
      <c r="L37" s="480"/>
      <c r="M37" s="468"/>
      <c r="N37" s="1688">
        <f>SUM(N36:N36)</f>
        <v>10890000</v>
      </c>
    </row>
    <row r="38" spans="1:14" s="329" customFormat="1" ht="13.5" customHeight="1" thickTop="1" x14ac:dyDescent="0.2">
      <c r="A38" s="496" t="s">
        <v>420</v>
      </c>
      <c r="B38" s="483">
        <v>714</v>
      </c>
      <c r="C38" s="466">
        <v>123682</v>
      </c>
      <c r="D38" s="466">
        <v>39848</v>
      </c>
      <c r="E38" s="466">
        <v>864061</v>
      </c>
      <c r="F38" s="466">
        <v>1709585</v>
      </c>
      <c r="G38" s="466">
        <v>719487</v>
      </c>
      <c r="H38" s="466">
        <v>5540463</v>
      </c>
      <c r="I38" s="466"/>
      <c r="J38" s="467">
        <v>187423</v>
      </c>
      <c r="K38" s="466">
        <v>23289</v>
      </c>
      <c r="L38" s="481"/>
      <c r="M38" s="497"/>
      <c r="N38" s="497"/>
    </row>
    <row r="39" spans="1:14" s="329" customFormat="1" ht="13.5" customHeight="1" x14ac:dyDescent="0.2">
      <c r="A39" s="496" t="s">
        <v>342</v>
      </c>
      <c r="B39" s="483">
        <v>730</v>
      </c>
      <c r="C39" s="466">
        <v>10956622</v>
      </c>
      <c r="D39" s="466">
        <v>327270</v>
      </c>
      <c r="E39" s="466"/>
      <c r="F39" s="466"/>
      <c r="G39" s="466"/>
      <c r="H39" s="466"/>
      <c r="I39" s="466">
        <v>318417</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55618592</v>
      </c>
      <c r="N40" s="497"/>
    </row>
    <row r="41" spans="1:14" ht="13.5" customHeight="1" thickBot="1" x14ac:dyDescent="0.25">
      <c r="A41" s="1736" t="s">
        <v>655</v>
      </c>
      <c r="B41" s="1706"/>
      <c r="C41" s="1688">
        <f>(SUM(C34,C37,C38,C39))</f>
        <v>18908886</v>
      </c>
      <c r="D41" s="1688">
        <f t="shared" ref="D41:L41" si="2">SUM(D34,D37,D38:D39)</f>
        <v>4014888</v>
      </c>
      <c r="E41" s="1688">
        <f t="shared" si="2"/>
        <v>2469501</v>
      </c>
      <c r="F41" s="1688">
        <f t="shared" si="2"/>
        <v>2007669</v>
      </c>
      <c r="G41" s="1688">
        <f t="shared" si="2"/>
        <v>1155492</v>
      </c>
      <c r="H41" s="1688">
        <f t="shared" si="2"/>
        <v>5540463</v>
      </c>
      <c r="I41" s="1688">
        <f t="shared" si="2"/>
        <v>318417</v>
      </c>
      <c r="J41" s="1688">
        <f t="shared" si="2"/>
        <v>310535</v>
      </c>
      <c r="K41" s="1688">
        <f t="shared" si="2"/>
        <v>23289</v>
      </c>
      <c r="L41" s="1688">
        <f t="shared" si="2"/>
        <v>0</v>
      </c>
      <c r="M41" s="1688">
        <f>SUM(M40)</f>
        <v>55618592</v>
      </c>
      <c r="N41" s="1688">
        <f>SUM(N37)</f>
        <v>10890000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E81" sqref="E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1648</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3"/>
      <c r="D3" s="1574"/>
      <c r="E3" s="1574"/>
      <c r="F3" s="1574"/>
      <c r="G3" s="1574"/>
      <c r="H3" s="1574"/>
      <c r="I3" s="1574"/>
      <c r="J3" s="1574"/>
      <c r="K3" s="1575"/>
      <c r="L3" s="506"/>
    </row>
    <row r="4" spans="1:13" ht="15.75" customHeight="1" x14ac:dyDescent="0.2">
      <c r="A4" s="1928" t="s">
        <v>1498</v>
      </c>
      <c r="B4" s="1929">
        <v>1000</v>
      </c>
      <c r="C4" s="1742">
        <f>'Revenues 9-14'!C109</f>
        <v>10866500</v>
      </c>
      <c r="D4" s="1742">
        <f>'Revenues 9-14'!D109</f>
        <v>2442026</v>
      </c>
      <c r="E4" s="1742">
        <f>'Revenues 9-14'!E109</f>
        <v>1278668</v>
      </c>
      <c r="F4" s="1742">
        <f>'Revenues 9-14'!F109</f>
        <v>686464</v>
      </c>
      <c r="G4" s="1742">
        <f>'Revenues 9-14'!G109</f>
        <v>767420</v>
      </c>
      <c r="H4" s="1742">
        <f>'Revenues 9-14'!H109</f>
        <v>0</v>
      </c>
      <c r="I4" s="1742">
        <f>'Revenues 9-14'!I109</f>
        <v>0</v>
      </c>
      <c r="J4" s="1742">
        <f>'Revenues 9-14'!J109</f>
        <v>103794</v>
      </c>
      <c r="K4" s="1742">
        <f>'Revenues 9-14'!K109</f>
        <v>0</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1500</v>
      </c>
      <c r="B6" s="1578">
        <v>3000</v>
      </c>
      <c r="C6" s="1743">
        <f>'Revenues 9-14'!C170</f>
        <v>6722217</v>
      </c>
      <c r="D6" s="1743">
        <f>'Revenues 9-14'!D170</f>
        <v>0</v>
      </c>
      <c r="E6" s="1743">
        <f>'Revenues 9-14'!E170</f>
        <v>0</v>
      </c>
      <c r="F6" s="1743">
        <f>'Revenues 9-14'!F170</f>
        <v>704093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1840648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19429365</v>
      </c>
      <c r="D8" s="1688">
        <f t="shared" ref="D8:K8" si="0">SUM(D4:D7)</f>
        <v>2442026</v>
      </c>
      <c r="E8" s="1688">
        <f t="shared" si="0"/>
        <v>1278668</v>
      </c>
      <c r="F8" s="1688">
        <f t="shared" si="0"/>
        <v>1390557</v>
      </c>
      <c r="G8" s="1688">
        <f t="shared" si="0"/>
        <v>767420</v>
      </c>
      <c r="H8" s="1688">
        <f t="shared" si="0"/>
        <v>0</v>
      </c>
      <c r="I8" s="1688">
        <f t="shared" si="0"/>
        <v>0</v>
      </c>
      <c r="J8" s="1688">
        <f t="shared" si="0"/>
        <v>103794</v>
      </c>
      <c r="K8" s="1688">
        <f t="shared" si="0"/>
        <v>0</v>
      </c>
      <c r="L8" s="347"/>
    </row>
    <row r="9" spans="1:13" ht="15.75" thickTop="1" x14ac:dyDescent="0.2">
      <c r="A9" s="514" t="s">
        <v>1649</v>
      </c>
      <c r="B9" s="515">
        <v>3998</v>
      </c>
      <c r="C9" s="481">
        <v>7160270</v>
      </c>
      <c r="D9" s="516"/>
      <c r="E9" s="481"/>
      <c r="F9" s="481"/>
      <c r="G9" s="517"/>
      <c r="H9" s="481"/>
      <c r="I9" s="509" t="s">
        <v>1169</v>
      </c>
      <c r="J9" s="478"/>
      <c r="K9" s="481"/>
      <c r="L9" s="347"/>
    </row>
    <row r="10" spans="1:13" s="519" customFormat="1" ht="13.5" thickBot="1" x14ac:dyDescent="0.25">
      <c r="A10" s="1736" t="s">
        <v>1173</v>
      </c>
      <c r="B10" s="1709"/>
      <c r="C10" s="1688">
        <f>SUM(C8:C9)</f>
        <v>26589635</v>
      </c>
      <c r="D10" s="1688">
        <f t="shared" ref="D10:K10" si="1">SUM(D8:D9)</f>
        <v>2442026</v>
      </c>
      <c r="E10" s="1688">
        <f t="shared" si="1"/>
        <v>1278668</v>
      </c>
      <c r="F10" s="1688">
        <f t="shared" si="1"/>
        <v>1390557</v>
      </c>
      <c r="G10" s="1688">
        <f t="shared" si="1"/>
        <v>767420</v>
      </c>
      <c r="H10" s="1688">
        <f t="shared" si="1"/>
        <v>0</v>
      </c>
      <c r="I10" s="1688">
        <f t="shared" si="1"/>
        <v>0</v>
      </c>
      <c r="J10" s="1688">
        <f t="shared" si="1"/>
        <v>103794</v>
      </c>
      <c r="K10" s="1688">
        <f t="shared" si="1"/>
        <v>0</v>
      </c>
      <c r="L10" s="518"/>
    </row>
    <row r="11" spans="1:13" s="519" customFormat="1" ht="16.7" customHeight="1" thickTop="1" x14ac:dyDescent="0.2">
      <c r="A11" s="2116" t="s">
        <v>1176</v>
      </c>
      <c r="B11" s="2117"/>
      <c r="C11" s="1570"/>
      <c r="D11" s="1571"/>
      <c r="E11" s="1571"/>
      <c r="F11" s="1571"/>
      <c r="G11" s="1571"/>
      <c r="H11" s="1571"/>
      <c r="I11" s="1571"/>
      <c r="J11" s="1571"/>
      <c r="K11" s="1572"/>
      <c r="L11" s="518"/>
    </row>
    <row r="12" spans="1:13" ht="15.75" customHeight="1" x14ac:dyDescent="0.2">
      <c r="A12" s="1576" t="s">
        <v>456</v>
      </c>
      <c r="B12" s="1578">
        <v>1000</v>
      </c>
      <c r="C12" s="1742">
        <f>'Expenditures 15-22'!K33</f>
        <v>12567013</v>
      </c>
      <c r="D12" s="520" t="s">
        <v>1169</v>
      </c>
      <c r="E12" s="468" t="s">
        <v>1169</v>
      </c>
      <c r="F12" s="468" t="s">
        <v>1169</v>
      </c>
      <c r="G12" s="1742">
        <f>'Expenditures 15-22'!K229</f>
        <v>271201</v>
      </c>
      <c r="H12" s="521"/>
      <c r="I12" s="468" t="s">
        <v>1169</v>
      </c>
      <c r="J12" s="468" t="s">
        <v>1169</v>
      </c>
      <c r="K12" s="521" t="s">
        <v>1169</v>
      </c>
      <c r="L12" s="347"/>
    </row>
    <row r="13" spans="1:13" ht="15.75" customHeight="1" x14ac:dyDescent="0.2">
      <c r="A13" s="1576" t="s">
        <v>457</v>
      </c>
      <c r="B13" s="1578">
        <v>2000</v>
      </c>
      <c r="C13" s="1743">
        <f>'Expenditures 15-22'!K74</f>
        <v>6322799</v>
      </c>
      <c r="D13" s="1743">
        <f>'Expenditures 15-22'!K129</f>
        <v>3236377</v>
      </c>
      <c r="E13" s="469" t="s">
        <v>1169</v>
      </c>
      <c r="F13" s="1743">
        <f>'Expenditures 15-22'!K184</f>
        <v>1415348</v>
      </c>
      <c r="G13" s="1743">
        <f>'Expenditures 15-22'!K279</f>
        <v>429164</v>
      </c>
      <c r="H13" s="1743">
        <f>'Expenditures 15-22'!K303</f>
        <v>390092</v>
      </c>
      <c r="I13" s="468" t="s">
        <v>1169</v>
      </c>
      <c r="J13" s="1743">
        <f>'Expenditures 15-22'!K330</f>
        <v>32053</v>
      </c>
      <c r="K13" s="1747">
        <f>'Expenditures 15-22'!K352</f>
        <v>0</v>
      </c>
      <c r="L13" s="347"/>
    </row>
    <row r="14" spans="1:13" ht="15.75" customHeight="1" x14ac:dyDescent="0.2">
      <c r="A14" s="1576" t="s">
        <v>449</v>
      </c>
      <c r="B14" s="1578">
        <v>3000</v>
      </c>
      <c r="C14" s="1743">
        <f>'Expenditures 15-22'!K75</f>
        <v>62830</v>
      </c>
      <c r="D14" s="1743">
        <f>'Expenditures 15-22'!K130</f>
        <v>0</v>
      </c>
      <c r="E14" s="520" t="s">
        <v>1169</v>
      </c>
      <c r="F14" s="1743">
        <f>'Expenditures 15-22'!K185</f>
        <v>0</v>
      </c>
      <c r="G14" s="1743">
        <f>'Expenditures 15-22'!K280</f>
        <v>1040</v>
      </c>
      <c r="H14" s="512"/>
      <c r="I14" s="468" t="s">
        <v>1169</v>
      </c>
      <c r="J14" s="468" t="s">
        <v>1169</v>
      </c>
      <c r="K14" s="512" t="s">
        <v>1169</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87565</v>
      </c>
      <c r="D16" s="1743">
        <f>'Expenditures 15-22'!K149</f>
        <v>0</v>
      </c>
      <c r="E16" s="1743">
        <f>'Expenditures 15-22'!K172</f>
        <v>1244988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19040207</v>
      </c>
      <c r="D17" s="1688">
        <f t="shared" si="2"/>
        <v>3236377</v>
      </c>
      <c r="E17" s="1688">
        <f t="shared" si="2"/>
        <v>1244988</v>
      </c>
      <c r="F17" s="1688">
        <f t="shared" si="2"/>
        <v>1415348</v>
      </c>
      <c r="G17" s="1688">
        <f t="shared" si="2"/>
        <v>701405</v>
      </c>
      <c r="H17" s="1688">
        <f t="shared" si="2"/>
        <v>390092</v>
      </c>
      <c r="I17" s="468"/>
      <c r="J17" s="1688">
        <f>SUM(J12:J16)</f>
        <v>32053</v>
      </c>
      <c r="K17" s="1688">
        <f>SUM(K12:K16)</f>
        <v>0</v>
      </c>
      <c r="L17" s="347"/>
    </row>
    <row r="18" spans="1:12" ht="15" customHeight="1" thickTop="1" x14ac:dyDescent="0.2">
      <c r="A18" s="1744" t="s">
        <v>1650</v>
      </c>
      <c r="B18" s="1745">
        <v>4180</v>
      </c>
      <c r="C18" s="1742">
        <f t="shared" ref="C18:H18" si="3">C9</f>
        <v>7160270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26200477</v>
      </c>
      <c r="D19" s="1688">
        <f t="shared" si="4"/>
        <v>3236377</v>
      </c>
      <c r="E19" s="1688">
        <f t="shared" si="4"/>
        <v>1244988</v>
      </c>
      <c r="F19" s="1688">
        <f t="shared" si="4"/>
        <v>1415348</v>
      </c>
      <c r="G19" s="1688">
        <f t="shared" si="4"/>
        <v>701405</v>
      </c>
      <c r="H19" s="1688">
        <f t="shared" si="4"/>
        <v>390092</v>
      </c>
      <c r="I19" s="468"/>
      <c r="J19" s="1688">
        <f>SUM(J17:J18)</f>
        <v>32053</v>
      </c>
      <c r="K19" s="1688">
        <f>SUM(K17:K18)</f>
        <v>0</v>
      </c>
      <c r="L19" s="347"/>
    </row>
    <row r="20" spans="1:12" ht="16.5" thickTop="1" thickBot="1" x14ac:dyDescent="0.25">
      <c r="A20" s="2132" t="s">
        <v>1651</v>
      </c>
      <c r="B20" s="2133"/>
      <c r="C20" s="1746">
        <f>C8-C17</f>
        <v>389158</v>
      </c>
      <c r="D20" s="1746">
        <f t="shared" ref="D20:K20" si="5">D8-D17</f>
        <v>-794351</v>
      </c>
      <c r="E20" s="1746">
        <f t="shared" si="5"/>
        <v>33680</v>
      </c>
      <c r="F20" s="1746">
        <f t="shared" si="5"/>
        <v>-24791</v>
      </c>
      <c r="G20" s="1746">
        <f t="shared" si="5"/>
        <v>66015</v>
      </c>
      <c r="H20" s="1746">
        <f t="shared" si="5"/>
        <v>-390092</v>
      </c>
      <c r="I20" s="1746">
        <f t="shared" si="5"/>
        <v>0</v>
      </c>
      <c r="J20" s="1746">
        <f t="shared" si="5"/>
        <v>71741</v>
      </c>
      <c r="K20" s="1746">
        <f t="shared" si="5"/>
        <v>0</v>
      </c>
      <c r="L20" s="347"/>
    </row>
    <row r="21" spans="1:12" ht="16.7" customHeight="1" thickTop="1" x14ac:dyDescent="0.2">
      <c r="A21" s="2144" t="s">
        <v>595</v>
      </c>
      <c r="B21" s="2145"/>
      <c r="C21" s="1570"/>
      <c r="D21" s="1571"/>
      <c r="E21" s="1571"/>
      <c r="F21" s="1571"/>
      <c r="G21" s="1571"/>
      <c r="H21" s="1571"/>
      <c r="I21" s="1571"/>
      <c r="J21" s="1571"/>
      <c r="K21" s="1572"/>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9" t="s">
        <v>1652</v>
      </c>
      <c r="B24" s="525">
        <v>7110</v>
      </c>
      <c r="C24" s="467"/>
      <c r="D24" s="477"/>
      <c r="E24" s="477"/>
      <c r="F24" s="477"/>
      <c r="G24" s="477"/>
      <c r="H24" s="477"/>
      <c r="I24" s="477"/>
      <c r="J24" s="477"/>
      <c r="K24" s="477"/>
      <c r="L24" s="524"/>
    </row>
    <row r="25" spans="1:12" s="485" customFormat="1" ht="13.5" customHeight="1" x14ac:dyDescent="0.2">
      <c r="A25" s="1489" t="s">
        <v>1653</v>
      </c>
      <c r="B25" s="525">
        <v>7110</v>
      </c>
      <c r="C25" s="467"/>
      <c r="D25" s="467"/>
      <c r="E25" s="467"/>
      <c r="F25" s="467"/>
      <c r="G25" s="467"/>
      <c r="H25" s="467">
        <v>4504398</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250000</v>
      </c>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1784</v>
      </c>
      <c r="B30" s="527">
        <v>7160</v>
      </c>
      <c r="C30" s="477"/>
      <c r="D30" s="467"/>
      <c r="E30" s="477"/>
      <c r="F30" s="477"/>
      <c r="G30" s="477"/>
      <c r="H30" s="477"/>
      <c r="I30" s="477"/>
      <c r="J30" s="477"/>
      <c r="K30" s="477"/>
      <c r="L30" s="524"/>
    </row>
    <row r="31" spans="1:12" s="485" customFormat="1" ht="26.25" x14ac:dyDescent="0.2">
      <c r="A31" s="1489" t="s">
        <v>1788</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4565000</v>
      </c>
      <c r="J33" s="467"/>
      <c r="K33" s="467"/>
      <c r="L33" s="524"/>
    </row>
    <row r="34" spans="1:12" s="485" customFormat="1" x14ac:dyDescent="0.2">
      <c r="A34" s="1489" t="s">
        <v>1001</v>
      </c>
      <c r="B34" s="525">
        <v>7220</v>
      </c>
      <c r="C34" s="467"/>
      <c r="D34" s="467"/>
      <c r="E34" s="467">
        <v>240252</v>
      </c>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1654</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703">
        <f>SUM(C24:C43)</f>
        <v>0</v>
      </c>
      <c r="D44" s="1703">
        <f t="shared" ref="D44:K44" si="6">SUM(D24:D43)</f>
        <v>250000</v>
      </c>
      <c r="E44" s="1703">
        <f t="shared" si="6"/>
        <v>240252</v>
      </c>
      <c r="F44" s="1703">
        <f t="shared" si="6"/>
        <v>0</v>
      </c>
      <c r="G44" s="1703">
        <f t="shared" si="6"/>
        <v>0</v>
      </c>
      <c r="H44" s="1703">
        <f t="shared" si="6"/>
        <v>4504398</v>
      </c>
      <c r="I44" s="1703">
        <f t="shared" si="6"/>
        <v>4565000</v>
      </c>
      <c r="J44" s="1703">
        <f t="shared" si="6"/>
        <v>0</v>
      </c>
      <c r="K44" s="1703">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1655</v>
      </c>
      <c r="B47" s="483">
        <v>8110</v>
      </c>
      <c r="C47" s="477"/>
      <c r="D47" s="477"/>
      <c r="E47" s="477"/>
      <c r="F47" s="477"/>
      <c r="G47" s="477"/>
      <c r="H47" s="477"/>
      <c r="I47" s="1743">
        <f>SUM(C24,C25:H25,J25:K25)</f>
        <v>4504398</v>
      </c>
      <c r="J47" s="477"/>
      <c r="K47" s="477"/>
      <c r="L47" s="529"/>
    </row>
    <row r="48" spans="1:12" s="485" customFormat="1" ht="15" x14ac:dyDescent="0.2">
      <c r="A48" s="1490" t="s">
        <v>1656</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250000</v>
      </c>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1787</v>
      </c>
      <c r="B52" s="483">
        <v>8160</v>
      </c>
      <c r="C52" s="477"/>
      <c r="D52" s="477"/>
      <c r="E52" s="477"/>
      <c r="F52" s="477"/>
      <c r="G52" s="477"/>
      <c r="H52" s="477"/>
      <c r="I52" s="477"/>
      <c r="J52" s="477"/>
      <c r="K52" s="1743">
        <f>D30</f>
        <v>0</v>
      </c>
      <c r="L52" s="524"/>
    </row>
    <row r="53" spans="1:12" s="485" customFormat="1" ht="26.25" x14ac:dyDescent="0.2">
      <c r="A53" s="1490" t="s">
        <v>1786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3">
        <f t="shared" ref="C76:K76" si="7">SUM(C47:C75)</f>
        <v>250000</v>
      </c>
      <c r="D76" s="1703">
        <f t="shared" si="7"/>
        <v>0</v>
      </c>
      <c r="E76" s="1703">
        <f t="shared" si="7"/>
        <v>0</v>
      </c>
      <c r="F76" s="1703">
        <f t="shared" si="7"/>
        <v>0</v>
      </c>
      <c r="G76" s="1703">
        <f t="shared" si="7"/>
        <v>0</v>
      </c>
      <c r="H76" s="1703">
        <f t="shared" si="7"/>
        <v>0</v>
      </c>
      <c r="I76" s="1703">
        <f t="shared" si="7"/>
        <v>4504398</v>
      </c>
      <c r="J76" s="1703">
        <f t="shared" si="7"/>
        <v>0</v>
      </c>
      <c r="K76" s="1703">
        <f t="shared" si="7"/>
        <v>0</v>
      </c>
      <c r="L76" s="524"/>
    </row>
    <row r="77" spans="1:12" ht="14.25" thickTop="1" thickBot="1" x14ac:dyDescent="0.25">
      <c r="A77" s="2124" t="s">
        <v>1177</v>
      </c>
      <c r="B77" s="2125"/>
      <c r="C77" s="1703">
        <f t="shared" ref="C77:K77" si="8">C44-C76</f>
        <v>-250000</v>
      </c>
      <c r="D77" s="1703">
        <f t="shared" si="8"/>
        <v>250000</v>
      </c>
      <c r="E77" s="1703">
        <f t="shared" si="8"/>
        <v>240252</v>
      </c>
      <c r="F77" s="1703">
        <f t="shared" si="8"/>
        <v>0</v>
      </c>
      <c r="G77" s="1703">
        <f t="shared" si="8"/>
        <v>0</v>
      </c>
      <c r="H77" s="1703">
        <f t="shared" si="8"/>
        <v>4504398</v>
      </c>
      <c r="I77" s="1703">
        <f t="shared" si="8"/>
        <v>60602</v>
      </c>
      <c r="J77" s="1703">
        <f t="shared" si="8"/>
        <v>0</v>
      </c>
      <c r="K77" s="1703">
        <f t="shared" si="8"/>
        <v>0</v>
      </c>
      <c r="L77" s="347"/>
    </row>
    <row r="78" spans="1:12" ht="21.75" customHeight="1" thickTop="1" thickBot="1" x14ac:dyDescent="0.25">
      <c r="A78" s="2128" t="s">
        <v>597</v>
      </c>
      <c r="B78" s="2129"/>
      <c r="C78" s="1702">
        <f t="shared" ref="C78:K78" si="9">C20+C77</f>
        <v>139158</v>
      </c>
      <c r="D78" s="1702">
        <f t="shared" si="9"/>
        <v>-544351</v>
      </c>
      <c r="E78" s="1702">
        <f t="shared" si="9"/>
        <v>273932</v>
      </c>
      <c r="F78" s="1702">
        <f t="shared" si="9"/>
        <v>-24791</v>
      </c>
      <c r="G78" s="1702">
        <f t="shared" si="9"/>
        <v>66015</v>
      </c>
      <c r="H78" s="1702">
        <f t="shared" si="9"/>
        <v>4114306</v>
      </c>
      <c r="I78" s="1702">
        <f t="shared" si="9"/>
        <v>60602</v>
      </c>
      <c r="J78" s="1702">
        <f t="shared" si="9"/>
        <v>71741</v>
      </c>
      <c r="K78" s="1702">
        <f t="shared" si="9"/>
        <v>0</v>
      </c>
      <c r="L78" s="533"/>
    </row>
    <row r="79" spans="1:12" ht="13.5" thickTop="1" x14ac:dyDescent="0.2">
      <c r="A79" s="1494" t="s">
        <v>1936</v>
      </c>
      <c r="B79" s="534"/>
      <c r="C79" s="478">
        <v>10941146</v>
      </c>
      <c r="D79" s="535">
        <v>911469</v>
      </c>
      <c r="E79" s="535">
        <v>590129</v>
      </c>
      <c r="F79" s="535">
        <v>1734376</v>
      </c>
      <c r="G79" s="535">
        <v>653472</v>
      </c>
      <c r="H79" s="535">
        <v>1426157</v>
      </c>
      <c r="I79" s="535">
        <v>257815</v>
      </c>
      <c r="J79" s="535">
        <v>115682</v>
      </c>
      <c r="K79" s="535">
        <v>23289</v>
      </c>
      <c r="L79" s="347"/>
    </row>
    <row r="80" spans="1:12" x14ac:dyDescent="0.2">
      <c r="A80" s="2134" t="s">
        <v>1785</v>
      </c>
      <c r="B80" s="2135"/>
      <c r="C80" s="467"/>
      <c r="D80" s="467"/>
      <c r="E80" s="467"/>
      <c r="F80" s="467"/>
      <c r="G80" s="467"/>
      <c r="H80" s="467"/>
      <c r="I80" s="467"/>
      <c r="J80" s="467"/>
      <c r="K80" s="467"/>
      <c r="L80" s="347"/>
    </row>
    <row r="81" spans="1:12" ht="13.5" thickBot="1" x14ac:dyDescent="0.25">
      <c r="A81" s="2126" t="s">
        <v>1937</v>
      </c>
      <c r="B81" s="2127"/>
      <c r="C81" s="1688">
        <f>(SUM(C78:C80))</f>
        <v>11080304</v>
      </c>
      <c r="D81" s="1688">
        <f>SUM(D78:D80)</f>
        <v>367118</v>
      </c>
      <c r="E81" s="1688">
        <f t="shared" ref="E81:K81" si="10">SUM(E78:E80)</f>
        <v>864061</v>
      </c>
      <c r="F81" s="1688">
        <f t="shared" si="10"/>
        <v>1709585</v>
      </c>
      <c r="G81" s="1688">
        <f t="shared" si="10"/>
        <v>719487</v>
      </c>
      <c r="H81" s="1688">
        <f t="shared" si="10"/>
        <v>5540463</v>
      </c>
      <c r="I81" s="1688">
        <f t="shared" si="10"/>
        <v>318417</v>
      </c>
      <c r="J81" s="1688">
        <f t="shared" si="10"/>
        <v>187423</v>
      </c>
      <c r="K81" s="1688">
        <f t="shared" si="10"/>
        <v>23289</v>
      </c>
      <c r="L81" s="347"/>
    </row>
    <row r="82" spans="1:12" ht="0.75" customHeight="1" thickTop="1" thickBot="1" x14ac:dyDescent="0.25">
      <c r="A82" s="536" t="s">
        <v>343</v>
      </c>
      <c r="B82" s="537"/>
      <c r="C82" s="538">
        <f>(C81-C79)</f>
        <v>139158</v>
      </c>
      <c r="D82" s="538">
        <f t="shared" ref="D82:K82" si="11">(D81-D79)</f>
        <v>-544351</v>
      </c>
      <c r="E82" s="538">
        <f t="shared" si="11"/>
        <v>273932</v>
      </c>
      <c r="F82" s="538">
        <f t="shared" si="11"/>
        <v>-24791</v>
      </c>
      <c r="G82" s="538">
        <f t="shared" si="11"/>
        <v>66015</v>
      </c>
      <c r="H82" s="538">
        <f t="shared" si="11"/>
        <v>4114306</v>
      </c>
      <c r="I82" s="538">
        <f t="shared" si="11"/>
        <v>60602</v>
      </c>
      <c r="J82" s="538">
        <f t="shared" si="11"/>
        <v>71741</v>
      </c>
      <c r="K82" s="538">
        <f t="shared" si="11"/>
        <v>0</v>
      </c>
    </row>
    <row r="83" spans="1:12" ht="14.25" hidden="1" thickTop="1" thickBot="1" x14ac:dyDescent="0.25">
      <c r="A83" s="539" t="s">
        <v>344</v>
      </c>
      <c r="B83" s="464"/>
      <c r="C83" s="540">
        <f>C82/C81</f>
        <v>1.2559041701382922E-2</v>
      </c>
      <c r="D83" s="540">
        <f t="shared" ref="D83:K83" si="12">D82/D81</f>
        <v>-1.4827684831580037</v>
      </c>
      <c r="E83" s="540">
        <f t="shared" si="12"/>
        <v>0.3170285431236915</v>
      </c>
      <c r="F83" s="540">
        <f t="shared" si="12"/>
        <v>-1.4501180110962603E-2</v>
      </c>
      <c r="G83" s="540">
        <f t="shared" si="12"/>
        <v>9.1752873922669897E-2</v>
      </c>
      <c r="H83" s="540">
        <f t="shared" si="12"/>
        <v>0.74259245120850004</v>
      </c>
      <c r="I83" s="540">
        <f t="shared" si="12"/>
        <v>0.19032275286809436</v>
      </c>
      <c r="J83" s="540">
        <f t="shared" si="12"/>
        <v>0.38277585995315411</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7"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1792</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1657</v>
      </c>
      <c r="B5" s="547"/>
      <c r="C5" s="481">
        <v>10014321</v>
      </c>
      <c r="D5" s="481">
        <v>2095972</v>
      </c>
      <c r="E5" s="466">
        <v>1277386</v>
      </c>
      <c r="F5" s="548">
        <v>593087</v>
      </c>
      <c r="G5" s="466">
        <v>426483</v>
      </c>
      <c r="H5" s="466"/>
      <c r="I5" s="466"/>
      <c r="J5" s="467">
        <v>103691</v>
      </c>
      <c r="K5" s="466"/>
    </row>
    <row r="6" spans="1:12" ht="15" x14ac:dyDescent="0.2">
      <c r="A6" s="463" t="s">
        <v>1658</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339924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10014321</v>
      </c>
      <c r="D12" s="1707">
        <f t="shared" si="0"/>
        <v>2095972</v>
      </c>
      <c r="E12" s="1707">
        <f t="shared" si="0"/>
        <v>1277386</v>
      </c>
      <c r="F12" s="1707">
        <f t="shared" si="0"/>
        <v>593087</v>
      </c>
      <c r="G12" s="1707">
        <f t="shared" si="0"/>
        <v>766407</v>
      </c>
      <c r="H12" s="1707">
        <f t="shared" si="0"/>
        <v>0</v>
      </c>
      <c r="I12" s="1707">
        <f t="shared" si="0"/>
        <v>0</v>
      </c>
      <c r="J12" s="1707">
        <f t="shared" si="0"/>
        <v>103691</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1659</v>
      </c>
      <c r="B16" s="549">
        <v>1230</v>
      </c>
      <c r="C16" s="551"/>
      <c r="D16" s="466">
        <v>308602</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308602</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263278</v>
      </c>
      <c r="D65" s="466">
        <v>2077</v>
      </c>
      <c r="E65" s="466">
        <v>1282</v>
      </c>
      <c r="F65" s="467">
        <v>588</v>
      </c>
      <c r="G65" s="466">
        <v>1013</v>
      </c>
      <c r="H65" s="466"/>
      <c r="I65" s="466"/>
      <c r="J65" s="467">
        <v>103</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263278</v>
      </c>
      <c r="D67" s="1688">
        <f t="shared" ref="D67:K67" si="2">SUM(D65:D66)</f>
        <v>2077</v>
      </c>
      <c r="E67" s="1688">
        <f t="shared" si="2"/>
        <v>1282</v>
      </c>
      <c r="F67" s="1688">
        <f t="shared" si="2"/>
        <v>588</v>
      </c>
      <c r="G67" s="1688">
        <f t="shared" si="2"/>
        <v>1013</v>
      </c>
      <c r="H67" s="1688">
        <f t="shared" si="2"/>
        <v>0</v>
      </c>
      <c r="I67" s="1688">
        <f t="shared" si="2"/>
        <v>0</v>
      </c>
      <c r="J67" s="1688">
        <f t="shared" si="2"/>
        <v>103</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4382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4382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15569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348060</v>
      </c>
      <c r="D91" s="468"/>
      <c r="E91" s="468"/>
      <c r="F91" s="468"/>
      <c r="G91" s="468"/>
      <c r="H91" s="468"/>
      <c r="I91" s="468"/>
      <c r="J91" s="468"/>
      <c r="K91" s="468"/>
    </row>
    <row r="92" spans="1:11" ht="12.75" customHeight="1" x14ac:dyDescent="0.2">
      <c r="A92" s="463" t="s">
        <v>762</v>
      </c>
      <c r="B92" s="470">
        <v>1890</v>
      </c>
      <c r="C92" s="551">
        <v>220890</v>
      </c>
      <c r="D92" s="468"/>
      <c r="E92" s="468"/>
      <c r="F92" s="468"/>
      <c r="G92" s="468"/>
      <c r="H92" s="468"/>
      <c r="I92" s="468"/>
      <c r="J92" s="468"/>
      <c r="K92" s="468"/>
    </row>
    <row r="93" spans="1:11" ht="12.75" customHeight="1" thickBot="1" x14ac:dyDescent="0.25">
      <c r="A93" s="1708" t="s">
        <v>243</v>
      </c>
      <c r="B93" s="1709"/>
      <c r="C93" s="1688">
        <f>SUM(C84:C92)</f>
        <v>584519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c r="D107" s="466">
        <v>35375</v>
      </c>
      <c r="E107" s="466"/>
      <c r="F107" s="466">
        <v>92789</v>
      </c>
      <c r="G107" s="466"/>
      <c r="H107" s="466"/>
      <c r="I107" s="466"/>
      <c r="J107" s="467"/>
      <c r="K107" s="466"/>
    </row>
    <row r="108" spans="1:12" ht="12.75" customHeight="1" thickBot="1" x14ac:dyDescent="0.25">
      <c r="A108" s="1708" t="s">
        <v>487</v>
      </c>
      <c r="B108" s="1712"/>
      <c r="C108" s="1707">
        <f>SUM(C95:C107)</f>
        <v>0</v>
      </c>
      <c r="D108" s="1707">
        <f t="shared" ref="D108:K108" si="3">SUM(D95:D107)</f>
        <v>35375</v>
      </c>
      <c r="E108" s="1707">
        <f t="shared" si="3"/>
        <v>0</v>
      </c>
      <c r="F108" s="1707">
        <f t="shared" si="3"/>
        <v>92789</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10866500</v>
      </c>
      <c r="D109" s="1715">
        <f t="shared" si="4"/>
        <v>2442026</v>
      </c>
      <c r="E109" s="1715">
        <f t="shared" si="4"/>
        <v>1278668</v>
      </c>
      <c r="F109" s="1715">
        <f t="shared" si="4"/>
        <v>686464</v>
      </c>
      <c r="G109" s="1715">
        <f t="shared" si="4"/>
        <v>767420</v>
      </c>
      <c r="H109" s="1715">
        <f t="shared" si="4"/>
        <v>0</v>
      </c>
      <c r="I109" s="1715">
        <f t="shared" si="4"/>
        <v>0</v>
      </c>
      <c r="J109" s="1715">
        <f t="shared" si="4"/>
        <v>103794</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1663</v>
      </c>
      <c r="B117" s="562">
        <v>3001</v>
      </c>
      <c r="C117" s="516">
        <v>6282991</v>
      </c>
      <c r="D117" s="481"/>
      <c r="E117" s="466"/>
      <c r="F117" s="481"/>
      <c r="G117" s="481"/>
      <c r="H117" s="466"/>
      <c r="I117" s="468"/>
      <c r="J117" s="467"/>
      <c r="K117" s="466"/>
    </row>
    <row r="118" spans="1:11" ht="12.75" customHeight="1" x14ac:dyDescent="0.2">
      <c r="A118" s="463" t="s">
        <v>1789</v>
      </c>
      <c r="B118" s="562">
        <v>3002</v>
      </c>
      <c r="C118" s="551"/>
      <c r="D118" s="466"/>
      <c r="E118" s="466"/>
      <c r="F118" s="466"/>
      <c r="G118" s="466"/>
      <c r="H118" s="466"/>
      <c r="I118" s="468"/>
      <c r="J118" s="467"/>
      <c r="K118" s="466"/>
    </row>
    <row r="119" spans="1:11" ht="12.75" customHeight="1" x14ac:dyDescent="0.2">
      <c r="A119" s="463" t="s">
        <v>1790</v>
      </c>
      <c r="B119" s="562">
        <v>3005</v>
      </c>
      <c r="C119" s="551"/>
      <c r="D119" s="466"/>
      <c r="E119" s="466"/>
      <c r="F119" s="466"/>
      <c r="G119" s="466"/>
      <c r="H119" s="466"/>
      <c r="I119" s="468"/>
      <c r="J119" s="467"/>
      <c r="K119" s="466"/>
    </row>
    <row r="120" spans="1:11" ht="12.75" customHeight="1" x14ac:dyDescent="0.2">
      <c r="A120" s="1930" t="s">
        <v>1923</v>
      </c>
      <c r="B120" s="562">
        <v>3030</v>
      </c>
      <c r="C120" s="551"/>
      <c r="D120" s="466"/>
      <c r="E120" s="466"/>
      <c r="F120" s="466"/>
      <c r="G120" s="466"/>
      <c r="H120" s="466"/>
      <c r="I120" s="468"/>
      <c r="J120" s="467"/>
      <c r="K120" s="466"/>
    </row>
    <row r="121" spans="1:11" x14ac:dyDescent="0.2">
      <c r="A121" s="1496" t="s">
        <v>1791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6282991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198160</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38475</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236635</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10668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394231</v>
      </c>
      <c r="G152" s="467"/>
      <c r="H152" s="468"/>
      <c r="I152" s="468"/>
      <c r="J152" s="468"/>
      <c r="K152" s="468"/>
    </row>
    <row r="153" spans="1:11" ht="12.75" customHeight="1" x14ac:dyDescent="0.2">
      <c r="A153" s="463" t="s">
        <v>1057</v>
      </c>
      <c r="B153" s="562">
        <v>3510</v>
      </c>
      <c r="C153" s="551"/>
      <c r="D153" s="466"/>
      <c r="E153" s="561"/>
      <c r="F153" s="466">
        <v>309862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704093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191923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0" t="s">
        <v>398</v>
      </c>
      <c r="B169" s="2151"/>
      <c r="C169" s="1722">
        <f t="shared" ref="C169:K169" si="6">SUM(C132,C141,C145,C146:C150,C155,C156:C167,C168)</f>
        <v>439226</v>
      </c>
      <c r="D169" s="1722">
        <f t="shared" si="6"/>
        <v>0</v>
      </c>
      <c r="E169" s="1722">
        <f t="shared" si="6"/>
        <v>0</v>
      </c>
      <c r="F169" s="1722">
        <f t="shared" si="6"/>
        <v>704093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6722217</v>
      </c>
      <c r="D170" s="1715">
        <f t="shared" si="7"/>
        <v>0</v>
      </c>
      <c r="E170" s="1715">
        <f t="shared" si="7"/>
        <v>0</v>
      </c>
      <c r="F170" s="1715">
        <f t="shared" si="7"/>
        <v>704093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2" t="s">
        <v>1491</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1661</v>
      </c>
      <c r="B175" s="215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0" t="s">
        <v>1660</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4" t="s">
        <v>1793</v>
      </c>
      <c r="B182" s="2155"/>
      <c r="C182" s="584"/>
      <c r="D182" s="566"/>
      <c r="E182" s="509"/>
      <c r="F182" s="566"/>
      <c r="G182" s="566"/>
      <c r="H182" s="468"/>
      <c r="I182" s="468"/>
      <c r="J182" s="468"/>
      <c r="K182" s="468"/>
    </row>
    <row r="183" spans="1:11" ht="15.75" customHeight="1" x14ac:dyDescent="0.2">
      <c r="A183" s="1603" t="s">
        <v>1598</v>
      </c>
      <c r="B183" s="1604"/>
      <c r="C183" s="522"/>
      <c r="D183" s="521"/>
      <c r="E183" s="509"/>
      <c r="F183" s="521"/>
      <c r="G183" s="521"/>
      <c r="H183" s="468"/>
      <c r="I183" s="468"/>
      <c r="J183" s="468"/>
      <c r="K183" s="468"/>
    </row>
    <row r="184" spans="1:11" ht="12.75" customHeight="1" x14ac:dyDescent="0.2">
      <c r="A184" s="463" t="s">
        <v>1599</v>
      </c>
      <c r="B184" s="470">
        <v>4100</v>
      </c>
      <c r="C184" s="516"/>
      <c r="D184" s="481"/>
      <c r="E184" s="561"/>
      <c r="F184" s="481"/>
      <c r="G184" s="481"/>
      <c r="H184" s="468"/>
      <c r="I184" s="468"/>
      <c r="J184" s="468"/>
      <c r="K184" s="468"/>
    </row>
    <row r="185" spans="1:11" ht="12.75" customHeight="1" x14ac:dyDescent="0.2">
      <c r="A185" s="463" t="s">
        <v>1600</v>
      </c>
      <c r="B185" s="470">
        <v>4105</v>
      </c>
      <c r="C185" s="551"/>
      <c r="D185" s="466"/>
      <c r="E185" s="561"/>
      <c r="F185" s="466"/>
      <c r="G185" s="466"/>
      <c r="H185" s="468"/>
      <c r="I185" s="468"/>
      <c r="J185" s="468"/>
      <c r="K185" s="468"/>
    </row>
    <row r="186" spans="1:11" ht="12.75" customHeight="1" x14ac:dyDescent="0.2">
      <c r="A186" s="463" t="s">
        <v>1602</v>
      </c>
      <c r="B186" s="470">
        <v>4107</v>
      </c>
      <c r="C186" s="551"/>
      <c r="D186" s="466"/>
      <c r="E186" s="561"/>
      <c r="F186" s="466"/>
      <c r="G186" s="466"/>
      <c r="H186" s="468"/>
      <c r="I186" s="468"/>
      <c r="J186" s="468"/>
      <c r="K186" s="468"/>
    </row>
    <row r="187" spans="1:11" ht="12.75" customHeight="1" x14ac:dyDescent="0.2">
      <c r="A187" s="463" t="s">
        <v>1601</v>
      </c>
      <c r="B187" s="470">
        <v>4199</v>
      </c>
      <c r="C187" s="551"/>
      <c r="D187" s="466"/>
      <c r="E187" s="561"/>
      <c r="F187" s="466"/>
      <c r="G187" s="466"/>
      <c r="H187" s="468"/>
      <c r="I187" s="468"/>
      <c r="J187" s="468"/>
      <c r="K187" s="468"/>
    </row>
    <row r="188" spans="1:11" ht="12.75" customHeight="1" thickBot="1" x14ac:dyDescent="0.25">
      <c r="A188" s="1708" t="s">
        <v>1603</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1058</v>
      </c>
      <c r="B191" s="470">
        <v>4210</v>
      </c>
      <c r="C191" s="466">
        <v>471385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143384</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614769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561600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11050</v>
      </c>
      <c r="D203" s="466"/>
      <c r="E203" s="468"/>
      <c r="F203" s="466"/>
      <c r="G203" s="466"/>
      <c r="H203" s="468"/>
      <c r="I203" s="468"/>
      <c r="J203" s="468"/>
      <c r="K203" s="468"/>
    </row>
    <row r="204" spans="1:11" ht="12.75" customHeight="1" thickBot="1" x14ac:dyDescent="0.25">
      <c r="A204" s="1708" t="s">
        <v>400</v>
      </c>
      <c r="B204" s="1709"/>
      <c r="C204" s="1707">
        <f>SUM(C200:C203)</f>
        <v>572650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30401</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30401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26585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1453</v>
      </c>
      <c r="B213" s="557">
        <v>4620</v>
      </c>
      <c r="C213" s="551">
        <v>455300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481885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43975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1924</v>
      </c>
      <c r="B261" s="470">
        <v>4981</v>
      </c>
      <c r="C261" s="575"/>
      <c r="D261" s="576"/>
      <c r="E261" s="468"/>
      <c r="F261" s="576"/>
      <c r="G261" s="576"/>
      <c r="H261" s="468"/>
      <c r="I261" s="468"/>
      <c r="J261" s="468"/>
      <c r="K261" s="468"/>
    </row>
    <row r="262" spans="1:11" ht="12.75" customHeight="1" thickTop="1" thickBot="1" x14ac:dyDescent="0.25">
      <c r="A262" s="1931" t="s">
        <v>1925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30350</v>
      </c>
      <c r="D263" s="576"/>
      <c r="E263" s="468"/>
      <c r="F263" s="576"/>
      <c r="G263" s="576"/>
      <c r="H263" s="468"/>
      <c r="I263" s="468"/>
      <c r="J263" s="468"/>
      <c r="K263" s="468"/>
    </row>
    <row r="264" spans="1:11" ht="12.75" customHeight="1" thickTop="1" thickBot="1" x14ac:dyDescent="0.25">
      <c r="A264" s="463" t="s">
        <v>377</v>
      </c>
      <c r="B264" s="470">
        <v>4992</v>
      </c>
      <c r="C264" s="575">
        <v>66618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1662</v>
      </c>
      <c r="B266" s="1727"/>
      <c r="C266" s="1715">
        <f t="shared" ref="C266:H266" si="10">SUM(C188,C198,C204,C209,C217,C221,C222,C252:C265)</f>
        <v>1840648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1840648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19429365</v>
      </c>
      <c r="D268" s="1715">
        <f t="shared" si="12"/>
        <v>2442026</v>
      </c>
      <c r="E268" s="1715">
        <f t="shared" si="12"/>
        <v>1278668</v>
      </c>
      <c r="F268" s="1715">
        <f t="shared" si="12"/>
        <v>1390557</v>
      </c>
      <c r="G268" s="1715">
        <f t="shared" si="12"/>
        <v>767420</v>
      </c>
      <c r="H268" s="1715">
        <f t="shared" si="12"/>
        <v>0</v>
      </c>
      <c r="I268" s="1715">
        <f t="shared" si="12"/>
        <v>0</v>
      </c>
      <c r="J268" s="1715">
        <f t="shared" si="12"/>
        <v>103794</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40" sqref="A4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6591366</v>
      </c>
      <c r="D5" s="466">
        <v>1750109</v>
      </c>
      <c r="E5" s="466">
        <v>28239</v>
      </c>
      <c r="F5" s="466">
        <v>354357</v>
      </c>
      <c r="G5" s="466"/>
      <c r="H5" s="466">
        <v>1214</v>
      </c>
      <c r="I5" s="467">
        <v>4890</v>
      </c>
      <c r="J5" s="467"/>
      <c r="K5" s="1671">
        <f>SUM(C5:J5)</f>
        <v>8730175</v>
      </c>
      <c r="L5" s="466">
        <v>9094860</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967</v>
      </c>
      <c r="C7" s="467">
        <v>127887</v>
      </c>
      <c r="D7" s="467">
        <v>44878</v>
      </c>
      <c r="E7" s="467"/>
      <c r="F7" s="467">
        <v>206</v>
      </c>
      <c r="G7" s="467"/>
      <c r="H7" s="467"/>
      <c r="I7" s="467"/>
      <c r="J7" s="467"/>
      <c r="K7" s="1671">
        <f t="shared" ref="K7:K32" si="0">SUM(C7:J7)</f>
        <v>172971</v>
      </c>
      <c r="L7" s="466"/>
    </row>
    <row r="8" spans="1:14" x14ac:dyDescent="0.2">
      <c r="A8" s="1504" t="s">
        <v>164</v>
      </c>
      <c r="B8" s="614">
        <v>1200</v>
      </c>
      <c r="C8" s="466">
        <v>2139024</v>
      </c>
      <c r="D8" s="466">
        <v>673710</v>
      </c>
      <c r="E8" s="466">
        <v>36763</v>
      </c>
      <c r="F8" s="466">
        <v>23898</v>
      </c>
      <c r="G8" s="466"/>
      <c r="H8" s="466">
        <v>4839</v>
      </c>
      <c r="I8" s="467"/>
      <c r="J8" s="467"/>
      <c r="K8" s="1671">
        <f t="shared" si="0"/>
        <v>2878234</v>
      </c>
      <c r="L8" s="466">
        <v>2938739</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v>3000</v>
      </c>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82854</v>
      </c>
      <c r="D14" s="466">
        <v>11836</v>
      </c>
      <c r="E14" s="466">
        <v>9890</v>
      </c>
      <c r="F14" s="466">
        <v>15317</v>
      </c>
      <c r="G14" s="466"/>
      <c r="H14" s="466">
        <v>2550</v>
      </c>
      <c r="I14" s="467"/>
      <c r="J14" s="467"/>
      <c r="K14" s="1671">
        <f t="shared" si="0"/>
        <v>122447</v>
      </c>
      <c r="L14" s="466">
        <v>121985</v>
      </c>
    </row>
    <row r="15" spans="1:14" x14ac:dyDescent="0.2">
      <c r="A15" s="1504" t="s">
        <v>964</v>
      </c>
      <c r="B15" s="614">
        <v>1600</v>
      </c>
      <c r="C15" s="466">
        <v>60941</v>
      </c>
      <c r="D15" s="466">
        <v>7088</v>
      </c>
      <c r="E15" s="466"/>
      <c r="F15" s="466">
        <v>1682</v>
      </c>
      <c r="G15" s="466"/>
      <c r="H15" s="466"/>
      <c r="I15" s="467"/>
      <c r="J15" s="467"/>
      <c r="K15" s="1671">
        <f t="shared" si="0"/>
        <v>69711</v>
      </c>
      <c r="L15" s="466">
        <v>58157</v>
      </c>
    </row>
    <row r="16" spans="1:14" x14ac:dyDescent="0.2">
      <c r="A16" s="1504" t="s">
        <v>987</v>
      </c>
      <c r="B16" s="614" t="s">
        <v>424</v>
      </c>
      <c r="C16" s="466">
        <v>52619</v>
      </c>
      <c r="D16" s="466">
        <v>19497</v>
      </c>
      <c r="E16" s="466">
        <v>2336</v>
      </c>
      <c r="F16" s="466">
        <v>2367</v>
      </c>
      <c r="G16" s="466"/>
      <c r="H16" s="466">
        <v>1900</v>
      </c>
      <c r="I16" s="467"/>
      <c r="J16" s="467"/>
      <c r="K16" s="1671">
        <f t="shared" si="0"/>
        <v>78719</v>
      </c>
      <c r="L16" s="466">
        <v>85112</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v>514756</v>
      </c>
      <c r="I21" s="616"/>
      <c r="J21" s="477"/>
      <c r="K21" s="1671">
        <f t="shared" si="0"/>
        <v>514756</v>
      </c>
      <c r="L21" s="471">
        <v>478210</v>
      </c>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1664</v>
      </c>
      <c r="B33" s="1669" t="s">
        <v>570</v>
      </c>
      <c r="C33" s="1670">
        <f>SUM(C5:C32)</f>
        <v>9054691</v>
      </c>
      <c r="D33" s="1670">
        <f t="shared" ref="D33:L33" si="1">SUM(D5:D32)</f>
        <v>2507118</v>
      </c>
      <c r="E33" s="1670">
        <f t="shared" si="1"/>
        <v>77228</v>
      </c>
      <c r="F33" s="1670">
        <f t="shared" si="1"/>
        <v>397827</v>
      </c>
      <c r="G33" s="1670">
        <f t="shared" si="1"/>
        <v>0</v>
      </c>
      <c r="H33" s="1670">
        <f t="shared" si="1"/>
        <v>525259</v>
      </c>
      <c r="I33" s="1670">
        <f t="shared" si="1"/>
        <v>4890</v>
      </c>
      <c r="J33" s="1670">
        <f t="shared" si="1"/>
        <v>0</v>
      </c>
      <c r="K33" s="1670">
        <f t="shared" si="1"/>
        <v>12567013</v>
      </c>
      <c r="L33" s="1670">
        <f t="shared" si="1"/>
        <v>12780063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261093</v>
      </c>
      <c r="D36" s="481">
        <v>51203</v>
      </c>
      <c r="E36" s="481">
        <v>398</v>
      </c>
      <c r="F36" s="481">
        <v>145</v>
      </c>
      <c r="G36" s="481"/>
      <c r="H36" s="481"/>
      <c r="I36" s="467"/>
      <c r="J36" s="467"/>
      <c r="K36" s="1671">
        <f t="shared" ref="K36:K41" si="2">SUM(C36:J36)</f>
        <v>312839</v>
      </c>
      <c r="L36" s="466">
        <v>317669</v>
      </c>
    </row>
    <row r="37" spans="1:14" x14ac:dyDescent="0.2">
      <c r="A37" s="1504" t="s">
        <v>1090</v>
      </c>
      <c r="B37" s="614">
        <v>2120</v>
      </c>
      <c r="C37" s="466"/>
      <c r="D37" s="466"/>
      <c r="E37" s="466"/>
      <c r="F37" s="466">
        <v>18640</v>
      </c>
      <c r="G37" s="466"/>
      <c r="H37" s="466"/>
      <c r="I37" s="467"/>
      <c r="J37" s="467"/>
      <c r="K37" s="1671">
        <f t="shared" si="2"/>
        <v>18640</v>
      </c>
      <c r="L37" s="466">
        <v>10400</v>
      </c>
    </row>
    <row r="38" spans="1:14" x14ac:dyDescent="0.2">
      <c r="A38" s="1504" t="s">
        <v>198</v>
      </c>
      <c r="B38" s="614">
        <v>2130</v>
      </c>
      <c r="C38" s="466">
        <v>388862</v>
      </c>
      <c r="D38" s="466">
        <v>65951</v>
      </c>
      <c r="E38" s="466">
        <v>3232</v>
      </c>
      <c r="F38" s="466">
        <v>7024</v>
      </c>
      <c r="G38" s="466"/>
      <c r="H38" s="466">
        <v>60</v>
      </c>
      <c r="I38" s="467"/>
      <c r="J38" s="467"/>
      <c r="K38" s="1671">
        <f t="shared" si="2"/>
        <v>465129</v>
      </c>
      <c r="L38" s="466">
        <v>465542</v>
      </c>
    </row>
    <row r="39" spans="1:14" x14ac:dyDescent="0.2">
      <c r="A39" s="1504" t="s">
        <v>199</v>
      </c>
      <c r="B39" s="614">
        <v>2140</v>
      </c>
      <c r="C39" s="466">
        <v>135847</v>
      </c>
      <c r="D39" s="466">
        <v>42910</v>
      </c>
      <c r="E39" s="466">
        <v>7893</v>
      </c>
      <c r="F39" s="466">
        <v>8894</v>
      </c>
      <c r="G39" s="466"/>
      <c r="H39" s="466"/>
      <c r="I39" s="467"/>
      <c r="J39" s="467"/>
      <c r="K39" s="1671">
        <f t="shared" si="2"/>
        <v>195544</v>
      </c>
      <c r="L39" s="466">
        <v>190375</v>
      </c>
    </row>
    <row r="40" spans="1:14" x14ac:dyDescent="0.2">
      <c r="A40" s="1504" t="s">
        <v>200</v>
      </c>
      <c r="B40" s="614">
        <v>2150</v>
      </c>
      <c r="C40" s="466">
        <v>332486</v>
      </c>
      <c r="D40" s="466">
        <v>96446</v>
      </c>
      <c r="E40" s="466">
        <v>6149</v>
      </c>
      <c r="F40" s="466">
        <v>3511</v>
      </c>
      <c r="G40" s="466"/>
      <c r="H40" s="466"/>
      <c r="I40" s="467">
        <v>27350</v>
      </c>
      <c r="J40" s="467"/>
      <c r="K40" s="1671">
        <f t="shared" si="2"/>
        <v>465942</v>
      </c>
      <c r="L40" s="466">
        <v>489658</v>
      </c>
    </row>
    <row r="41" spans="1:14" x14ac:dyDescent="0.2">
      <c r="A41" s="1504" t="s">
        <v>1665</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1118288</v>
      </c>
      <c r="D42" s="1670">
        <f t="shared" ref="D42:L42" si="3">SUM(D36:D41)</f>
        <v>256510</v>
      </c>
      <c r="E42" s="1670">
        <f t="shared" si="3"/>
        <v>17672</v>
      </c>
      <c r="F42" s="1670">
        <f t="shared" si="3"/>
        <v>38214</v>
      </c>
      <c r="G42" s="1670">
        <f t="shared" si="3"/>
        <v>0</v>
      </c>
      <c r="H42" s="1670">
        <f t="shared" si="3"/>
        <v>60</v>
      </c>
      <c r="I42" s="1670">
        <f t="shared" si="3"/>
        <v>27350</v>
      </c>
      <c r="J42" s="1670">
        <f t="shared" si="3"/>
        <v>0</v>
      </c>
      <c r="K42" s="1670">
        <f t="shared" si="3"/>
        <v>1458094</v>
      </c>
      <c r="L42" s="1670">
        <f t="shared" si="3"/>
        <v>1473644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238704</v>
      </c>
      <c r="D44" s="481">
        <v>58417</v>
      </c>
      <c r="E44" s="481">
        <v>203061</v>
      </c>
      <c r="F44" s="481">
        <v>82535</v>
      </c>
      <c r="G44" s="481"/>
      <c r="H44" s="481">
        <v>6693</v>
      </c>
      <c r="I44" s="467">
        <v>2741</v>
      </c>
      <c r="J44" s="467"/>
      <c r="K44" s="1672">
        <f>SUM(C44:J44)</f>
        <v>592151</v>
      </c>
      <c r="L44" s="481">
        <v>510109</v>
      </c>
    </row>
    <row r="45" spans="1:14" x14ac:dyDescent="0.2">
      <c r="A45" s="1504" t="s">
        <v>815</v>
      </c>
      <c r="B45" s="614">
        <v>2220</v>
      </c>
      <c r="C45" s="466">
        <v>119920</v>
      </c>
      <c r="D45" s="466">
        <v>7380</v>
      </c>
      <c r="E45" s="466"/>
      <c r="F45" s="466">
        <v>202438</v>
      </c>
      <c r="G45" s="466"/>
      <c r="H45" s="466"/>
      <c r="I45" s="467"/>
      <c r="J45" s="467"/>
      <c r="K45" s="1672">
        <f>SUM(C45:J45)</f>
        <v>329738</v>
      </c>
      <c r="L45" s="466">
        <v>303055</v>
      </c>
    </row>
    <row r="46" spans="1:14" x14ac:dyDescent="0.2">
      <c r="A46" s="1504" t="s">
        <v>816</v>
      </c>
      <c r="B46" s="614">
        <v>2230</v>
      </c>
      <c r="C46" s="466"/>
      <c r="D46" s="466"/>
      <c r="E46" s="466">
        <v>48149</v>
      </c>
      <c r="F46" s="466">
        <v>5628</v>
      </c>
      <c r="G46" s="466"/>
      <c r="H46" s="466"/>
      <c r="I46" s="467"/>
      <c r="J46" s="467"/>
      <c r="K46" s="1672">
        <f>SUM(C46:J46)</f>
        <v>53777</v>
      </c>
      <c r="L46" s="466">
        <v>52040</v>
      </c>
    </row>
    <row r="47" spans="1:14" ht="12.75" customHeight="1" thickBot="1" x14ac:dyDescent="0.25">
      <c r="A47" s="1668" t="s">
        <v>561</v>
      </c>
      <c r="B47" s="1669" t="s">
        <v>32</v>
      </c>
      <c r="C47" s="1670">
        <f>SUM(C44:C46)</f>
        <v>358624</v>
      </c>
      <c r="D47" s="1670">
        <f t="shared" ref="D47:K47" si="4">SUM(D44:D46)</f>
        <v>65797</v>
      </c>
      <c r="E47" s="1670">
        <f t="shared" si="4"/>
        <v>251210</v>
      </c>
      <c r="F47" s="1670">
        <f t="shared" si="4"/>
        <v>290601</v>
      </c>
      <c r="G47" s="1670">
        <f t="shared" si="4"/>
        <v>0</v>
      </c>
      <c r="H47" s="1670">
        <f t="shared" si="4"/>
        <v>6693</v>
      </c>
      <c r="I47" s="1670">
        <f t="shared" si="4"/>
        <v>2741</v>
      </c>
      <c r="J47" s="1670">
        <f t="shared" si="4"/>
        <v>0</v>
      </c>
      <c r="K47" s="1670">
        <f t="shared" si="4"/>
        <v>975666</v>
      </c>
      <c r="L47" s="1670">
        <f>SUM(L44:L46)</f>
        <v>865204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599</v>
      </c>
      <c r="E49" s="481">
        <v>211555</v>
      </c>
      <c r="F49" s="481">
        <v>1780</v>
      </c>
      <c r="G49" s="481"/>
      <c r="H49" s="481">
        <v>63906</v>
      </c>
      <c r="I49" s="467"/>
      <c r="J49" s="467"/>
      <c r="K49" s="1672">
        <f>SUM(C49:J49)</f>
        <v>277840</v>
      </c>
      <c r="L49" s="481">
        <v>325625</v>
      </c>
    </row>
    <row r="50" spans="1:14" x14ac:dyDescent="0.2">
      <c r="A50" s="1504" t="s">
        <v>818</v>
      </c>
      <c r="B50" s="614">
        <v>2320</v>
      </c>
      <c r="C50" s="466">
        <v>220091</v>
      </c>
      <c r="D50" s="466">
        <v>46954</v>
      </c>
      <c r="E50" s="466">
        <v>153088</v>
      </c>
      <c r="F50" s="466">
        <v>16931</v>
      </c>
      <c r="G50" s="466"/>
      <c r="H50" s="466">
        <v>9400</v>
      </c>
      <c r="I50" s="467">
        <v>1813</v>
      </c>
      <c r="J50" s="467"/>
      <c r="K50" s="1672">
        <f>SUM(C50:J50)</f>
        <v>448277</v>
      </c>
      <c r="L50" s="466">
        <v>317190</v>
      </c>
    </row>
    <row r="51" spans="1:14" x14ac:dyDescent="0.2">
      <c r="A51" s="1504" t="s">
        <v>42</v>
      </c>
      <c r="B51" s="614">
        <v>2330</v>
      </c>
      <c r="C51" s="466">
        <v>148968</v>
      </c>
      <c r="D51" s="466">
        <v>20130</v>
      </c>
      <c r="E51" s="466">
        <v>14985</v>
      </c>
      <c r="F51" s="466">
        <v>1466</v>
      </c>
      <c r="G51" s="466"/>
      <c r="H51" s="466"/>
      <c r="I51" s="467"/>
      <c r="J51" s="467"/>
      <c r="K51" s="1672">
        <f>SUM(C51:J51)</f>
        <v>185549</v>
      </c>
      <c r="L51" s="466">
        <v>179449</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369059</v>
      </c>
      <c r="D53" s="1670">
        <f t="shared" ref="D53:L53" si="5">SUM(D49:D52)</f>
        <v>67683</v>
      </c>
      <c r="E53" s="1670">
        <f t="shared" si="5"/>
        <v>379628</v>
      </c>
      <c r="F53" s="1670">
        <f t="shared" si="5"/>
        <v>20177</v>
      </c>
      <c r="G53" s="1670">
        <f t="shared" si="5"/>
        <v>0</v>
      </c>
      <c r="H53" s="1670">
        <f t="shared" si="5"/>
        <v>73306</v>
      </c>
      <c r="I53" s="1670">
        <f t="shared" si="5"/>
        <v>1813</v>
      </c>
      <c r="J53" s="1670">
        <f t="shared" si="5"/>
        <v>0</v>
      </c>
      <c r="K53" s="1670">
        <f t="shared" si="5"/>
        <v>911666</v>
      </c>
      <c r="L53" s="1670">
        <f t="shared" si="5"/>
        <v>822264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1080119</v>
      </c>
      <c r="D55" s="481">
        <v>259932</v>
      </c>
      <c r="E55" s="481">
        <v>8854</v>
      </c>
      <c r="F55" s="481">
        <v>24543</v>
      </c>
      <c r="G55" s="481"/>
      <c r="H55" s="481">
        <v>4083</v>
      </c>
      <c r="I55" s="467">
        <v>8023</v>
      </c>
      <c r="J55" s="467"/>
      <c r="K55" s="1672">
        <f>SUM(C55:J55)</f>
        <v>1385554</v>
      </c>
      <c r="L55" s="481">
        <v>1348356</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1080119</v>
      </c>
      <c r="D57" s="1674">
        <f t="shared" ref="D57:K57" si="6">SUM(D55:D56)</f>
        <v>259932</v>
      </c>
      <c r="E57" s="1674">
        <f t="shared" si="6"/>
        <v>8854</v>
      </c>
      <c r="F57" s="1674">
        <f t="shared" si="6"/>
        <v>24543</v>
      </c>
      <c r="G57" s="1674">
        <f t="shared" si="6"/>
        <v>0</v>
      </c>
      <c r="H57" s="1674">
        <f t="shared" si="6"/>
        <v>4083</v>
      </c>
      <c r="I57" s="1674">
        <f t="shared" si="6"/>
        <v>8023</v>
      </c>
      <c r="J57" s="1674">
        <f t="shared" si="6"/>
        <v>0</v>
      </c>
      <c r="K57" s="1674">
        <f t="shared" si="6"/>
        <v>1385554</v>
      </c>
      <c r="L57" s="1670">
        <f>SUM(L55:L56)</f>
        <v>1348356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156630</v>
      </c>
      <c r="D60" s="466">
        <v>40617</v>
      </c>
      <c r="E60" s="466">
        <v>35758</v>
      </c>
      <c r="F60" s="466">
        <v>375</v>
      </c>
      <c r="G60" s="466"/>
      <c r="H60" s="466">
        <v>3079</v>
      </c>
      <c r="I60" s="467"/>
      <c r="J60" s="467"/>
      <c r="K60" s="1672">
        <f t="shared" si="7"/>
        <v>236459</v>
      </c>
      <c r="L60" s="466">
        <v>237834</v>
      </c>
      <c r="M60" s="609"/>
      <c r="N60" s="609"/>
    </row>
    <row r="61" spans="1:14" s="343" customFormat="1" x14ac:dyDescent="0.2">
      <c r="A61" s="1504" t="s">
        <v>197</v>
      </c>
      <c r="B61" s="614">
        <v>2540</v>
      </c>
      <c r="C61" s="466"/>
      <c r="D61" s="466"/>
      <c r="E61" s="466">
        <v>1571</v>
      </c>
      <c r="F61" s="466"/>
      <c r="G61" s="466"/>
      <c r="H61" s="466"/>
      <c r="I61" s="467"/>
      <c r="J61" s="467"/>
      <c r="K61" s="1672">
        <f t="shared" si="7"/>
        <v>1571</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729294</v>
      </c>
      <c r="F63" s="466"/>
      <c r="G63" s="466"/>
      <c r="H63" s="466"/>
      <c r="I63" s="467"/>
      <c r="J63" s="467"/>
      <c r="K63" s="1672">
        <f t="shared" si="7"/>
        <v>729294</v>
      </c>
      <c r="L63" s="466">
        <v>755799</v>
      </c>
    </row>
    <row r="64" spans="1:14" s="609" customFormat="1" x14ac:dyDescent="0.2">
      <c r="A64" s="1509" t="s">
        <v>101</v>
      </c>
      <c r="B64" s="630">
        <v>2570</v>
      </c>
      <c r="C64" s="481"/>
      <c r="D64" s="481"/>
      <c r="E64" s="481"/>
      <c r="F64" s="481">
        <v>590</v>
      </c>
      <c r="G64" s="481"/>
      <c r="H64" s="481"/>
      <c r="I64" s="467"/>
      <c r="J64" s="467"/>
      <c r="K64" s="1672">
        <f t="shared" si="7"/>
        <v>590</v>
      </c>
      <c r="L64" s="481">
        <v>1500</v>
      </c>
    </row>
    <row r="65" spans="1:14" s="343" customFormat="1" ht="12.75" customHeight="1" thickBot="1" x14ac:dyDescent="0.25">
      <c r="A65" s="1668" t="s">
        <v>719</v>
      </c>
      <c r="B65" s="1669" t="s">
        <v>35</v>
      </c>
      <c r="C65" s="1670">
        <f>SUM(C59:C64)</f>
        <v>156630</v>
      </c>
      <c r="D65" s="1670">
        <f t="shared" ref="D65:L65" si="8">SUM(D59:D64)</f>
        <v>40617</v>
      </c>
      <c r="E65" s="1670">
        <f t="shared" si="8"/>
        <v>766623</v>
      </c>
      <c r="F65" s="1670">
        <f t="shared" si="8"/>
        <v>965</v>
      </c>
      <c r="G65" s="1670">
        <f t="shared" si="8"/>
        <v>0</v>
      </c>
      <c r="H65" s="1670">
        <f t="shared" si="8"/>
        <v>3079</v>
      </c>
      <c r="I65" s="1670">
        <f t="shared" si="8"/>
        <v>0</v>
      </c>
      <c r="J65" s="1670">
        <f t="shared" si="8"/>
        <v>0</v>
      </c>
      <c r="K65" s="1670">
        <f t="shared" si="8"/>
        <v>967914</v>
      </c>
      <c r="L65" s="1670">
        <f t="shared" si="8"/>
        <v>995133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334719</v>
      </c>
      <c r="D69" s="466">
        <v>14173</v>
      </c>
      <c r="E69" s="466">
        <v>16194</v>
      </c>
      <c r="F69" s="466">
        <v>37945</v>
      </c>
      <c r="G69" s="466">
        <v>219528</v>
      </c>
      <c r="H69" s="466"/>
      <c r="I69" s="467"/>
      <c r="J69" s="467"/>
      <c r="K69" s="1672">
        <f>SUM(C69:J69)</f>
        <v>622559</v>
      </c>
      <c r="L69" s="466">
        <v>876351</v>
      </c>
      <c r="M69" s="609"/>
      <c r="N69" s="609"/>
    </row>
    <row r="70" spans="1:14" s="343" customFormat="1" x14ac:dyDescent="0.2">
      <c r="A70" s="1504" t="s">
        <v>403</v>
      </c>
      <c r="B70" s="614">
        <v>2640</v>
      </c>
      <c r="C70" s="466">
        <v>1100</v>
      </c>
      <c r="D70" s="466"/>
      <c r="E70" s="466"/>
      <c r="F70" s="466"/>
      <c r="G70" s="466"/>
      <c r="H70" s="466"/>
      <c r="I70" s="467"/>
      <c r="J70" s="467"/>
      <c r="K70" s="1672">
        <f>SUM(C70:J70)</f>
        <v>1100</v>
      </c>
      <c r="L70" s="466">
        <v>5075</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335819</v>
      </c>
      <c r="D72" s="1670">
        <f t="shared" ref="D72:K72" si="9">SUM(D67:D71)</f>
        <v>14173</v>
      </c>
      <c r="E72" s="1670">
        <f t="shared" si="9"/>
        <v>16194</v>
      </c>
      <c r="F72" s="1670">
        <f t="shared" si="9"/>
        <v>37945</v>
      </c>
      <c r="G72" s="1670">
        <f t="shared" si="9"/>
        <v>219528</v>
      </c>
      <c r="H72" s="1670">
        <f t="shared" si="9"/>
        <v>0</v>
      </c>
      <c r="I72" s="1670">
        <f t="shared" si="9"/>
        <v>0</v>
      </c>
      <c r="J72" s="1670">
        <f t="shared" si="9"/>
        <v>0</v>
      </c>
      <c r="K72" s="1670">
        <f t="shared" si="9"/>
        <v>623659</v>
      </c>
      <c r="L72" s="1670">
        <f>SUM(L67:L71)</f>
        <v>881426</v>
      </c>
      <c r="M72" s="609"/>
      <c r="N72" s="609"/>
    </row>
    <row r="73" spans="1:14" s="343" customFormat="1" ht="14.25" thickTop="1" thickBot="1" x14ac:dyDescent="0.25">
      <c r="A73" s="1510" t="s">
        <v>980</v>
      </c>
      <c r="B73" s="632" t="s">
        <v>574</v>
      </c>
      <c r="C73" s="573">
        <v>84</v>
      </c>
      <c r="D73" s="573">
        <v>12</v>
      </c>
      <c r="E73" s="573">
        <v>150</v>
      </c>
      <c r="F73" s="573"/>
      <c r="G73" s="573"/>
      <c r="H73" s="573"/>
      <c r="I73" s="531"/>
      <c r="J73" s="531"/>
      <c r="K73" s="1670">
        <f>SUM(C73:J73)</f>
        <v>246</v>
      </c>
      <c r="L73" s="576">
        <v>750</v>
      </c>
      <c r="M73" s="609"/>
      <c r="N73" s="609"/>
    </row>
    <row r="74" spans="1:14" ht="12.75" customHeight="1" thickTop="1" thickBot="1" x14ac:dyDescent="0.25">
      <c r="A74" s="1668" t="s">
        <v>811</v>
      </c>
      <c r="B74" s="1676">
        <v>2000</v>
      </c>
      <c r="C74" s="1677">
        <f>SUM(C42,C47,C53,C57,C65,C72,C73)</f>
        <v>3418623</v>
      </c>
      <c r="D74" s="1677">
        <f t="shared" ref="D74:K74" si="10">SUM(D42,D47,D53,D57,D65,D72,D73)</f>
        <v>704724</v>
      </c>
      <c r="E74" s="1677">
        <f t="shared" si="10"/>
        <v>1440331</v>
      </c>
      <c r="F74" s="1677">
        <f t="shared" si="10"/>
        <v>412445</v>
      </c>
      <c r="G74" s="1677">
        <f t="shared" si="10"/>
        <v>219528</v>
      </c>
      <c r="H74" s="1677">
        <f t="shared" si="10"/>
        <v>87221</v>
      </c>
      <c r="I74" s="1677">
        <f t="shared" si="10"/>
        <v>39927</v>
      </c>
      <c r="J74" s="1677">
        <f t="shared" si="10"/>
        <v>0</v>
      </c>
      <c r="K74" s="1677">
        <f t="shared" si="10"/>
        <v>6322799</v>
      </c>
      <c r="L74" s="1677">
        <f>SUM(L42,L47,L53,L57,L65,L72,L73)</f>
        <v>6386777</v>
      </c>
    </row>
    <row r="75" spans="1:14" s="259" customFormat="1" ht="15.75" customHeight="1" thickTop="1" thickBot="1" x14ac:dyDescent="0.25">
      <c r="A75" s="1610" t="s">
        <v>47</v>
      </c>
      <c r="B75" s="1611" t="s">
        <v>575</v>
      </c>
      <c r="C75" s="573">
        <v>14012</v>
      </c>
      <c r="D75" s="573">
        <v>3658</v>
      </c>
      <c r="E75" s="573">
        <v>2574</v>
      </c>
      <c r="F75" s="573">
        <v>42586</v>
      </c>
      <c r="G75" s="573"/>
      <c r="H75" s="573"/>
      <c r="I75" s="531"/>
      <c r="J75" s="531"/>
      <c r="K75" s="1670">
        <f>SUM(C75:J75)</f>
        <v>62830</v>
      </c>
      <c r="L75" s="576">
        <v>42660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0</v>
      </c>
      <c r="I102" s="477"/>
      <c r="J102" s="477"/>
      <c r="K102" s="1677">
        <f>SUM(K84,K92,K100,K101)</f>
        <v>0</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87565</v>
      </c>
      <c r="I111" s="468"/>
      <c r="J111" s="468"/>
      <c r="K111" s="1683">
        <f>H111</f>
        <v>87565</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87565</v>
      </c>
      <c r="I112" s="468"/>
      <c r="J112" s="468"/>
      <c r="K112" s="1670">
        <f>SUM(K110:K111)</f>
        <v>87565</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12487326</v>
      </c>
      <c r="D114" s="1670">
        <f t="shared" ref="D114:K114" si="13">SUM(D33,D74,D75,D102,D112,D113)</f>
        <v>3215500</v>
      </c>
      <c r="E114" s="1670">
        <f t="shared" si="13"/>
        <v>1520133</v>
      </c>
      <c r="F114" s="1670">
        <f t="shared" si="13"/>
        <v>852858</v>
      </c>
      <c r="G114" s="1670">
        <f t="shared" si="13"/>
        <v>219528</v>
      </c>
      <c r="H114" s="1670">
        <f>SUM(H33,H74,H75,H102,H112,H113)</f>
        <v>700045</v>
      </c>
      <c r="I114" s="1670">
        <f t="shared" si="13"/>
        <v>44817</v>
      </c>
      <c r="J114" s="1670">
        <f t="shared" si="13"/>
        <v>0</v>
      </c>
      <c r="K114" s="1670">
        <f t="shared" si="13"/>
        <v>19040207</v>
      </c>
      <c r="L114" s="1670">
        <f>SUM(L33,L74,L75,L102,L112,L113)</f>
        <v>19209500</v>
      </c>
    </row>
    <row r="115" spans="1:14" ht="13.5" thickTop="1" x14ac:dyDescent="0.2">
      <c r="A115" s="2187" t="s">
        <v>996</v>
      </c>
      <c r="B115" s="2188"/>
      <c r="C115" s="618"/>
      <c r="D115" s="618"/>
      <c r="E115" s="618"/>
      <c r="F115" s="618"/>
      <c r="G115" s="618"/>
      <c r="H115" s="618"/>
      <c r="I115" s="618"/>
      <c r="J115" s="618"/>
      <c r="K115" s="1684">
        <f>'Revenues 9-14'!C268-'Expenditures 15-22'!K114</f>
        <v>389158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2047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688835</v>
      </c>
      <c r="D124" s="466">
        <v>142098</v>
      </c>
      <c r="E124" s="466">
        <v>446816</v>
      </c>
      <c r="F124" s="466">
        <v>614649</v>
      </c>
      <c r="G124" s="466">
        <v>1339547</v>
      </c>
      <c r="H124" s="466"/>
      <c r="I124" s="467">
        <v>4432</v>
      </c>
      <c r="J124" s="467"/>
      <c r="K124" s="1670">
        <f>SUM(C124:J124)</f>
        <v>3236377</v>
      </c>
      <c r="L124" s="466">
        <v>3616497</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688835</v>
      </c>
      <c r="D127" s="1670">
        <f t="shared" ref="D127:L127" si="14">SUM(D122:D126)</f>
        <v>142098</v>
      </c>
      <c r="E127" s="1670">
        <f t="shared" si="14"/>
        <v>446816</v>
      </c>
      <c r="F127" s="1670">
        <f t="shared" si="14"/>
        <v>614649</v>
      </c>
      <c r="G127" s="1670">
        <f t="shared" si="14"/>
        <v>1339547</v>
      </c>
      <c r="H127" s="1670">
        <f t="shared" si="14"/>
        <v>0</v>
      </c>
      <c r="I127" s="1670">
        <f t="shared" si="14"/>
        <v>4432</v>
      </c>
      <c r="J127" s="1670">
        <f t="shared" si="14"/>
        <v>0</v>
      </c>
      <c r="K127" s="1670">
        <f t="shared" si="14"/>
        <v>3236377</v>
      </c>
      <c r="L127" s="1670">
        <f t="shared" si="14"/>
        <v>3616497</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688835</v>
      </c>
      <c r="D129" s="1677">
        <f t="shared" ref="D129:L129" si="15">SUM(D120,D127,D128)</f>
        <v>142098</v>
      </c>
      <c r="E129" s="1677">
        <f t="shared" si="15"/>
        <v>446816</v>
      </c>
      <c r="F129" s="1677">
        <f t="shared" si="15"/>
        <v>614649</v>
      </c>
      <c r="G129" s="1677">
        <f t="shared" si="15"/>
        <v>1339547</v>
      </c>
      <c r="H129" s="1677">
        <f t="shared" si="15"/>
        <v>0</v>
      </c>
      <c r="I129" s="1677">
        <f t="shared" si="15"/>
        <v>4432</v>
      </c>
      <c r="J129" s="1677">
        <f t="shared" si="15"/>
        <v>0</v>
      </c>
      <c r="K129" s="1677">
        <f t="shared" si="15"/>
        <v>3236377</v>
      </c>
      <c r="L129" s="1677">
        <f t="shared" si="15"/>
        <v>3616497</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1833</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9"/>
      <c r="C151" s="1670">
        <f>SUM(C129,C130,C139,C149,C150)</f>
        <v>688835</v>
      </c>
      <c r="D151" s="1670">
        <f t="shared" ref="D151:K151" si="16">SUM(D129,D130,D139,D149,D150)</f>
        <v>142098</v>
      </c>
      <c r="E151" s="1670">
        <f t="shared" si="16"/>
        <v>446816</v>
      </c>
      <c r="F151" s="1670">
        <f t="shared" si="16"/>
        <v>614649</v>
      </c>
      <c r="G151" s="1670">
        <f t="shared" si="16"/>
        <v>1339547</v>
      </c>
      <c r="H151" s="1670">
        <f t="shared" si="16"/>
        <v>0</v>
      </c>
      <c r="I151" s="1670">
        <f t="shared" si="16"/>
        <v>4432</v>
      </c>
      <c r="J151" s="1670">
        <f t="shared" si="16"/>
        <v>0</v>
      </c>
      <c r="K151" s="1670">
        <f t="shared" si="16"/>
        <v>3236377</v>
      </c>
      <c r="L151" s="1670">
        <f>SUM(L129,L130,L139,L149,L150)</f>
        <v>3616497</v>
      </c>
    </row>
    <row r="152" spans="1:14" ht="12.75" customHeight="1" thickTop="1" x14ac:dyDescent="0.2">
      <c r="A152" s="2180" t="s">
        <v>1178</v>
      </c>
      <c r="B152" s="2181"/>
      <c r="C152" s="618"/>
      <c r="D152" s="618"/>
      <c r="E152" s="618"/>
      <c r="F152" s="618"/>
      <c r="G152" s="618"/>
      <c r="H152" s="618"/>
      <c r="I152" s="618"/>
      <c r="J152" s="616"/>
      <c r="K152" s="1684">
        <f>'Revenues 9-14'!D268-'Expenditures 15-22'!K151</f>
        <v>-794351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1834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1833</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1835</v>
      </c>
      <c r="C158" s="616"/>
      <c r="D158" s="616"/>
      <c r="E158" s="616"/>
      <c r="F158" s="616"/>
      <c r="G158" s="616"/>
      <c r="H158" s="467"/>
      <c r="I158" s="616"/>
      <c r="J158" s="616"/>
      <c r="K158" s="1671">
        <f>H158</f>
        <v>0</v>
      </c>
      <c r="L158" s="467"/>
      <c r="M158" s="619"/>
      <c r="N158" s="619"/>
    </row>
    <row r="159" spans="1:14" s="620" customFormat="1" ht="12" x14ac:dyDescent="0.2">
      <c r="A159" s="1826" t="s">
        <v>1836</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1837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115188</v>
      </c>
      <c r="I169" s="616"/>
      <c r="J169" s="616"/>
      <c r="K169" s="1671">
        <f>SUM(C169:H169)</f>
        <v>115188</v>
      </c>
      <c r="L169" s="656">
        <v>0</v>
      </c>
    </row>
    <row r="170" spans="1:14" ht="33.75" customHeight="1" x14ac:dyDescent="0.2">
      <c r="A170" s="669" t="s">
        <v>1666</v>
      </c>
      <c r="B170" s="671" t="s">
        <v>31</v>
      </c>
      <c r="C170" s="616"/>
      <c r="D170" s="616"/>
      <c r="E170" s="616"/>
      <c r="F170" s="616"/>
      <c r="G170" s="616"/>
      <c r="H170" s="569">
        <v>1070000</v>
      </c>
      <c r="I170" s="616"/>
      <c r="J170" s="616"/>
      <c r="K170" s="1671">
        <f>SUM(C170:J170)</f>
        <v>1070000</v>
      </c>
      <c r="L170" s="569">
        <v>1204998</v>
      </c>
    </row>
    <row r="171" spans="1:14" ht="15.75" customHeight="1" x14ac:dyDescent="0.2">
      <c r="A171" s="621" t="s">
        <v>766</v>
      </c>
      <c r="B171" s="672" t="s">
        <v>84</v>
      </c>
      <c r="C171" s="616"/>
      <c r="D171" s="616"/>
      <c r="E171" s="466"/>
      <c r="F171" s="616"/>
      <c r="G171" s="616"/>
      <c r="H171" s="569">
        <v>59800</v>
      </c>
      <c r="I171" s="477"/>
      <c r="J171" s="616"/>
      <c r="K171" s="1671">
        <f>SUM(C171:J171)</f>
        <v>59800</v>
      </c>
      <c r="L171" s="569">
        <v>1275</v>
      </c>
    </row>
    <row r="172" spans="1:14" ht="12.75" customHeight="1" thickBot="1" x14ac:dyDescent="0.25">
      <c r="A172" s="1668" t="s">
        <v>638</v>
      </c>
      <c r="B172" s="1669" t="s">
        <v>492</v>
      </c>
      <c r="C172" s="616"/>
      <c r="D172" s="616"/>
      <c r="E172" s="1677">
        <f>SUM(E168,E169,E170,E171)</f>
        <v>0</v>
      </c>
      <c r="F172" s="616"/>
      <c r="G172" s="616"/>
      <c r="H172" s="1677">
        <f>SUM(H168,H169,H170,H171)</f>
        <v>1244988</v>
      </c>
      <c r="I172" s="638"/>
      <c r="J172" s="616"/>
      <c r="K172" s="1677">
        <f>SUM(K168,K169,K170,K171)</f>
        <v>1244988</v>
      </c>
      <c r="L172" s="1677">
        <f>SUM(L168,L169,L170,L171)</f>
        <v>1206273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1244988</v>
      </c>
      <c r="I174" s="638"/>
      <c r="J174" s="616"/>
      <c r="K174" s="1677">
        <f>SUM(K160,K172,K173)</f>
        <v>1244988</v>
      </c>
      <c r="L174" s="1677">
        <f>SUM(L160,L172,L173)</f>
        <v>1206273</v>
      </c>
    </row>
    <row r="175" spans="1:14" ht="13.5" thickTop="1" x14ac:dyDescent="0.2">
      <c r="A175" s="2187" t="s">
        <v>996</v>
      </c>
      <c r="B175" s="2188"/>
      <c r="C175" s="616"/>
      <c r="D175" s="616"/>
      <c r="E175" s="616"/>
      <c r="F175" s="616"/>
      <c r="G175" s="616"/>
      <c r="H175" s="618"/>
      <c r="I175" s="616"/>
      <c r="J175" s="616"/>
      <c r="K175" s="1684">
        <f>'Revenues 9-14'!E268-'Expenditures 15-22'!K174</f>
        <v>33680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2047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667391</v>
      </c>
      <c r="D182" s="466">
        <v>32135</v>
      </c>
      <c r="E182" s="466">
        <v>41455</v>
      </c>
      <c r="F182" s="466">
        <v>201726</v>
      </c>
      <c r="G182" s="466">
        <v>59174</v>
      </c>
      <c r="H182" s="466">
        <v>413467</v>
      </c>
      <c r="I182" s="467"/>
      <c r="J182" s="467"/>
      <c r="K182" s="1671">
        <f>SUM(C182:J182)</f>
        <v>1415348</v>
      </c>
      <c r="L182" s="466">
        <v>1209646</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667391</v>
      </c>
      <c r="D184" s="1677">
        <f t="shared" ref="D184:J184" si="17">SUM(D180,D182,D183)</f>
        <v>32135</v>
      </c>
      <c r="E184" s="1677">
        <f t="shared" si="17"/>
        <v>41455</v>
      </c>
      <c r="F184" s="1677">
        <f t="shared" si="17"/>
        <v>201726</v>
      </c>
      <c r="G184" s="1677">
        <f t="shared" si="17"/>
        <v>59174</v>
      </c>
      <c r="H184" s="1677">
        <f t="shared" si="17"/>
        <v>413467</v>
      </c>
      <c r="I184" s="1677">
        <f t="shared" si="17"/>
        <v>0</v>
      </c>
      <c r="J184" s="1677">
        <f t="shared" si="17"/>
        <v>0</v>
      </c>
      <c r="K184" s="1677">
        <f>SUM(K180,K182,K183)</f>
        <v>1415348</v>
      </c>
      <c r="L184" s="1677">
        <f>SUM(L180, L182:L183)</f>
        <v>1209646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1486</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1667</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667391</v>
      </c>
      <c r="D210" s="1670">
        <f>SUM(D184,D185)</f>
        <v>32135</v>
      </c>
      <c r="E210" s="1670">
        <f>SUM(E184,E185,E196)</f>
        <v>41455</v>
      </c>
      <c r="F210" s="1670">
        <f>SUM(F184,F185)</f>
        <v>201726</v>
      </c>
      <c r="G210" s="1670">
        <f>SUM(G184,G185)</f>
        <v>59174</v>
      </c>
      <c r="H210" s="1670">
        <f>SUM(H184,H185,H196,H208,H209)</f>
        <v>413467</v>
      </c>
      <c r="I210" s="1670">
        <f>SUM(I184,I185)</f>
        <v>0</v>
      </c>
      <c r="J210" s="1670">
        <f>SUM(J184,J185)</f>
        <v>0</v>
      </c>
      <c r="K210" s="1671">
        <f>SUM(K184,K185,K196,K208,K209)</f>
        <v>1415348</v>
      </c>
      <c r="L210" s="1670">
        <f>SUM(L184,L185,L196,L208,L209)</f>
        <v>1209646</v>
      </c>
    </row>
    <row r="211" spans="1:14" ht="13.5" thickTop="1" x14ac:dyDescent="0.2">
      <c r="A211" s="2187" t="s">
        <v>996</v>
      </c>
      <c r="B211" s="2188"/>
      <c r="C211" s="618"/>
      <c r="D211" s="618"/>
      <c r="E211" s="618"/>
      <c r="F211" s="618"/>
      <c r="G211" s="618"/>
      <c r="H211" s="618"/>
      <c r="I211" s="616"/>
      <c r="J211" s="616"/>
      <c r="K211" s="1684">
        <f>'Revenues 9-14'!F268-'Expenditures 15-22'!K210</f>
        <v>-24791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125637</v>
      </c>
      <c r="E215" s="616"/>
      <c r="F215" s="616"/>
      <c r="G215" s="616"/>
      <c r="H215" s="616"/>
      <c r="I215" s="616"/>
      <c r="J215" s="616"/>
      <c r="K215" s="1671">
        <f>D215</f>
        <v>125637</v>
      </c>
      <c r="L215" s="466">
        <v>124152</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139724</v>
      </c>
      <c r="E217" s="616"/>
      <c r="F217" s="616"/>
      <c r="G217" s="616"/>
      <c r="H217" s="616"/>
      <c r="I217" s="616"/>
      <c r="J217" s="616"/>
      <c r="K217" s="1671">
        <f t="shared" si="19"/>
        <v>139724</v>
      </c>
      <c r="L217" s="466">
        <v>154992</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1729</v>
      </c>
      <c r="E223" s="616"/>
      <c r="F223" s="616"/>
      <c r="G223" s="616"/>
      <c r="H223" s="616"/>
      <c r="I223" s="616"/>
      <c r="J223" s="616"/>
      <c r="K223" s="1671">
        <f t="shared" si="19"/>
        <v>1729</v>
      </c>
      <c r="L223" s="466">
        <v>387</v>
      </c>
    </row>
    <row r="224" spans="1:14" x14ac:dyDescent="0.2">
      <c r="A224" s="1504" t="s">
        <v>964</v>
      </c>
      <c r="B224" s="614">
        <v>1600</v>
      </c>
      <c r="C224" s="616"/>
      <c r="D224" s="466">
        <v>3391</v>
      </c>
      <c r="E224" s="616"/>
      <c r="F224" s="616"/>
      <c r="G224" s="616"/>
      <c r="H224" s="616"/>
      <c r="I224" s="616"/>
      <c r="J224" s="616"/>
      <c r="K224" s="1671">
        <f t="shared" si="19"/>
        <v>3391</v>
      </c>
      <c r="L224" s="466">
        <v>483</v>
      </c>
    </row>
    <row r="225" spans="1:12" x14ac:dyDescent="0.2">
      <c r="A225" s="1504" t="s">
        <v>987</v>
      </c>
      <c r="B225" s="614">
        <v>1650</v>
      </c>
      <c r="C225" s="616"/>
      <c r="D225" s="466">
        <v>720</v>
      </c>
      <c r="E225" s="616"/>
      <c r="F225" s="616"/>
      <c r="G225" s="616"/>
      <c r="H225" s="616"/>
      <c r="I225" s="616"/>
      <c r="J225" s="616"/>
      <c r="K225" s="1671">
        <f t="shared" si="19"/>
        <v>720</v>
      </c>
      <c r="L225" s="466">
        <v>750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271201</v>
      </c>
      <c r="E229" s="616"/>
      <c r="F229" s="616"/>
      <c r="G229" s="616"/>
      <c r="H229" s="616"/>
      <c r="I229" s="616"/>
      <c r="J229" s="616"/>
      <c r="K229" s="1670">
        <f>SUM(K215:K228)</f>
        <v>271201</v>
      </c>
      <c r="L229" s="1670">
        <f>SUM(L215:L228)</f>
        <v>280764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3233</v>
      </c>
      <c r="E232" s="616"/>
      <c r="F232" s="616"/>
      <c r="G232" s="616"/>
      <c r="H232" s="616"/>
      <c r="I232" s="616"/>
      <c r="J232" s="616"/>
      <c r="K232" s="1671">
        <f t="shared" ref="K232:K237" si="20">D232</f>
        <v>3233</v>
      </c>
      <c r="L232" s="466">
        <v>3306</v>
      </c>
    </row>
    <row r="233" spans="1:12" x14ac:dyDescent="0.2">
      <c r="A233" s="1504" t="s">
        <v>1090</v>
      </c>
      <c r="B233" s="614">
        <v>2120</v>
      </c>
      <c r="C233" s="616"/>
      <c r="D233" s="466">
        <v>11366</v>
      </c>
      <c r="E233" s="616"/>
      <c r="F233" s="616"/>
      <c r="G233" s="616"/>
      <c r="H233" s="616"/>
      <c r="I233" s="616"/>
      <c r="J233" s="616"/>
      <c r="K233" s="1671">
        <f t="shared" si="20"/>
        <v>11366</v>
      </c>
      <c r="L233" s="466"/>
    </row>
    <row r="234" spans="1:12" x14ac:dyDescent="0.2">
      <c r="A234" s="1504" t="s">
        <v>198</v>
      </c>
      <c r="B234" s="614">
        <v>2130</v>
      </c>
      <c r="C234" s="616"/>
      <c r="D234" s="466">
        <v>61566</v>
      </c>
      <c r="E234" s="616"/>
      <c r="F234" s="616"/>
      <c r="G234" s="616"/>
      <c r="H234" s="616"/>
      <c r="I234" s="616"/>
      <c r="J234" s="616"/>
      <c r="K234" s="1671">
        <f t="shared" si="20"/>
        <v>61566</v>
      </c>
      <c r="L234" s="466">
        <v>68202</v>
      </c>
    </row>
    <row r="235" spans="1:12" x14ac:dyDescent="0.2">
      <c r="A235" s="1504" t="s">
        <v>199</v>
      </c>
      <c r="B235" s="614">
        <v>2140</v>
      </c>
      <c r="C235" s="616"/>
      <c r="D235" s="466">
        <v>1900</v>
      </c>
      <c r="E235" s="616"/>
      <c r="F235" s="616"/>
      <c r="G235" s="616"/>
      <c r="H235" s="616"/>
      <c r="I235" s="616"/>
      <c r="J235" s="616"/>
      <c r="K235" s="1671">
        <f t="shared" si="20"/>
        <v>1900</v>
      </c>
      <c r="L235" s="466">
        <v>1966</v>
      </c>
    </row>
    <row r="236" spans="1:12" x14ac:dyDescent="0.2">
      <c r="A236" s="1504" t="s">
        <v>200</v>
      </c>
      <c r="B236" s="614">
        <v>2150</v>
      </c>
      <c r="C236" s="616"/>
      <c r="D236" s="466">
        <v>4606</v>
      </c>
      <c r="E236" s="616"/>
      <c r="F236" s="616"/>
      <c r="G236" s="616"/>
      <c r="H236" s="616"/>
      <c r="I236" s="616"/>
      <c r="J236" s="616"/>
      <c r="K236" s="1671">
        <f t="shared" si="20"/>
        <v>4606</v>
      </c>
      <c r="L236" s="466">
        <v>5210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82671</v>
      </c>
      <c r="E238" s="616"/>
      <c r="F238" s="616"/>
      <c r="G238" s="616"/>
      <c r="H238" s="616"/>
      <c r="I238" s="616"/>
      <c r="J238" s="616"/>
      <c r="K238" s="1670">
        <f>SUM(K232:K237)</f>
        <v>82671</v>
      </c>
      <c r="L238" s="1670">
        <f>SUM(L232:L237)</f>
        <v>78684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644</v>
      </c>
      <c r="E240" s="616"/>
      <c r="F240" s="616"/>
      <c r="G240" s="616"/>
      <c r="H240" s="616"/>
      <c r="I240" s="616"/>
      <c r="J240" s="616"/>
      <c r="K240" s="1672">
        <f>D240</f>
        <v>644</v>
      </c>
      <c r="L240" s="481">
        <v>12059</v>
      </c>
    </row>
    <row r="241" spans="1:12" x14ac:dyDescent="0.2">
      <c r="A241" s="1504" t="s">
        <v>815</v>
      </c>
      <c r="B241" s="614">
        <v>2220</v>
      </c>
      <c r="C241" s="616"/>
      <c r="D241" s="466">
        <v>10907</v>
      </c>
      <c r="E241" s="616"/>
      <c r="F241" s="616"/>
      <c r="G241" s="616"/>
      <c r="H241" s="616"/>
      <c r="I241" s="616"/>
      <c r="J241" s="616"/>
      <c r="K241" s="1672">
        <f>D241</f>
        <v>10907</v>
      </c>
      <c r="L241" s="466">
        <v>11553</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11551</v>
      </c>
      <c r="E243" s="616"/>
      <c r="F243" s="616"/>
      <c r="G243" s="616"/>
      <c r="H243" s="616"/>
      <c r="I243" s="616"/>
      <c r="J243" s="616"/>
      <c r="K243" s="1670">
        <f>SUM(K240:K242)</f>
        <v>11551</v>
      </c>
      <c r="L243" s="1670">
        <f>SUM(L240:L242)</f>
        <v>23612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12300</v>
      </c>
      <c r="E246" s="616"/>
      <c r="F246" s="616"/>
      <c r="G246" s="616"/>
      <c r="H246" s="616"/>
      <c r="I246" s="616"/>
      <c r="J246" s="616"/>
      <c r="K246" s="1672">
        <f t="shared" ref="K246:K256" si="21">D246</f>
        <v>12300</v>
      </c>
      <c r="L246" s="466">
        <v>11291</v>
      </c>
    </row>
    <row r="247" spans="1:12" x14ac:dyDescent="0.2">
      <c r="A247" s="1504" t="s">
        <v>819</v>
      </c>
      <c r="B247" s="614">
        <v>2330</v>
      </c>
      <c r="C247" s="616"/>
      <c r="D247" s="466">
        <v>6956</v>
      </c>
      <c r="E247" s="616"/>
      <c r="F247" s="616"/>
      <c r="G247" s="616"/>
      <c r="H247" s="616"/>
      <c r="I247" s="616"/>
      <c r="J247" s="616"/>
      <c r="K247" s="1672">
        <f t="shared" si="21"/>
        <v>6956</v>
      </c>
      <c r="L247" s="466">
        <v>7095</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1795</v>
      </c>
      <c r="B249" s="683" t="s">
        <v>282</v>
      </c>
      <c r="C249" s="616"/>
      <c r="D249" s="474"/>
      <c r="E249" s="616"/>
      <c r="F249" s="616"/>
      <c r="G249" s="616"/>
      <c r="H249" s="616"/>
      <c r="I249" s="616"/>
      <c r="J249" s="616"/>
      <c r="K249" s="1672">
        <f t="shared" si="21"/>
        <v>0</v>
      </c>
      <c r="L249" s="466"/>
    </row>
    <row r="250" spans="1:12" x14ac:dyDescent="0.2">
      <c r="A250" s="1505" t="s">
        <v>1796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19256</v>
      </c>
      <c r="E257" s="616"/>
      <c r="F257" s="616"/>
      <c r="G257" s="616"/>
      <c r="H257" s="616"/>
      <c r="I257" s="616"/>
      <c r="J257" s="616"/>
      <c r="K257" s="1670">
        <f>SUM(K245:K256)</f>
        <v>19256</v>
      </c>
      <c r="L257" s="1670">
        <f>SUM(L245:L256)</f>
        <v>18386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57492</v>
      </c>
      <c r="E259" s="616"/>
      <c r="F259" s="616"/>
      <c r="G259" s="616"/>
      <c r="H259" s="616"/>
      <c r="I259" s="616"/>
      <c r="J259" s="616"/>
      <c r="K259" s="1672">
        <f>D259</f>
        <v>57492</v>
      </c>
      <c r="L259" s="481">
        <v>59853</v>
      </c>
    </row>
    <row r="260" spans="1:14" s="597" customFormat="1" x14ac:dyDescent="0.2">
      <c r="A260" s="1522" t="s">
        <v>1794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57492</v>
      </c>
      <c r="E261" s="616"/>
      <c r="F261" s="616"/>
      <c r="G261" s="616"/>
      <c r="H261" s="616"/>
      <c r="I261" s="616"/>
      <c r="J261" s="616"/>
      <c r="K261" s="1670">
        <f>SUM(K259:K260)</f>
        <v>57492</v>
      </c>
      <c r="L261" s="1670">
        <f>SUM(L259:L260)</f>
        <v>59853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13277</v>
      </c>
      <c r="E264" s="616"/>
      <c r="F264" s="616"/>
      <c r="G264" s="616"/>
      <c r="H264" s="616"/>
      <c r="I264" s="616"/>
      <c r="J264" s="616"/>
      <c r="K264" s="1672">
        <f t="shared" ref="K264:K269" si="22">D264</f>
        <v>13277</v>
      </c>
      <c r="L264" s="466">
        <v>13765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107326</v>
      </c>
      <c r="E266" s="616"/>
      <c r="F266" s="616"/>
      <c r="G266" s="616"/>
      <c r="H266" s="616"/>
      <c r="I266" s="616"/>
      <c r="J266" s="616"/>
      <c r="K266" s="1672">
        <f t="shared" si="22"/>
        <v>107326</v>
      </c>
      <c r="L266" s="466">
        <v>108190</v>
      </c>
    </row>
    <row r="267" spans="1:14" x14ac:dyDescent="0.2">
      <c r="A267" s="1504" t="s">
        <v>953</v>
      </c>
      <c r="B267" s="614">
        <v>2550</v>
      </c>
      <c r="C267" s="616"/>
      <c r="D267" s="466">
        <v>104358</v>
      </c>
      <c r="E267" s="616"/>
      <c r="F267" s="616"/>
      <c r="G267" s="616"/>
      <c r="H267" s="616"/>
      <c r="I267" s="616"/>
      <c r="J267" s="616"/>
      <c r="K267" s="1672">
        <f t="shared" si="22"/>
        <v>104358</v>
      </c>
      <c r="L267" s="466">
        <v>90994</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224961</v>
      </c>
      <c r="E270" s="616"/>
      <c r="F270" s="616"/>
      <c r="G270" s="616"/>
      <c r="H270" s="616"/>
      <c r="I270" s="616"/>
      <c r="J270" s="616"/>
      <c r="K270" s="1670">
        <f>SUM(K263:K269)</f>
        <v>224961</v>
      </c>
      <c r="L270" s="1670">
        <f>SUM(L263:L269)</f>
        <v>212949</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33233</v>
      </c>
      <c r="E274" s="616"/>
      <c r="F274" s="616"/>
      <c r="G274" s="616"/>
      <c r="H274" s="616"/>
      <c r="I274" s="616"/>
      <c r="J274" s="616"/>
      <c r="K274" s="1672">
        <f>D274</f>
        <v>33233</v>
      </c>
      <c r="L274" s="466">
        <v>36622</v>
      </c>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33233</v>
      </c>
      <c r="E277" s="616"/>
      <c r="F277" s="616"/>
      <c r="G277" s="616"/>
      <c r="H277" s="616"/>
      <c r="I277" s="616"/>
      <c r="J277" s="616"/>
      <c r="K277" s="1670">
        <f>SUM(K272:K276)</f>
        <v>33233</v>
      </c>
      <c r="L277" s="1670">
        <f>SUM(L272:L276)</f>
        <v>36622</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429164</v>
      </c>
      <c r="E279" s="616"/>
      <c r="F279" s="616"/>
      <c r="G279" s="616"/>
      <c r="H279" s="616"/>
      <c r="I279" s="616"/>
      <c r="J279" s="616"/>
      <c r="K279" s="1677">
        <f>SUM(K238,K243,K257,K261,K270,K277,K278)</f>
        <v>429164</v>
      </c>
      <c r="L279" s="1677">
        <f>SUM(L238,L243,L257,L261,L270,L277,L278)</f>
        <v>430106</v>
      </c>
    </row>
    <row r="280" spans="1:12" ht="15.75" customHeight="1" thickTop="1" thickBot="1" x14ac:dyDescent="0.25">
      <c r="A280" s="1624" t="s">
        <v>875</v>
      </c>
      <c r="B280" s="1613">
        <v>3000</v>
      </c>
      <c r="C280" s="616"/>
      <c r="D280" s="576">
        <v>1040</v>
      </c>
      <c r="E280" s="616"/>
      <c r="F280" s="616"/>
      <c r="G280" s="616"/>
      <c r="H280" s="616"/>
      <c r="I280" s="616"/>
      <c r="J280" s="616"/>
      <c r="K280" s="1679">
        <f>D280</f>
        <v>1040</v>
      </c>
      <c r="L280" s="576">
        <v>101</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1833</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701405</v>
      </c>
      <c r="E295" s="616"/>
      <c r="F295" s="616"/>
      <c r="G295" s="616"/>
      <c r="H295" s="1670">
        <f>H293</f>
        <v>0</v>
      </c>
      <c r="I295" s="616"/>
      <c r="J295" s="616"/>
      <c r="K295" s="1670">
        <f>SUM(K229,K279,K280,K285,K293,K294)</f>
        <v>701405</v>
      </c>
      <c r="L295" s="1670">
        <f>SUM(L229,L279,L280,L285,L293,L294)</f>
        <v>710971</v>
      </c>
    </row>
    <row r="296" spans="1:14" ht="13.5" thickTop="1" x14ac:dyDescent="0.2">
      <c r="A296" s="2187" t="s">
        <v>996</v>
      </c>
      <c r="B296" s="2188"/>
      <c r="C296" s="616"/>
      <c r="D296" s="618"/>
      <c r="E296" s="616"/>
      <c r="F296" s="616"/>
      <c r="G296" s="616"/>
      <c r="H296" s="687"/>
      <c r="I296" s="616"/>
      <c r="J296" s="616"/>
      <c r="K296" s="1684">
        <f>'Revenues 9-14'!G268-'Expenditures 15-22'!K295</f>
        <v>66015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390092</v>
      </c>
      <c r="H301" s="466"/>
      <c r="I301" s="467"/>
      <c r="J301" s="467"/>
      <c r="K301" s="1671">
        <f>SUM(C301:J301)</f>
        <v>390092</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390092</v>
      </c>
      <c r="H303" s="1677">
        <f t="shared" si="23"/>
        <v>0</v>
      </c>
      <c r="I303" s="1677">
        <f t="shared" si="23"/>
        <v>0</v>
      </c>
      <c r="J303" s="1677">
        <f t="shared" si="23"/>
        <v>0</v>
      </c>
      <c r="K303" s="1677">
        <f t="shared" si="23"/>
        <v>390092</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1838</v>
      </c>
      <c r="B306" s="690" t="s">
        <v>1833</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0</v>
      </c>
      <c r="F312" s="1670">
        <f>SUM(F303)</f>
        <v>0</v>
      </c>
      <c r="G312" s="1670">
        <f>SUM(G303)</f>
        <v>390092</v>
      </c>
      <c r="H312" s="1670">
        <f>SUM(H303,H310)</f>
        <v>0</v>
      </c>
      <c r="I312" s="1670">
        <f>SUM(I303)</f>
        <v>0</v>
      </c>
      <c r="J312" s="1670">
        <f>SUM(J303)</f>
        <v>0</v>
      </c>
      <c r="K312" s="1670">
        <f>SUM(K303,K310,K311)</f>
        <v>390092</v>
      </c>
      <c r="L312" s="1670">
        <f>SUM(L303,L310,L311)</f>
        <v>0</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-390092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1795</v>
      </c>
      <c r="B320" s="698" t="s">
        <v>282</v>
      </c>
      <c r="C320" s="467"/>
      <c r="D320" s="467"/>
      <c r="E320" s="467">
        <v>32053</v>
      </c>
      <c r="F320" s="467"/>
      <c r="G320" s="467"/>
      <c r="H320" s="467"/>
      <c r="I320" s="467"/>
      <c r="J320" s="467"/>
      <c r="K320" s="1671">
        <f t="shared" ref="K320:K327" si="24">SUM(C320:J320)</f>
        <v>32053</v>
      </c>
      <c r="L320" s="467">
        <v>102338</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32053</v>
      </c>
      <c r="F330" s="1670">
        <f t="shared" si="25"/>
        <v>0</v>
      </c>
      <c r="G330" s="1670">
        <f t="shared" si="25"/>
        <v>0</v>
      </c>
      <c r="H330" s="1670">
        <f t="shared" si="25"/>
        <v>0</v>
      </c>
      <c r="I330" s="1670">
        <f t="shared" si="25"/>
        <v>0</v>
      </c>
      <c r="J330" s="1670">
        <f t="shared" si="25"/>
        <v>0</v>
      </c>
      <c r="K330" s="1670">
        <f>SUM(K319:K329)</f>
        <v>32053</v>
      </c>
      <c r="L330" s="1670">
        <f>SUM(L319:L329)</f>
        <v>102338</v>
      </c>
      <c r="M330" s="665"/>
      <c r="N330" s="665"/>
    </row>
    <row r="331" spans="1:14" s="674" customFormat="1" ht="12.75" customHeight="1" thickTop="1" x14ac:dyDescent="0.2">
      <c r="A331" s="1831" t="s">
        <v>1839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1833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1835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32053</v>
      </c>
      <c r="F342" s="1670">
        <f>SUM(F330)</f>
        <v>0</v>
      </c>
      <c r="G342" s="1670">
        <f>SUM(G330)</f>
        <v>0</v>
      </c>
      <c r="H342" s="1670">
        <f>SUM(H330,H334,H340)</f>
        <v>0</v>
      </c>
      <c r="I342" s="1670">
        <f>SUM(I330)</f>
        <v>0</v>
      </c>
      <c r="J342" s="1670">
        <f>SUM(J330)</f>
        <v>0</v>
      </c>
      <c r="K342" s="1670">
        <f>SUM(K330,K334,K340)</f>
        <v>32053</v>
      </c>
      <c r="L342" s="1677">
        <f>SUM(L330,L334,L340,L341)</f>
        <v>102338</v>
      </c>
    </row>
    <row r="343" spans="1:14" ht="12.75" customHeight="1" thickTop="1" x14ac:dyDescent="0.2">
      <c r="A343" s="2173" t="s">
        <v>996</v>
      </c>
      <c r="B343" s="2174"/>
      <c r="C343" s="616"/>
      <c r="D343" s="616"/>
      <c r="E343" s="616"/>
      <c r="F343" s="616"/>
      <c r="G343" s="616"/>
      <c r="H343" s="616"/>
      <c r="I343" s="616"/>
      <c r="J343" s="616"/>
      <c r="K343" s="1684">
        <f>'Revenues 9-14'!J268-'Expenditures 15-22'!K342</f>
        <v>71741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1841</v>
      </c>
      <c r="B354" s="683" t="s">
        <v>1833</v>
      </c>
      <c r="C354" s="616"/>
      <c r="D354" s="616"/>
      <c r="E354" s="616"/>
      <c r="F354" s="616"/>
      <c r="G354" s="616"/>
      <c r="H354" s="474"/>
      <c r="I354" s="701"/>
      <c r="J354" s="616"/>
      <c r="K354" s="1699">
        <f>H354</f>
        <v>0</v>
      </c>
      <c r="L354" s="471"/>
    </row>
    <row r="355" spans="1:14" ht="12.75" customHeight="1" x14ac:dyDescent="0.2">
      <c r="A355" s="1513" t="s">
        <v>1842</v>
      </c>
      <c r="B355" s="690" t="s">
        <v>1835</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1486</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1668</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7" t="s">
        <v>996</v>
      </c>
      <c r="B368" s="2188"/>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http://purl.org/dc/terms/"/>
    <ds:schemaRef ds:uri="4d435f69-8686-490b-bd6d-b153bf22ab50"/>
    <ds:schemaRef ds:uri="d21dc803-237d-4c68-8692-8d731fd29118"/>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AC32</vt:lpstr>
      <vt:lpstr>Shared Outsourced Services 31</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2019-10-10T16:48:27Z</cp:lastPrinted>
  <dcterms:created xsi:type="dcterms:W3CDTF">2003-10-29T19:06:34Z</dcterms:created>
  <dcterms:modified xsi:type="dcterms:W3CDTF">2019-12-11T15:12:12Z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