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90" r:id="rId28"/>
    <sheet name=" SEFA (2)" sheetId="191" r:id="rId29"/>
    <sheet name=" SEFA (3)" sheetId="192" r:id="rId30"/>
    <sheet name=" SEFA (4)" sheetId="193"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6" i="193" l="1"/>
  <c r="J16" i="193"/>
  <c r="H16" i="193"/>
  <c r="I16" i="193"/>
  <c r="G16" i="193"/>
  <c r="F16" i="193"/>
  <c r="E16" i="193"/>
  <c r="K14" i="12" l="1"/>
  <c r="K25" i="12" l="1"/>
  <c r="K22" i="12"/>
  <c r="F38" i="181" l="1"/>
  <c r="L11" i="190" l="1"/>
  <c r="C34" i="173" l="1"/>
  <c r="C33" i="173"/>
  <c r="E27" i="191"/>
  <c r="K9" i="12"/>
  <c r="K7" i="12"/>
  <c r="H5" i="12"/>
  <c r="M40" i="3"/>
  <c r="M19" i="3"/>
  <c r="M18" i="3"/>
  <c r="M17" i="3"/>
  <c r="M16" i="3"/>
  <c r="N21" i="3"/>
  <c r="L11" i="193" l="1"/>
  <c r="L12" i="193"/>
  <c r="L13" i="193"/>
  <c r="L14" i="193"/>
  <c r="E15" i="193"/>
  <c r="F15" i="193"/>
  <c r="G15" i="193"/>
  <c r="H15" i="193"/>
  <c r="I15" i="193"/>
  <c r="J15" i="193"/>
  <c r="K15" i="193"/>
  <c r="L15" i="193"/>
  <c r="L16" i="193"/>
  <c r="E17" i="193"/>
  <c r="F17" i="193"/>
  <c r="G17" i="193"/>
  <c r="H17" i="193"/>
  <c r="I17" i="193"/>
  <c r="G39" i="174" s="1"/>
  <c r="J17" i="193"/>
  <c r="K17" i="193"/>
  <c r="L18" i="193"/>
  <c r="L11" i="192"/>
  <c r="L12" i="192"/>
  <c r="L13" i="192"/>
  <c r="L14" i="192"/>
  <c r="E15" i="192"/>
  <c r="F15" i="192"/>
  <c r="G15" i="192"/>
  <c r="H15" i="192"/>
  <c r="I15" i="192"/>
  <c r="J15" i="192"/>
  <c r="K15" i="192"/>
  <c r="L15" i="192"/>
  <c r="L16" i="192"/>
  <c r="L17" i="192"/>
  <c r="L18" i="192"/>
  <c r="L19" i="192"/>
  <c r="E20" i="192"/>
  <c r="F20" i="192"/>
  <c r="G20" i="192"/>
  <c r="H20" i="192"/>
  <c r="I20" i="192"/>
  <c r="J20" i="192"/>
  <c r="K20" i="192"/>
  <c r="L20" i="192"/>
  <c r="L21" i="192"/>
  <c r="L22" i="192"/>
  <c r="L23" i="192"/>
  <c r="L24" i="192"/>
  <c r="E25" i="192"/>
  <c r="F25" i="192"/>
  <c r="G25" i="192"/>
  <c r="H25" i="192"/>
  <c r="I25" i="192"/>
  <c r="J25" i="192"/>
  <c r="K25" i="192"/>
  <c r="L25" i="192"/>
  <c r="L11" i="191"/>
  <c r="L12" i="191"/>
  <c r="L13" i="191"/>
  <c r="L14" i="191"/>
  <c r="L15" i="191"/>
  <c r="E16" i="191"/>
  <c r="F16" i="191"/>
  <c r="F20" i="191" s="1"/>
  <c r="G16" i="191"/>
  <c r="H16" i="191"/>
  <c r="I16" i="191"/>
  <c r="J16" i="191"/>
  <c r="J20" i="191" s="1"/>
  <c r="K16" i="191"/>
  <c r="K20" i="191" s="1"/>
  <c r="L17" i="191"/>
  <c r="L18" i="191"/>
  <c r="E19" i="191"/>
  <c r="F19" i="191"/>
  <c r="G19" i="191"/>
  <c r="H19" i="191"/>
  <c r="I19" i="191"/>
  <c r="J19" i="191"/>
  <c r="K19" i="191"/>
  <c r="E20" i="191"/>
  <c r="H20" i="191"/>
  <c r="I20" i="191"/>
  <c r="L22" i="191"/>
  <c r="L23" i="191"/>
  <c r="L25" i="191"/>
  <c r="L26" i="191"/>
  <c r="F27" i="191"/>
  <c r="G27" i="191"/>
  <c r="H27" i="191"/>
  <c r="I27" i="191"/>
  <c r="L27" i="191" s="1"/>
  <c r="J27" i="191"/>
  <c r="K27" i="191"/>
  <c r="K22" i="190"/>
  <c r="J22" i="190"/>
  <c r="I22" i="190"/>
  <c r="H22" i="190"/>
  <c r="G22" i="190"/>
  <c r="F22" i="190"/>
  <c r="E22" i="190"/>
  <c r="L21" i="190"/>
  <c r="L20" i="190"/>
  <c r="K19" i="190"/>
  <c r="J19" i="190"/>
  <c r="I19" i="190"/>
  <c r="H19" i="190"/>
  <c r="G19" i="190"/>
  <c r="F19" i="190"/>
  <c r="E19" i="190"/>
  <c r="L18" i="190"/>
  <c r="L17" i="190"/>
  <c r="K16" i="190"/>
  <c r="J16" i="190"/>
  <c r="I16" i="190"/>
  <c r="H16" i="190"/>
  <c r="G16" i="190"/>
  <c r="F16" i="190"/>
  <c r="E16" i="190"/>
  <c r="L15" i="190"/>
  <c r="L14" i="190"/>
  <c r="L13" i="190"/>
  <c r="L12" i="190"/>
  <c r="L27" i="193"/>
  <c r="L26" i="193"/>
  <c r="L25" i="193"/>
  <c r="L24" i="193"/>
  <c r="L23" i="193"/>
  <c r="L22" i="193"/>
  <c r="L21" i="193"/>
  <c r="L20" i="193"/>
  <c r="B4" i="193"/>
  <c r="L27" i="192"/>
  <c r="L26" i="192"/>
  <c r="B4" i="192"/>
  <c r="B4" i="191"/>
  <c r="L17" i="193" l="1"/>
  <c r="E21" i="191"/>
  <c r="E19" i="193" s="1"/>
  <c r="F21" i="191"/>
  <c r="F19" i="193"/>
  <c r="D35" i="171" s="1"/>
  <c r="J21" i="191"/>
  <c r="J19" i="193" s="1"/>
  <c r="G21" i="191"/>
  <c r="G19" i="193" s="1"/>
  <c r="G38" i="174"/>
  <c r="I21" i="191"/>
  <c r="I19" i="193" s="1"/>
  <c r="D45" i="174" s="1"/>
  <c r="H21" i="191"/>
  <c r="H19" i="193" s="1"/>
  <c r="L19" i="191"/>
  <c r="L16" i="191"/>
  <c r="L22" i="190"/>
  <c r="L19" i="190"/>
  <c r="K21" i="191"/>
  <c r="K19" i="193" s="1"/>
  <c r="L16" i="190"/>
  <c r="G20" i="191"/>
  <c r="L20" i="191" s="1"/>
  <c r="B4" i="190"/>
  <c r="L19" i="193" l="1"/>
  <c r="L21" i="19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7" i="181"/>
  <c r="F36" i="181"/>
  <c r="F35" i="181"/>
  <c r="F34" i="181"/>
  <c r="F33" i="181"/>
  <c r="F32" i="181"/>
  <c r="F31" i="181"/>
  <c r="F30" i="181"/>
  <c r="F29" i="181"/>
  <c r="F28" i="181"/>
  <c r="F27" i="181"/>
  <c r="F26" i="181"/>
  <c r="F25" i="181"/>
  <c r="F24" i="181"/>
  <c r="F23" i="181"/>
  <c r="L27" i="190" l="1"/>
  <c r="L26" i="190"/>
  <c r="L25" i="190"/>
  <c r="L24" i="190"/>
  <c r="L23" i="190"/>
  <c r="E10" i="108"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E40" i="181"/>
  <c r="G40" i="181" s="1"/>
  <c r="G39" i="181"/>
  <c r="E39" i="181"/>
  <c r="E38" i="181"/>
  <c r="G38" i="181" s="1"/>
  <c r="E37" i="181"/>
  <c r="G37" i="181" s="1"/>
  <c r="E36" i="181"/>
  <c r="G36" i="181" s="1"/>
  <c r="E35" i="181"/>
  <c r="G35" i="181" s="1"/>
  <c r="E34" i="181"/>
  <c r="E33" i="181"/>
  <c r="G33" i="181" s="1"/>
  <c r="E32" i="181"/>
  <c r="G32" i="181" s="1"/>
  <c r="E31" i="181"/>
  <c r="G31" i="181" s="1"/>
  <c r="E30" i="181"/>
  <c r="E29" i="181"/>
  <c r="G29" i="181" s="1"/>
  <c r="E28" i="181"/>
  <c r="E27" i="181"/>
  <c r="G27" i="181" s="1"/>
  <c r="E26" i="181"/>
  <c r="E25" i="181"/>
  <c r="G25" i="181" s="1"/>
  <c r="E24" i="181"/>
  <c r="G24" i="181" s="1"/>
  <c r="E23" i="181"/>
  <c r="G23" i="181" s="1"/>
  <c r="E22" i="181"/>
  <c r="E21" i="181"/>
  <c r="E20" i="181"/>
  <c r="F20" i="181" s="1"/>
  <c r="E19" i="181"/>
  <c r="F19" i="181" s="1"/>
  <c r="F22" i="181" l="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1" l="1"/>
  <c r="B1" i="193"/>
  <c r="B1" i="192"/>
  <c r="B1" i="190"/>
  <c r="B2" i="191"/>
  <c r="B2" i="193"/>
  <c r="B2" i="192"/>
  <c r="B2" i="190"/>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11" i="37"/>
  <c r="D22" i="37"/>
  <c r="J22" i="37"/>
  <c r="L22" i="37"/>
  <c r="D24" i="37"/>
  <c r="B4270" i="106" s="1"/>
  <c r="D4270" i="106" s="1"/>
  <c r="L5" i="11"/>
  <c r="B2056" i="106" s="1"/>
  <c r="D2056" i="106" s="1"/>
  <c r="D9" i="7"/>
  <c r="B1767" i="106" s="1"/>
  <c r="D1767" i="106" s="1"/>
  <c r="B5752" i="106"/>
  <c r="D5752" i="106" s="1"/>
  <c r="D17" i="7"/>
  <c r="B4104" i="106" s="1"/>
  <c r="D4104" i="106" s="1"/>
  <c r="D54" i="36" l="1"/>
  <c r="B7235" i="106"/>
  <c r="D7235" i="106" s="1"/>
  <c r="G15" i="145"/>
  <c r="H365" i="29"/>
  <c r="B7242" i="106" s="1"/>
  <c r="D7242" i="106" s="1"/>
  <c r="C352" i="29"/>
  <c r="K184" i="29"/>
  <c r="F13" i="4" s="1"/>
  <c r="B2596" i="106" s="1"/>
  <c r="D2596" i="106" s="1"/>
  <c r="G210" i="29"/>
  <c r="H29" i="118"/>
  <c r="D31" i="36"/>
  <c r="B6995" i="106"/>
  <c r="D6995" i="106" s="1"/>
  <c r="F28" i="108"/>
  <c r="F41" i="108" s="1"/>
  <c r="G43" i="108" s="1"/>
  <c r="E28" i="108"/>
  <c r="B1124" i="106"/>
  <c r="D1124" i="106" s="1"/>
  <c r="D7245" i="106"/>
  <c r="D6103" i="106"/>
  <c r="C129" i="29"/>
  <c r="L15" i="11"/>
  <c r="B3459" i="106" s="1"/>
  <c r="D3459" i="106" s="1"/>
  <c r="B1308" i="106"/>
  <c r="D1308" i="106" s="1"/>
  <c r="E174" i="29"/>
  <c r="B1309" i="106" s="1"/>
  <c r="D1309" i="106" s="1"/>
  <c r="B1126" i="106"/>
  <c r="D1126" i="106" s="1"/>
  <c r="K28" i="118"/>
  <c r="O27" i="118" s="1"/>
  <c r="O29" i="118" s="1"/>
  <c r="F34" i="34"/>
  <c r="J41" i="3"/>
  <c r="B3647" i="106"/>
  <c r="D3647" i="106" s="1"/>
  <c r="K76" i="4"/>
  <c r="B3586" i="106" s="1"/>
  <c r="D3586" i="106" s="1"/>
  <c r="I24" i="12"/>
  <c r="L367" i="29"/>
  <c r="L342" i="29"/>
  <c r="L13" i="11"/>
  <c r="B2060" i="106" s="1"/>
  <c r="D2060" i="106" s="1"/>
  <c r="F19" i="7"/>
  <c r="B1807" i="106" s="1"/>
  <c r="D1807"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K342" i="29"/>
  <c r="F13" i="34" s="1"/>
  <c r="B1365" i="106"/>
  <c r="D1365" i="106" s="1"/>
  <c r="F65" i="34"/>
  <c r="B1317" i="106"/>
  <c r="D1317" i="106" s="1"/>
  <c r="C114" i="29"/>
  <c r="B757" i="106" s="1"/>
  <c r="D757" i="106" s="1"/>
  <c r="F174" i="34"/>
  <c r="D7251" i="106"/>
  <c r="H151" i="29"/>
  <c r="B1273" i="106" s="1"/>
  <c r="D1273" i="106" s="1"/>
  <c r="K365" i="29"/>
  <c r="B7243" i="106" s="1"/>
  <c r="D7243" i="106" s="1"/>
  <c r="D7253" i="106"/>
  <c r="J16" i="4"/>
  <c r="B6226" i="106" s="1"/>
  <c r="D6226" i="106" s="1"/>
  <c r="B1996" i="106"/>
  <c r="D1996" i="106" s="1"/>
  <c r="I26" i="12"/>
  <c r="B7741" i="106" s="1"/>
  <c r="D7741" i="106" s="1"/>
  <c r="L114" i="29"/>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J10" i="4"/>
  <c r="B6225" i="106" s="1"/>
  <c r="D6225" i="106" s="1"/>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<sst xmlns="http://schemas.openxmlformats.org/spreadsheetml/2006/main" count="5437" uniqueCount="2213">
  <si>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</si>
  <si>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</si>
  <si>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</si>
  <si>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</si>
  <si>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</si>
  <si>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</si>
  <si>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</si>
  <si>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</si>
  <si>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</si>
  <si>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</si>
  <si>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</si>
  <si>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</si>
  <si>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</si>
  <si>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</si>
  <si>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</si>
  <si>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</si>
  <si>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</si>
  <si>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</si>
  <si>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</si>
  <si>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</si>
  <si>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</si>
  <si>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</si>
  <si>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</si>
  <si>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</si>
  <si>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</si>
  <si>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</si>
  <si>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</si>
  <si>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</si>
  <si>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</si>
  <si>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</si>
  <si>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</si>
  <si>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</si>
  <si>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</si>
  <si>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</si>
  <si>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</si>
  <si>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</si>
  <si>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</si>
  <si>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</si>
  <si>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</si>
  <si>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</si>
  <si>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</si>
  <si>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</si>
  <si>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</si>
  <si>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</si>
  <si>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</si>
  <si>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</si>
  <si>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</si>
  <si>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</si>
  <si>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</si>
  <si>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</si>
  <si>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</si>
  <si>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</si>
  <si>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</si>
  <si>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</si>
  <si>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</si>
  <si>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</si>
  <si>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</si>
  <si>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</si>
  <si>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</si>
  <si>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</si>
  <si>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</si>
  <si>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</si>
  <si>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</si>
  <si>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</si>
  <si>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</si>
  <si>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</si>
  <si>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</si>
  <si>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</si>
  <si>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</si>
  <si>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</si>
  <si>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</si>
  <si>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</si>
  <si>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</si>
  <si>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</si>
  <si>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</si>
  <si>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</si>
  <si>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</si>
  <si>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</si>
  <si>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</si>
  <si>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</si>
  <si>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</si>
  <si>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</si>
  <si>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</si>
  <si>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</si>
  <si>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</si>
  <si>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</si>
  <si>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</si>
  <si>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</si>
  <si>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</si>
  <si>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</si>
  <si>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</si>
  <si>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</si>
  <si>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</si>
  <si>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</si>
  <si>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</si>
  <si>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</si>
  <si>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</si>
  <si>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</si>
  <si>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</si>
  <si>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</si>
  <si>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</si>
  <si>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</si>
  <si>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</si>
  <si>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</si>
  <si>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</si>
  <si>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</si>
  <si>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</si>
  <si>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</si>
  <si>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</si>
  <si>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</si>
  <si>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</si>
  <si>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</si>
  <si>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</si>
  <si>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</si>
  <si>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</si>
  <si>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</si>
  <si>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</si>
  <si>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</si>
  <si>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</si>
  <si>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</si>
  <si>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</si>
  <si>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</si>
  <si>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</si>
  <si>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</si>
  <si>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</si>
  <si>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</si>
  <si>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</si>
  <si>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</si>
  <si>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</si>
  <si>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</si>
  <si>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</si>
  <si>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</si>
  <si>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</si>
  <si>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</si>
  <si>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</si>
  <si>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</si>
  <si>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</si>
  <si>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</si>
  <si>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</si>
  <si>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</si>
  <si>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</si>
  <si>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</si>
  <si>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</si>
  <si>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</si>
  <si>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</si>
  <si>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</si>
  <si>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</si>
  <si>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</si>
  <si>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</si>
  <si>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</si>
  <si>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</si>
  <si>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</si>
  <si>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</si>
  <si>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</si>
  <si>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</si>
  <si>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</si>
  <si>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</si>
  <si>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</si>
  <si>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</si>
  <si>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</si>
  <si>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</si>
  <si>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</si>
  <si>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</si>
  <si>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</si>
  <si>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</si>
  <si>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</si>
  <si>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</si>
  <si>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</si>
  <si>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</si>
  <si>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</si>
  <si>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</si>
  <si>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</si>
  <si>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</si>
  <si>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</si>
  <si>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</si>
  <si>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</si>
  <si>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</si>
  <si>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</si>
  <si>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</si>
  <si>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</si>
  <si>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</si>
  <si>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</si>
  <si>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</si>
  <si>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</si>
  <si>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</si>
  <si>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</si>
  <si>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</si>
  <si>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</si>
  <si>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</si>
  <si>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</si>
  <si>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</si>
  <si>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</si>
  <si>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</si>
  <si>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</si>
  <si>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</si>
  <si>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</si>
  <si>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</si>
  <si>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</si>
  <si>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</si>
  <si>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</si>
  <si>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</si>
  <si>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</si>
  <si>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</si>
  <si>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</si>
  <si>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</si>
  <si>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</si>
  <si>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</si>
  <si>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</si>
  <si>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</si>
  <si>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</si>
  <si>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</si>
  <si>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</si>
  <si>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</si>
  <si>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</si>
  <si>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</si>
  <si>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</si>
  <si>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</si>
  <si>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</si>
  <si>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</si>
  <si>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</si>
  <si>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</si>
  <si>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</si>
  <si>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</si>
  <si>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</si>
  <si>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</si>
  <si>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</si>
  <si>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</si>
  <si>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</si>
  <si>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</si>
  <si>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</si>
  <si>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</si>
  <si>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</si>
  <si>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</si>
  <si>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</si>
  <si>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</si>
  <si>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</si>
  <si>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</si>
  <si>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</si>
  <si>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</si>
  <si>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</si>
  <si>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</si>
  <si>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</si>
  <si>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</si>
  <si>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</si>
  <si>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</si>
  <si>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</si>
  <si>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</si>
  <si>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</si>
  <si>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</si>
  <si>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</si>
  <si>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</si>
  <si>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</si>
  <si>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</si>
  <si>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</si>
  <si>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</si>
  <si>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</si>
  <si>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</si>
  <si>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</si>
  <si>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</si>
  <si>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</si>
  <si>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</si>
  <si>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</si>
  <si>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</si>
  <si>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</si>
  <si>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</si>
  <si>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</si>
  <si>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</si>
  <si>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</si>
  <si>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</si>
  <si>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</si>
  <si>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</si>
  <si>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</si>
  <si>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</si>
  <si>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</si>
  <si>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</si>
  <si>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</si>
  <si>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</si>
  <si>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</si>
  <si>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</si>
  <si>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</si>
  <si>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</si>
  <si>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</si>
  <si>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</si>
  <si>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</si>
  <si>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</si>
  <si>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</si>
  <si>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</si>
  <si>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</si>
  <si>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</si>
  <si>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</si>
  <si>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</si>
  <si>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</si>
  <si>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</si>
  <si>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</si>
  <si>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</si>
  <si>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</si>
  <si>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</si>
  <si>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</si>
  <si>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</si>
  <si>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</si>
  <si>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</si>
  <si>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</si>
  <si>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</si>
  <si>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</si>
  <si>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</si>
  <si>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</si>
  <si>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</si>
  <si>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</si>
  <si>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</si>
  <si>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</si>
  <si>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</si>
  <si>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</si>
  <si>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</si>
  <si>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</si>
  <si>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</si>
  <si>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</si>
  <si>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</si>
  <si>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</si>
  <si>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</si>
  <si>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</si>
  <si>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</si>
  <si>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</si>
  <si>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</si>
  <si>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</si>
  <si>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</si>
  <si>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</si>
  <si>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</si>
  <si>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</si>
  <si>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</si>
  <si>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</si>
  <si>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</si>
  <si>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</si>
  <si>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</si>
  <si>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</si>
  <si>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</si>
  <si>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</si>
  <si>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</si>
  <si>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</si>
  <si>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</si>
  <si>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</si>
  <si>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</si>
  <si>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</si>
  <si>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</si>
  <si>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</si>
  <si>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</si>
  <si>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</si>
  <si>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</si>
  <si>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</si>
  <si>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</si>
  <si>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</si>
  <si>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</si>
  <si>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</si>
  <si>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</si>
  <si>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</si>
  <si>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</si>
  <si>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</si>
  <si>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</si>
  <si>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</si>
  <si>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</si>
  <si>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</si>
  <si>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</si>
  <si>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</si>
  <si>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</si>
  <si>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</si>
  <si>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</si>
  <si>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</si>
  <si>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</si>
  <si>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</si>
  <si>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</si>
  <si>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</si>
  <si>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</si>
  <si>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</si>
  <si>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</si>
  <si>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</si>
  <si>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</si>
  <si>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</si>
  <si>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</si>
  <si>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</si>
  <si>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</si>
  <si>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</si>
  <si>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</si>
  <si>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</si>
  <si>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</si>
  <si>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</si>
  <si>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</si>
  <si>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</si>
  <si>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</si>
  <si>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</si>
  <si>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</si>
  <si>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</si>
  <si>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</si>
  <si>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</si>
  <si>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</si>
  <si>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</si>
  <si>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</si>
  <si>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</si>
  <si>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</si>
  <si>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</si>
  <si>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</si>
  <si>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</si>
  <si>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</si>
  <si>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</si>
  <si>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</si>
  <si>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</si>
  <si>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</si>
  <si>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</si>
  <si>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</si>
  <si>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</si>
  <si>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</si>
  <si>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</si>
  <si>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</si>
  <si>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</si>
  <si>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</si>
  <si>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</si>
  <si>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</si>
  <si>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</si>
  <si>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</si>
  <si>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</si>
  <si>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</si>
  <si>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</si>
  <si>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</si>
  <si>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</si>
  <si>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</si>
  <si>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</si>
  <si>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</si>
  <si>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</si>
  <si>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</si>
  <si>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</si>
  <si>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</si>
  <si>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</si>
  <si>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</si>
  <si>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</si>
  <si>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</si>
  <si>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</si>
  <si>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</si>
  <si>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</si>
  <si>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</si>
  <si>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</si>
  <si>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</si>
  <si>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</si>
  <si>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</si>
  <si>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</si>
  <si>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</si>
  <si>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</si>
  <si>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</si>
  <si>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</si>
  <si>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</si>
  <si>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</si>
  <si>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</si>
  <si>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</si>
  <si>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</si>
  <si>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</si>
  <si>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</si>
  <si>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</si>
  <si>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</si>
  <si>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</si>
  <si>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</si>
  <si>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</si>
  <si>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</si>
  <si>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</si>
  <si>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</si>
  <si>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</si>
  <si>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</si>
  <si>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</si>
  <si>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</si>
  <si>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</si>
  <si>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</si>
  <si>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</si>
  <si>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</si>
  <si>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</si>
  <si>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</si>
  <si>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</si>
  <si>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</si>
  <si>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</si>
  <si>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</si>
  <si>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</si>
  <si>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</si>
  <si>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</si>
  <si>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</si>
  <si>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</si>
  <si>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</si>
  <si>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</si>
  <si>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</si>
  <si>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</si>
  <si>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</si>
  <si>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</si>
  <si>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</si>
  <si>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</si>
  <si>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</si>
  <si>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</si>
  <si>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</si>
  <si>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</si>
  <si>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</si>
  <si>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</si>
  <si>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</si>
  <si>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</si>
  <si>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</si>
  <si>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</si>
  <si>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</si>
  <si>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</si>
  <si>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</si>
  <si>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</si>
  <si>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</si>
  <si>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</si>
  <si>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</si>
  <si>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</si>
  <si>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</si>
  <si>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</si>
  <si>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</si>
  <si>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</si>
  <si>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</si>
  <si>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</si>
  <si>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</si>
  <si>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</si>
  <si>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</si>
  <si>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</si>
  <si>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</si>
  <si>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</si>
  <si>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</si>
  <si>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</si>
  <si>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</si>
  <si>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</si>
  <si>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</si>
  <si>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</si>
  <si>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</si>
  <si>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</si>
  <si>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</si>
  <si>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</si>
  <si>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</si>
  <si>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</si>
  <si>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</si>
  <si>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</si>
  <si>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</si>
  <si>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</si>
  <si>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</si>
  <si>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</si>
  <si>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</si>
  <si>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</si>
  <si>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</si>
  <si>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</si>
  <si>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</si>
  <si>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</si>
  <si>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</si>
  <si>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</si>
  <si>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</si>
  <si>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</si>
  <si>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</si>
  <si>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</si>
  <si>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</si>
  <si>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</si>
  <si>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</si>
  <si>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</si>
  <si>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</si>
  <si>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</si>
  <si>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</si>
  <si>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</si>
  <si>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</si>
  <si>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</si>
  <si>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</si>
  <si>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</si>
  <si>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</si>
  <si>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</si>
  <si>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</si>
  <si>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</si>
  <si>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</si>
  <si>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</si>
  <si>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</si>
  <si>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</si>
  <si>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</si>
  <si>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</si>
  <si>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</si>
  <si>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</si>
  <si>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</si>
  <si>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</si>
  <si>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</si>
  <si>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</si>
  <si>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</si>
  <si>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</si>
  <si>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</si>
  <si>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</si>
  <si>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</si>
  <si>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</si>
  <si>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</si>
  <si>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</si>
  <si>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</si>
  <si>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</si>
  <si>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</si>
  <si>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</si>
  <si>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</si>
  <si>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</si>
  <si>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</si>
  <si>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</si>
  <si>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</si>
  <si>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</si>
  <si>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</si>
  <si>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</si>
  <si>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</si>
  <si>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</si>
  <si>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</si>
  <si>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</si>
  <si>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</si>
  <si>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</si>
  <si>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</si>
  <si>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</si>
  <si>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</si>
  <si>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</si>
  <si>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</si>
  <si>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</si>
  <si>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</si>
  <si>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</si>
  <si>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</si>
  <si>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</si>
  <si>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</si>
  <si>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</si>
  <si>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</si>
  <si>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</si>
  <si>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</si>
  <si>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</si>
  <si>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</si>
  <si>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</si>
  <si>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</si>
  <si>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</si>
  <si>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</si>
  <si>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</si>
  <si>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</si>
  <si>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</si>
  <si>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</si>
  <si>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</si>
  <si>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</si>
  <si>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</si>
  <si>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</si>
  <si>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</si>
  <si>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</si>
  <si>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</si>
  <si>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</si>
  <si>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</si>
  <si>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</si>
  <si>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</si>
  <si>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</si>
  <si>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</si>
  <si>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</si>
  <si>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</si>
  <si>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</si>
  <si>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</si>
  <si>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</si>
  <si>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</si>
  <si>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</si>
  <si>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</si>
  <si>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</si>
  <si>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</si>
  <si>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</si>
  <si>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</si>
  <si>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</si>
  <si>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</si>
  <si>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</si>
  <si>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</si>
  <si>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</si>
  <si>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</si>
  <si>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</si>
  <si>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</si>
  <si>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</si>
  <si>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</si>
  <si>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</si>
  <si>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</si>
  <si>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</si>
  <si>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</si>
  <si>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</si>
  <si>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</si>
  <si>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</si>
  <si>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</si>
  <si>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</si>
  <si>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</si>
  <si>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</si>
  <si>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</si>
  <si>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</si>
  <si>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</si>
  <si>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</si>
  <si>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</si>
  <si>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</si>
  <si>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</si>
  <si>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</si>
  <si>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</si>
  <si>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</si>
  <si>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</si>
  <si>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</si>
  <si>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</si>
  <si>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</si>
  <si>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</si>
  <si>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</si>
  <si>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</si>
  <si>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</si>
  <si>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</si>
  <si>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</si>
  <si>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</si>
  <si>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</si>
  <si>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</si>
  <si>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</si>
  <si>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</si>
  <si>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</si>
  <si>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</si>
  <si>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</si>
  <si>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</si>
  <si>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</si>
  <si>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</si>
  <si>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</si>
  <si>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</si>
  <si>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</si>
  <si>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</si>
  <si>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</si>
  <si>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</si>
  <si>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</si>
  <si>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</si>
  <si>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</si>
  <si>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</si>
  <si>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</si>
  <si>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</si>
  <si>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</si>
  <si>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</si>
  <si>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</si>
  <si>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</si>
  <si>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</si>
  <si>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</si>
  <si>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</si>
  <si>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</si>
  <si>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</si>
  <si>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</si>
  <si>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</si>
  <si>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</si>
  <si>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</si>
  <si>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</si>
  <si>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</si>
  <si>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</si>
  <si>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</si>
  <si>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</si>
  <si>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</si>
  <si>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</si>
  <si>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</si>
  <si>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</si>
  <si>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</si>
  <si>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</si>
  <si>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</si>
  <si>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</si>
  <si>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</si>
  <si>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</si>
  <si>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</si>
  <si>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</si>
  <si>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</si>
  <si>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</si>
  <si>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</si>
  <si>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</si>
  <si>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</si>
  <si>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</si>
  <si>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</si>
  <si>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</si>
  <si>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</si>
  <si>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</si>
  <si>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</si>
  <si>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</si>
  <si>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</si>
  <si>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</si>
  <si>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</si>
  <si>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</si>
  <si>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</si>
  <si>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</si>
  <si>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</si>
  <si>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</si>
  <si>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</si>
  <si>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</si>
  <si>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</si>
  <si>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</si>
  <si>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</si>
  <si>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</si>
  <si>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</si>
  <si>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</si>
  <si>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</si>
  <si>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</si>
  <si>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</si>
  <si>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</si>
  <si>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</si>
  <si>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</si>
  <si>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</si>
  <si>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</si>
  <si>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</si>
  <si>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</si>
  <si>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</si>
  <si>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</si>
  <si>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</si>
  <si>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</si>
  <si>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</si>
  <si>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</si>
  <si>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</si>
  <si>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</si>
  <si>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</si>
  <si>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</si>
  <si>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</si>
  <si>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</si>
  <si>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</si>
  <si>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</si>
  <si>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</si>
  <si>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</si>
  <si>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</si>
  <si>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</si>
  <si>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</si>
  <si>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</si>
  <si>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</si>
  <si>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</si>
  <si>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</si>
  <si>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</si>
  <si>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</si>
  <si>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</si>
  <si>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</si>
  <si>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</si>
  <si>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</si>
  <si>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</si>
  <si>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</si>
  <si>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</si>
  <si>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</si>
  <si>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</si>
  <si>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</si>
  <si>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</si>
  <si>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</si>
  <si>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</si>
  <si>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</si>
  <si>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</si>
  <si>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</si>
  <si>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</si>
  <si>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</si>
  <si>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</si>
  <si>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</si>
  <si>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</si>
  <si>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</si>
  <si>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</si>
  <si>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</si>
  <si>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</si>
  <si>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</si>
  <si>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</si>
  <si>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</si>
  <si>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</si>
  <si>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</si>
  <si>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</si>
  <si>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</si>
  <si>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</si>
  <si>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</si>
  <si>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</si>
  <si>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</si>
  <si>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</si>
  <si>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</si>
  <si>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</si>
  <si>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</si>
  <si>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</si>
  <si>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</si>
  <si>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</si>
  <si>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</si>
  <si>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</si>
  <si>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</si>
  <si>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</si>
  <si>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</si>
  <si>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</si>
  <si>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</si>
  <si>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</si>
  <si>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</si>
  <si>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</si>
  <si>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</si>
  <si>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</si>
  <si>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</si>
  <si>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</si>
  <si>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</si>
  <si>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</si>
  <si>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</si>
  <si>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</si>
  <si>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</si>
  <si>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</si>
  <si>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</si>
  <si>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</si>
  <si>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</si>
  <si>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</si>
  <si>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</si>
  <si>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</si>
  <si>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</si>
  <si>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</si>
  <si>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</si>
  <si>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</si>
  <si>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</si>
  <si>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</si>
  <si>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</si>
  <si>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</si>
  <si>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</si>
  <si>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</si>
  <si>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</si>
  <si>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</si>
  <si>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</si>
  <si>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</si>
  <si>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</si>
  <si>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</si>
  <si>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</si>
  <si>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</si>
  <si>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</si>
  <si>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</si>
  <si>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</si>
  <si>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</si>
  <si>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</si>
  <si>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</si>
  <si>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</si>
  <si>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</si>
  <si>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</si>
  <si>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</si>
  <si>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</si>
  <si>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</si>
  <si>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</si>
  <si>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</si>
  <si>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</si>
  <si>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</si>
  <si>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</si>
  <si>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</si>
  <si>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</si>
  <si>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</si>
  <si>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</si>
  <si>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</si>
  <si>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</si>
  <si>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</si>
  <si>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</si>
  <si>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</si>
  <si>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</si>
  <si>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</si>
  <si>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</si>
  <si>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</si>
  <si>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</si>
  <si>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</si>
  <si>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</si>
  <si>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</si>
  <si>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</si>
  <si>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</si>
  <si>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</si>
  <si>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</si>
  <si>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</si>
  <si>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</si>
  <si>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</si>
  <si>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</si>
  <si>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</si>
  <si>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</si>
  <si>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</si>
  <si>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</si>
  <si>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</si>
  <si>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</si>
  <si>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</si>
  <si>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</si>
  <si>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</si>
  <si>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</si>
  <si>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</si>
  <si>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</si>
  <si>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</si>
  <si>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</si>
  <si>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</si>
  <si>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</si>
  <si>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</si>
  <si>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</si>
  <si>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</si>
  <si>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</si>
  <si>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</si>
  <si>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</si>
  <si>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</si>
  <si>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</si>
  <si>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</si>
  <si>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</si>
  <si>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</si>
  <si>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</si>
  <si>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</si>
  <si>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</si>
  <si>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</si>
  <si>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</si>
  <si>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</si>
  <si>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</si>
  <si>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</si>
  <si>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</si>
  <si>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</si>
  <si>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</si>
  <si>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</si>
  <si>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</si>
  <si>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</si>
  <si>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</si>
  <si>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</si>
  <si>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</si>
  <si>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</si>
  <si>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</si>
  <si>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</si>
  <si>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</si>
  <si>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</si>
  <si>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</si>
  <si>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</si>
  <si>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</si>
  <si>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</si>
  <si>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</si>
  <si>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</si>
  <si>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</si>
  <si>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</si>
  <si>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</si>
  <si>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</si>
  <si>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</si>
  <si>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</si>
  <si>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</si>
  <si>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</si>
  <si>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</si>
  <si>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</si>
  <si>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</si>
  <si>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</si>
  <si>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</si>
  <si>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</si>
  <si>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</si>
  <si>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</si>
  <si>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</si>
  <si>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</si>
  <si>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</si>
  <si>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</si>
  <si>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</si>
  <si>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</si>
  <si>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</si>
  <si>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</si>
  <si>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</si>
  <si>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</si>
  <si>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</si>
  <si>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</si>
  <si>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</si>
  <si>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</si>
  <si>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</si>
  <si>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</si>
  <si>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</si>
  <si>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</si>
  <si>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</si>
  <si>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</si>
  <si>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</si>
  <si>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</si>
  <si>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</si>
  <si>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</si>
  <si>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</si>
  <si>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</si>
  <si>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</si>
  <si>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</si>
  <si>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</si>
  <si>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</si>
  <si>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</si>
  <si>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</si>
  <si>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</si>
  <si>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</si>
  <si>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</si>
  <si>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</si>
  <si>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</si>
  <si>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</si>
  <si>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</si>
  <si>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</si>
  <si>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</si>
  <si>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</si>
  <si>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</si>
  <si>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</si>
  <si>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</si>
  <si>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</si>
  <si>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</si>
  <si>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</si>
  <si>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</si>
  <si>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</si>
  <si>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</si>
  <si>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</si>
  <si>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</si>
  <si>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</si>
  <si>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</si>
  <si>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</si>
  <si>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</si>
  <si>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</si>
  <si>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</si>
  <si>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</si>
  <si>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</si>
  <si>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</si>
  <si>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</si>
  <si>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</si>
  <si>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</si>
  <si>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</si>
  <si>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</si>
  <si>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</si>
  <si>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</si>
  <si>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</si>
  <si>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</si>
  <si>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</si>
  <si>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</si>
  <si>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</si>
  <si>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</si>
  <si>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</si>
  <si>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</si>
  <si>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</si>
  <si>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</si>
  <si>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</si>
  <si>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</si>
  <si>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</si>
  <si>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</si>
  <si>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</si>
  <si>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</si>
  <si>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</si>
  <si>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</si>
  <si>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</si>
  <si>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</si>
  <si>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</si>
  <si>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</si>
  <si>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</si>
  <si>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</si>
  <si>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</si>
  <si>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</si>
  <si>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</si>
  <si>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</si>
  <si>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</si>
  <si>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</si>
  <si>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</si>
  <si>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</si>
  <si>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</si>
  <si>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</si>
  <si>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</si>
  <si>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</si>
  <si>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</si>
  <si>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</si>
  <si>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</si>
  <si>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</si>
  <si>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</si>
  <si>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</si>
  <si>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</si>
  <si>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</si>
  <si>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</si>
  <si>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</si>
  <si>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</si>
  <si>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</si>
  <si>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</si>
  <si>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</si>
  <si>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</si>
  <si>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</si>
  <si>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</si>
  <si>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</si>
  <si>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</si>
  <si>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</si>
  <si>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</si>
  <si>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</si>
  <si>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</si>
  <si>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</si>
  <si>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</si>
  <si>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</si>
  <si>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</si>
  <si>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</si>
  <si>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</si>
  <si>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</si>
  <si>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</si>
  <si>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</si>
  <si>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</si>
  <si>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</si>
  <si>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</si>
  <si>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</si>
  <si>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</si>
  <si>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</si>
  <si>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</si>
  <si>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</si>
  <si>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</si>
  <si>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</si>
  <si>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</si>
  <si>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</si>
  <si>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</si>
  <si>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</si>
  <si>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</si>
  <si>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</si>
  <si>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</si>
  <si>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</si>
  <si>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</si>
  <si>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</si>
  <si>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</si>
  <si>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</si>
  <si>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</si>
  <si>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</si>
  <si>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</si>
  <si>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</si>
  <si>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</si>
  <si>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</si>
  <si>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</si>
  <si>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</si>
  <si>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</si>
  <si>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</si>
  <si>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</si>
  <si>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</si>
  <si>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</si>
  <si>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</si>
  <si>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</si>
  <si>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</si>
  <si>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</si>
  <si>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</si>
  <si>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</si>
  <si>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</si>
  <si>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</si>
  <si>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</si>
  <si>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</si>
  <si>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</si>
  <si>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</si>
  <si>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</si>
  <si>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</si>
  <si>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</si>
  <si>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</si>
  <si>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</si>
  <si>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</si>
  <si>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</si>
  <si>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</si>
  <si>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</si>
  <si>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</si>
  <si>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</si>
  <si>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</si>
  <si>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</si>
  <si>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</si>
  <si>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</si>
  <si>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</si>
  <si>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</si>
  <si>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</si>
  <si>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</si>
  <si>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</si>
  <si>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</si>
  <si>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</si>
  <si>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</si>
  <si>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</si>
  <si>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</si>
  <si>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</si>
  <si>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</si>
  <si>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</si>
  <si>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</si>
  <si>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</si>
  <si>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</si>
  <si>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</si>
  <si>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</si>
  <si>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</si>
  <si>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</si>
  <si>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</si>
  <si>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</si>
  <si>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</si>
  <si>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</si>
  <si>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</si>
  <si>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</si>
  <si>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</si>
  <si>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</si>
  <si>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</si>
  <si>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</si>
  <si>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</si>
  <si>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</si>
  <si>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</si>
  <si>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</si>
  <si>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</si>
  <si>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</si>
  <si>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</si>
  <si>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</si>
  <si>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</si>
  <si>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</si>
  <si>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</si>
  <si>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</si>
  <si>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</si>
  <si>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</si>
  <si>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</si>
  <si>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</si>
  <si>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</si>
  <si>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</si>
  <si>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</si>
  <si>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</si>
  <si>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</si>
  <si>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</si>
  <si>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</si>
  <si>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</si>
  <si>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</si>
  <si>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</si>
  <si>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</si>
  <si>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</si>
  <si>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</si>
  <si>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</si>
  <si>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</si>
  <si>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</si>
  <si>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</si>
  <si>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</si>
  <si>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</si>
  <si>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</si>
  <si>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</si>
  <si>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</si>
  <si>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</si>
  <si>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</si>
  <si>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</si>
  <si>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</si>
  <si>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</si>
  <si>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</si>
  <si>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</si>
  <si>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</si>
  <si>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</si>
  <si>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</si>
  <si>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</si>
  <si>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</si>
  <si>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</si>
  <si>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</si>
  <si>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</si>
  <si>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</si>
  <si>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</si>
  <si>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</si>
  <si>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</si>
  <si>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</si>
  <si>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</si>
  <si>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</si>
  <si>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</si>
  <si>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</si>
  <si>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</si>
  <si>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</si>
  <si>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</si>
  <si>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</si>
  <si>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</si>
  <si>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</si>
  <si>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</si>
  <si>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</si>
  <si>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</si>
  <si>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</si>
  <si>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</si>
  <si>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</si>
  <si>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</si>
  <si>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</si>
  <si>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</si>
  <si>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</si>
  <si>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</si>
  <si>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</si>
  <si>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</si>
  <si>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</si>
  <si>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</si>
  <si>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</si>
  <si>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</si>
  <si>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</si>
  <si>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</si>
  <si>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</si>
  <si>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</si>
  <si>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</si>
  <si>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</si>
  <si>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</si>
  <si>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</si>
  <si>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</si>
  <si>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</si>
  <si>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</si>
  <si>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</si>
  <si>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</si>
  <si>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</si>
  <si>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</si>
  <si>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</si>
  <si>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</si>
  <si>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</si>
  <si>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</si>
  <si>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</si>
  <si>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</si>
  <si>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</si>
  <si>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</si>
  <si>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</si>
  <si>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</si>
  <si>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</si>
  <si>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</si>
  <si>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</si>
  <si>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</si>
  <si>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</si>
  <si>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</si>
  <si>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</si>
  <si>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</si>
  <si>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</si>
  <si>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</si>
  <si>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</si>
  <si>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</si>
  <si>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</si>
  <si>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</si>
  <si>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</si>
  <si>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</si>
  <si>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</si>
  <si>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</si>
  <si>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</si>
  <si>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</si>
  <si>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</si>
  <si>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</si>
  <si>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</si>
  <si>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</si>
  <si>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</si>
  <si>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</si>
  <si>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</si>
  <si>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</si>
  <si>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</si>
  <si>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</si>
  <si>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</si>
  <si>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</si>
  <si>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</si>
  <si>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</si>
  <si>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</si>
  <si>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</si>
  <si>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</si>
  <si>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</si>
  <si>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</si>
  <si>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</si>
  <si>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</si>
  <si>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</si>
  <si>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</si>
  <si>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</si>
  <si>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</si>
  <si>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</si>
  <si>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</si>
  <si>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</si>
  <si>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</si>
  <si>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</si>
  <si>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</si>
  <si>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</si>
  <si>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</si>
  <si>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</si>
  <si>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</si>
  <si>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</si>
  <si>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</si>
  <si>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</si>
  <si>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</si>
  <si>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</si>
  <si>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</si>
  <si>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</si>
  <si>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</si>
  <si>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</si>
  <si>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</si>
  <si>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</si>
  <si>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</si>
  <si>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</si>
  <si>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</si>
  <si>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</si>
  <si>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</si>
  <si>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</si>
  <si>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</si>
  <si>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</si>
  <si>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</si>
  <si>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</si>
  <si>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</si>
  <si>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</si>
  <si>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</si>
  <si>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</si>
  <si>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</si>
  <si>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</si>
  <si>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</si>
  <si>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</si>
  <si>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</si>
  <si>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</si>
  <si>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</si>
  <si>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</si>
  <si>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</si>
  <si>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</si>
  <si>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</si>
  <si>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</si>
  <si>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</si>
  <si>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</si>
  <si>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</si>
  <si>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</si>
  <si>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</si>
  <si>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</si>
  <si>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</si>
  <si>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</si>
  <si>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</si>
  <si>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</si>
  <si>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</si>
  <si>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</si>
  <si>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</si>
  <si>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</si>
  <si>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</si>
  <si>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</si>
  <si>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</si>
  <si>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</si>
  <si>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</si>
  <si>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</si>
  <si>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</si>
  <si>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</si>
  <si>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</si>
  <si>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</si>
  <si>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</si>
  <si>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</si>
  <si>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</si>
  <si>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</si>
  <si>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</si>
  <si>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</si>
  <si>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</si>
  <si>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</si>
  <si>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</si>
  <si>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</si>
  <si>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</si>
  <si>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</si>
  <si>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</si>
  <si>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</si>
  <si>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</si>
  <si>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</si>
  <si>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</si>
  <si>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</si>
  <si>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</si>
  <si>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</si>
  <si>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</si>
  <si>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</si>
  <si>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</si>
  <si>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</si>
  <si>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</si>
  <si>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</si>
  <si>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</si>
  <si>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</si>
  <si>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</si>
  <si>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</si>
  <si>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</si>
  <si>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</si>
  <si>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</si>
  <si>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</si>
  <si>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</si>
  <si>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</si>
  <si>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</si>
  <si>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</si>
  <si>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</si>
  <si>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</si>
  <si>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</si>
  <si>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</si>
  <si>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</si>
  <si>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</si>
  <si>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</si>
  <si>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</si>
  <si>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</si>
  <si>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</si>
  <si>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</si>
  <si>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</si>
  <si>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</si>
  <si>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</si>
  <si>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</si>
  <si>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</si>
  <si>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</si>
  <si>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</si>
  <si>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</si>
  <si>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</si>
  <si>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</si>
  <si>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</si>
  <si>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</si>
  <si>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</si>
  <si>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</si>
  <si>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</si>
  <si>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</si>
  <si>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</si>
  <si>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</si>
  <si>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</si>
  <si>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</si>
  <si>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</si>
  <si>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</si>
  <si>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</si>
  <si>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</si>
  <si>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</si>
  <si>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</si>
  <si>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</si>
  <si>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</si>
  <si>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</si>
  <si>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</si>
  <si>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</si>
  <si>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</si>
  <si>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</si>
  <si>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</si>
  <si>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</si>
  <si>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</si>
  <si>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</si>
  <si>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</si>
  <si>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</si>
  <si>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</si>
  <si>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</si>
  <si>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</si>
  <si>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</si>
  <si>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</si>
  <si>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</si>
  <si>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</si>
  <si>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</si>
  <si>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</si>
  <si>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</si>
  <si>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</si>
  <si>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</si>
  <si>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</si>
  <si>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</si>
  <si>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</si>
  <si>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</si>
  <si>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</si>
  <si>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</si>
  <si>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</si>
  <si>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</si>
  <si>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</si>
  <si>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</si>
  <si>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</si>
  <si>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</si>
  <si>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</si>
  <si>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</si>
  <si>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</si>
  <si>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</si>
  <si>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</si>
  <si>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</si>
  <si>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</si>
  <si>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</si>
  <si>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</si>
  <si>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</si>
  <si>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</si>
  <si>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</si>
  <si>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</si>
  <si>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</si>
  <si>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</si>
  <si>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</si>
  <si>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</si>
  <si>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</si>
  <si>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</si>
  <si>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</si>
  <si>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</si>
  <si>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</si>
  <si>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</si>
  <si>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</si>
  <si>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</si>
  <si>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</si>
  <si>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</si>
  <si>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</si>
  <si>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</si>
  <si>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</si>
  <si>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</si>
  <si>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</si>
  <si>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</si>
  <si>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</si>
  <si>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</si>
  <si>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</si>
  <si>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</si>
  <si>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</si>
  <si>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</si>
  <si>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</si>
  <si>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</si>
  <si>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</si>
  <si>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</si>
  <si>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</si>
  <si>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</si>
  <si>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</si>
  <si>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</si>
  <si>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</si>
  <si>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</si>
  <si>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</si>
  <si>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</si>
  <si>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</si>
  <si>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</si>
  <si>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</si>
  <si>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</si>
  <si>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</si>
  <si>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</si>
  <si>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</si>
  <si>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</si>
  <si>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</si>
  <si>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</si>
  <si>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</si>
  <si>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</si>
  <si>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</si>
  <si>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</si>
  <si>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</si>
  <si>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</si>
  <si>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</si>
  <si>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</si>
  <si>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</si>
  <si>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</si>
  <si>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</si>
  <si>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</si>
  <si>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</si>
  <si>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</si>
  <si>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</si>
  <si>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</si>
  <si>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</si>
  <si>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</si>
  <si>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</si>
  <si>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</si>
  <si>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</si>
  <si>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</si>
  <si>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</si>
  <si>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</si>
  <si>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</si>
  <si>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</si>
  <si>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</si>
  <si>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</si>
  <si>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</si>
  <si>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</si>
  <si>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</si>
  <si>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</si>
  <si>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</si>
  <si>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</si>
  <si>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</si>
  <si>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</si>
  <si>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</si>
  <si>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</si>
  <si>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</si>
  <si>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</si>
  <si>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</si>
  <si>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</si>
  <si>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</si>
  <si>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</si>
  <si>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</si>
  <si>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</si>
  <si>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</si>
  <si>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</si>
  <si>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</si>
  <si>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</si>
  <si>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</si>
  <si>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</si>
  <si>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</si>
  <si>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</si>
  <si>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</si>
  <si>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</si>
  <si>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</si>
  <si>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</si>
  <si>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</si>
  <si>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</si>
  <si>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</si>
  <si>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</si>
  <si>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</si>
  <si>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</si>
  <si>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</si>
  <si>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</si>
  <si>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</si>
  <si>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</si>
  <si>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</si>
  <si>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</si>
  <si>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</si>
  <si>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</si>
  <si>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</si>
  <si>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</si>
  <si>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</si>
  <si>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</si>
  <si>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</si>
  <si>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</si>
  <si>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</si>
  <si>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</si>
  <si>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</si>
  <si>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</si>
  <si>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</si>
  <si>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</si>
  <si>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</si>
  <si>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</si>
  <si>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</si>
  <si>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</si>
  <si>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</si>
  <si>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</si>
  <si>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</si>
  <si>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</si>
  <si>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</si>
  <si>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</si>
  <si>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</si>
  <si>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</si>
  <si>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</si>
  <si>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</si>
  <si>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</si>
  <si>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</si>
  <si>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</si>
  <si>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</si>
  <si>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</si>
  <si>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</si>
  <si>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</si>
  <si>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</si>
  <si>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</si>
  <si>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</si>
  <si>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</si>
  <si>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</si>
  <si>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</si>
  <si>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</si>
  <si>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</si>
  <si>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</si>
  <si>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</si>
  <si>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</si>
  <si>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</si>
  <si>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</si>
  <si>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</si>
  <si>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</si>
  <si>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</si>
  <si>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</si>
  <si>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</si>
  <si>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</si>
  <si>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</si>
  <si>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</si>
  <si>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</si>
  <si>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</si>
  <si>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</si>
  <si>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</si>
  <si>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</si>
  <si>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</si>
  <si>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</si>
  <si>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</si>
  <si>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</si>
  <si>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</si>
  <si>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</si>
  <si>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</si>
  <si>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</si>
  <si>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</si>
  <si>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</si>
  <si>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</si>
  <si>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</si>
  <si>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</si>
  <si>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</si>
  <si>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</si>
  <si>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</si>
  <si>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</si>
  <si>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</si>
  <si>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</si>
  <si>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</si>
  <si>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</si>
  <si>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</si>
  <si>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</si>
  <si>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</si>
  <si>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</si>
  <si>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</si>
  <si>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</si>
  <si>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</si>
  <si>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</si>
  <si>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</si>
  <si>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</si>
  <si>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</si>
  <si>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</si>
  <si>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</si>
  <si>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</si>
  <si>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</si>
  <si>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</si>
  <si>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</si>
  <si>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</si>
  <si>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</si>
  <si>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</si>
  <si>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</si>
  <si>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</si>
  <si>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</si>
  <si>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</si>
  <si>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</si>
  <si>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</si>
  <si>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</si>
  <si>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</si>
  <si>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</si>
  <si>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</si>
  <si>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</si>
  <si>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</si>
  <si>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</si>
  <si>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</si>
  <si>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</si>
  <si>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</si>
  <si>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</si>
  <si>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</si>
  <si>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</si>
  <si>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</si>
  <si>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</si>
  <si>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</si>
  <si>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</si>
  <si>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</si>
  <si>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</si>
  <si>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</si>
  <si>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</si>
  <si>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</si>
  <si>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</si>
  <si>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</si>
  <si>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</si>
  <si>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</si>
  <si>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</si>
  <si>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</si>
  <si>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</si>
  <si>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</si>
  <si>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</si>
  <si>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</si>
  <si>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</si>
  <si>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</si>
  <si>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</si>
  <si>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</si>
  <si>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</si>
  <si>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</si>
  <si>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</si>
  <si>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</si>
  <si>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</si>
  <si>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</si>
  <si>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</si>
  <si>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</si>
  <si>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</si>
  <si>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</si>
  <si>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</si>
  <si>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</si>
  <si>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</si>
  <si>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</si>
  <si>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</si>
  <si>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</si>
  <si>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</si>
  <si>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</si>
  <si>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</si>
  <si>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</si>
  <si>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</si>
  <si>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</si>
  <si>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</si>
  <si>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</si>
  <si>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</si>
  <si>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</si>
  <si>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</si>
  <si>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</si>
  <si>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</si>
  <si>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</si>
  <si>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</si>
  <si>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</si>
  <si>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</si>
  <si>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</si>
  <si>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</si>
  <si>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</si>
  <si>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</si>
  <si>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</si>
  <si>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</si>
  <si>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</si>
  <si>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</si>
  <si>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</si>
  <si>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</si>
  <si>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</si>
  <si>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</si>
  <si>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</si>
  <si>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</si>
  <si>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</si>
  <si>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</si>
  <si>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</si>
  <si>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</si>
  <si>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</si>
  <si>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</si>
  <si>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</si>
  <si>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</si>
  <si>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</si>
  <si>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</si>
  <si>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</si>
  <si>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</si>
  <si>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</si>
  <si>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</si>
  <si>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</si>
  <si>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</si>
  <si>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</si>
  <si>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</si>
  <si>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</si>
  <si>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</si>
  <si>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</si>
  <si>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</si>
  <si>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</si>
  <si>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</si>
  <si>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</si>
  <si>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</si>
  <si>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</si>
  <si>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</si>
  <si>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</si>
  <si>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</si>
  <si>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</si>
  <si>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</si>
  <si>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</si>
  <si>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</si>
  <si>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</si>
  <si>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</si>
  <si>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</si>
  <si>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</si>
  <si>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</si>
  <si>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</si>
  <si>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</si>
  <si>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</si>
  <si>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</si>
  <si>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</si>
  <si>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</si>
  <si>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</si>
  <si>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</si>
  <si>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</si>
  <si>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</si>
  <si>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</si>
  <si>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</si>
  <si>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</si>
  <si>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</si>
  <si>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</si>
  <si>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</si>
  <si>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</si>
  <si>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</si>
  <si>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</si>
  <si>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</si>
  <si>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</si>
  <si>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</si>
  <si>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</si>
  <si>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</si>
  <si>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</si>
  <si>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</si>
  <si>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</si>
  <si>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</si>
  <si>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</si>
  <si>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</si>
  <si>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</si>
  <si>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</si>
  <si>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</si>
  <si>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</si>
  <si>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</si>
  <si>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</si>
  <si>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</si>
  <si>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</si>
  <si>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</si>
  <si>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</si>
  <si>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</si>
  <si>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</si>
  <si>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</si>
  <si>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</si>
  <si>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</si>
  <si>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</si>
  <si>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</si>
  <si>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</si>
  <si>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</si>
  <si>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</si>
  <si>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</si>
  <si>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</si>
  <si>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</si>
  <si>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</si>
  <si>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</si>
  <si>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</si>
  <si>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</si>
  <si>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</si>
  <si>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</si>
  <si>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</si>
  <si>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</si>
  <si>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</si>
  <si>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</si>
  <si>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</si>
  <si>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</si>
  <si>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</si>
  <si>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</si>
  <si>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</si>
  <si>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</si>
  <si>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</si>
  <si>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</si>
  <si>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</si>
  <si>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</si>
  <si>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</si>
  <si>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</si>
  <si>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</si>
  <si>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</si>
  <si>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</si>
  <si>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</si>
  <si>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</si>
  <si>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</si>
  <si>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</si>
  <si>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</si>
  <si>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</si>
  <si>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</si>
  <si>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</si>
  <si>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</si>
  <si>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</si>
  <si>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</si>
  <si>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</si>
  <si>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</si>
  <si>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</si>
  <si>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</si>
  <si>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</si>
  <si>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</si>
  <si>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</si>
  <si>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</si>
  <si>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</si>
  <si>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</si>
  <si>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</si>
  <si>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</si>
  <si>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</si>
  <si>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</si>
  <si>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</si>
  <si>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</si>
  <si>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</si>
  <si>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</si>
  <si>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</si>
  <si>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</si>
  <si>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</si>
  <si>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</si>
  <si>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</si>
  <si>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</si>
  <si>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</si>
  <si>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</si>
  <si>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</si>
  <si>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</si>
  <si>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</si>
  <si>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</si>
  <si>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</si>
  <si>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</si>
  <si>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</si>
  <si>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</si>
  <si>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Kankakee</t>
  </si>
  <si>
    <t>400 North Pine Street</t>
  </si>
  <si>
    <t xml:space="preserve">Momence  </t>
  </si>
  <si>
    <t>Smith, Koelling, Dykstra &amp; Ohm, P.C.</t>
  </si>
  <si>
    <t>Marcie Meents Kolberg</t>
  </si>
  <si>
    <t>1605 North Convent</t>
  </si>
  <si>
    <t>Bourbonnais</t>
  </si>
  <si>
    <t>IL</t>
  </si>
  <si>
    <t>815-937-1997</t>
  </si>
  <si>
    <t>815-935-0360</t>
  </si>
  <si>
    <t>066-005281</t>
  </si>
  <si>
    <t>marciek@skdocpa.com</t>
  </si>
  <si>
    <t>Shannon Anderson</t>
  </si>
  <si>
    <t>sanderson@mcusd1.net</t>
  </si>
  <si>
    <t>815-472-3501</t>
  </si>
  <si>
    <t>815-472-3516</t>
  </si>
  <si>
    <t>Dr. Gregg Murphy</t>
  </si>
  <si>
    <t>gmurphy@i-kan.org</t>
  </si>
  <si>
    <t>815-937-2950</t>
  </si>
  <si>
    <t>815-937-2921</t>
  </si>
  <si>
    <t>Series 2015 - working cash</t>
  </si>
  <si>
    <t>Series 2015 - refunding</t>
  </si>
  <si>
    <t>Notes payable - ISBE technology loan</t>
  </si>
  <si>
    <t>technology loan</t>
  </si>
  <si>
    <t>Total Federal Expenditures for 7/1/18-6/30/19</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</si>
  <si>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</si>
  <si>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</si>
  <si>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Pass-through from Illinois State Board of Education</t>
  </si>
  <si>
    <t>Title I Low Income (M)</t>
  </si>
  <si>
    <t>2018-4300</t>
  </si>
  <si>
    <t>2019-4300</t>
  </si>
  <si>
    <t>Title I School Improvement &amp; Accountability (M)</t>
  </si>
  <si>
    <t>2019-4331</t>
  </si>
  <si>
    <t>Total CFDA 84.010 (M)</t>
  </si>
  <si>
    <t>Title II Teacher Quality</t>
  </si>
  <si>
    <t>2018-4932</t>
  </si>
  <si>
    <t>2019-4932</t>
  </si>
  <si>
    <t>Total CFDA 84.367</t>
  </si>
  <si>
    <t>Title III LIPLEP</t>
  </si>
  <si>
    <t>2018-4909</t>
  </si>
  <si>
    <t>2019-4909</t>
  </si>
  <si>
    <t>Total CFDA 84.365</t>
  </si>
  <si>
    <t>TOTAL US DEPARTMENT OF HEALTH AND HUMAN SERVICES</t>
  </si>
  <si>
    <t>na</t>
  </si>
  <si>
    <t>Medical Assistance Program</t>
  </si>
  <si>
    <t>Pass-through from Illinois Department of Healthcare and Family Services:</t>
  </si>
  <si>
    <t>US DEPARTMENT OF HEALTH AND HUMAN SERVICES:</t>
  </si>
  <si>
    <t>TOTAL US DEPARTMENT OF EDUCATION</t>
  </si>
  <si>
    <t>Total Special Education IDEA Cluster</t>
  </si>
  <si>
    <t>Total CFDA 84.173</t>
  </si>
  <si>
    <t>2019-4600</t>
  </si>
  <si>
    <t>Special Education-Preschool Flowthrough</t>
  </si>
  <si>
    <t>2018-4600</t>
  </si>
  <si>
    <t>Total CFDA 84.027</t>
  </si>
  <si>
    <t>2019-4620</t>
  </si>
  <si>
    <t>Special Education-IDEA Flowthrough</t>
  </si>
  <si>
    <t>2018-4620</t>
  </si>
  <si>
    <t>2019-4625</t>
  </si>
  <si>
    <t>Special Education-IDEA Room and Board</t>
  </si>
  <si>
    <t>2018-4625</t>
  </si>
  <si>
    <t>Special Education IDEA Cluster:</t>
  </si>
  <si>
    <t>TOTAL US DEPARTMENT OF AGRICULTURE</t>
  </si>
  <si>
    <t>2019-4210</t>
  </si>
  <si>
    <t>2018-4210</t>
  </si>
  <si>
    <t>2019-4220</t>
  </si>
  <si>
    <t>2018-4220</t>
  </si>
  <si>
    <t>Total CFDA 10.558</t>
  </si>
  <si>
    <t>2019-4226</t>
  </si>
  <si>
    <t>Child and Adult Care Food Program</t>
  </si>
  <si>
    <t>2018-4226</t>
  </si>
  <si>
    <t>US DEPARTMENT OF AGRICULTURE:</t>
  </si>
  <si>
    <t>TOTAL FEDERAL AWARDS</t>
  </si>
  <si>
    <t>TOTAL US DEPARTMENT OF DEFENSE</t>
  </si>
  <si>
    <t>US DEPARTMENT OF DEFENSE:</t>
  </si>
  <si>
    <t>Series 2006 - building</t>
  </si>
  <si>
    <t>Audit check page - The District transferred $23,987 from the Ed fudn to the Debt Service fund to pay the ISBE loan payment during the year. The transfer out of Ed is reported on line 8910; however, the transfer in is reported on line 7990 other sources. Line 7900 is for ISBE loan proceeds, which the district did not received in 18-19.</t>
  </si>
  <si>
    <t>Medicaid Assistance Program 4% fee</t>
  </si>
  <si>
    <t>x</t>
  </si>
  <si>
    <r>
      <t xml:space="preserve">The accompanying Schedule of Expenditures of Federal Awards includes the federal grant activity of Momence Community Unit School District #1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</si>
  <si>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 xml:space="preserve">The following amounts were expended in the form of non-cash assistance by </t>
    </r>
    <r>
      <rPr>
        <b/>
        <sz val="9"/>
        <rFont val="Calibri"/>
        <family val="2"/>
        <scheme val="minor"/>
      </rPr>
      <t xml:space="preserve">Momence Community Unit School District #1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</si>
  <si>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Adverse (GAAP), Unmodified (Regulatory basis)</t>
  </si>
  <si>
    <t>Unmodified</t>
  </si>
  <si>
    <t>10.553/10.555</t>
  </si>
  <si>
    <t>Child Nutrition Cluster</t>
  </si>
  <si>
    <t>n/a</t>
  </si>
  <si>
    <t>2018-001</t>
  </si>
  <si>
    <t>The ISDLAF PMA investments general account and scholarship account were not properly reconciled as of June 30, 2018. Because the reconciliation was not properly performed, the District was unaware that $239,233 had been inadvertently transferred out of the general PMA account and into the scholarship PMA account in February 2018.</t>
  </si>
  <si>
    <t>The District transferred the funds back to the general fund in September 2018. The District has reconciled all financial accounts through June 30, 2019 in a timely manner.</t>
  </si>
  <si>
    <t>US DEPARTMENT OF EDUCATION</t>
  </si>
  <si>
    <t xml:space="preserve">Nine individuals required to file a statement of economic interest did not file timely. District followed up with the County Clerks office once notified 
of omissions. </t>
  </si>
  <si>
    <t>Canon Financial Services Inc</t>
  </si>
  <si>
    <t>10-2630-300</t>
  </si>
  <si>
    <t>LEAF</t>
  </si>
  <si>
    <t>Dura-Tech Enterprises Inc.</t>
  </si>
  <si>
    <t>10-2200-300</t>
  </si>
  <si>
    <t>Ed-Support Services-Purchased Services</t>
  </si>
  <si>
    <t>Specialized Data Systems</t>
  </si>
  <si>
    <t>10-2520-300</t>
  </si>
  <si>
    <t>PowerSchool Group LLC</t>
  </si>
  <si>
    <t>10-2300-600</t>
  </si>
  <si>
    <t>Ed-Support Services-Other</t>
  </si>
  <si>
    <t>Illinois Central School Bus</t>
  </si>
  <si>
    <t>40-2550-300</t>
  </si>
  <si>
    <t>ATI Physical Therapy</t>
  </si>
  <si>
    <t>Rid All Pest Control</t>
  </si>
  <si>
    <t>20-2540-300</t>
  </si>
  <si>
    <t>O&amp;M-Support Services-Purchased Services</t>
  </si>
  <si>
    <t>Proven Business Systems</t>
  </si>
  <si>
    <t>Otis Elevator Company</t>
  </si>
  <si>
    <t>MSDSonline Inc</t>
  </si>
  <si>
    <t>Northern Illinois Academy</t>
  </si>
  <si>
    <t>Ed-Instruction-Purchased Services  10-4220-600</t>
  </si>
  <si>
    <t>CHG Alternative Inc</t>
  </si>
  <si>
    <t xml:space="preserve">Heartspring </t>
  </si>
  <si>
    <t>New Lenox School Distirct 122</t>
  </si>
  <si>
    <t>10-1000-300</t>
  </si>
  <si>
    <t xml:space="preserve">Ed-Instruction-Purchased Services </t>
  </si>
  <si>
    <t>Northwest Evaluation Assco</t>
  </si>
  <si>
    <t>Common Goal Systems Inc.</t>
  </si>
  <si>
    <t>Alice Trining Institute LLC</t>
  </si>
  <si>
    <t>Over the Moon Therapy</t>
  </si>
  <si>
    <t>Page 25-Schedule of Tort Immunity Expenditures: #22 Other Disbursements; Drivers Education: Permits $1,320, Fuel $1,166, Repairs $3,666=$6,152 total.</t>
  </si>
  <si>
    <t>#1690 - Other Food Service: Other $172</t>
  </si>
  <si>
    <t>#1999 - Other Local Revenues: (1) Payments/COBRA $6,893; Other Revenue $8,004 = $14,897;  (4) Other Revenue $627</t>
  </si>
  <si>
    <t>#2190 - Ed Fund: Other Support Services-Pupils: (3) Vision Prof Serv $19,295; (4) Vision Supplies $104</t>
  </si>
  <si>
    <t>#2490 - Ed Fund: Other Support Services-School Admin: (1) Salary JH Assoc Principal $76,981; Salary HS Assoc Principal $83,856 = $160,837;</t>
  </si>
  <si>
    <t>(3) Travel Dean/AD $570; (6) Dean/Assoc Princ Dues/Fees $1,054</t>
  </si>
  <si>
    <t>#5400 -Ed Fund: Debt Services - Other: (3) Bond Fee $1,545</t>
  </si>
  <si>
    <t>#2490 - MR/SS Fund: Other Support Services -School Admin: (2) Dean FICA $72; Salary Assoc Princ $78; Dean Medicare $1,103; Assoc Princ</t>
  </si>
  <si>
    <t>Medicare $1,201 = $2,454</t>
  </si>
  <si>
    <t xml:space="preserve">Transportation-Business-Purchased Services </t>
  </si>
  <si>
    <t>Ed-Business-Purchased Services</t>
  </si>
  <si>
    <t>Ed-Central-Purchased Services</t>
  </si>
  <si>
    <t>Lincoln-Way Area Special Education</t>
  </si>
  <si>
    <t>School Breakfast (M)</t>
  </si>
  <si>
    <t>Total CFDA 10.553 (M)</t>
  </si>
  <si>
    <t>National Lunch Program (M)</t>
  </si>
  <si>
    <t>Food Commodities (non cash) (M)</t>
  </si>
  <si>
    <t>Total CFDA 10.555 (M)</t>
  </si>
  <si>
    <t>Total Child Nutrtion Cluster (M)</t>
  </si>
  <si>
    <t>None</t>
  </si>
  <si>
    <t>Of the federal expenditures presented in the schedule, Momence CUSD #1 provided federal awards to subrecipients as follows:</t>
  </si>
  <si>
    <t>HUB International</t>
  </si>
  <si>
    <t>PMA</t>
  </si>
  <si>
    <t>Robbins Schwartz</t>
  </si>
  <si>
    <t>Illinois Central</t>
  </si>
  <si>
    <t>BBCHS, St. Anne, St. George, Grant Park, New Lenox</t>
  </si>
  <si>
    <t>Kankakee Area Special Education Cooperative, Lincoln-Way Area Special Education</t>
  </si>
  <si>
    <t>Kankakee Area Career Center, Country Club Hills Tech &amp; Trade Center</t>
  </si>
  <si>
    <t>Duratech, Proven IT, E3 Gordon Stowe</t>
  </si>
  <si>
    <t>Over the Moon Therapy - Vision Serv., Sandra Lopez-Ramirez, Dr. Diana Pertchi M.ED</t>
  </si>
  <si>
    <t>Other- CHG Alternative Education Inc., Cornell Interventions Inc., Northern Illinois Academy, I-Kan RAAC, Heartspring</t>
  </si>
  <si>
    <t>Momence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</si>
</sst>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126" fillId="16" borderId="157" xfId="17" applyNumberFormat="1" applyFont="1" applyFill="1" applyBorder="1" applyAlignment="1" applyProtection="1">
      <alignment horizontal="right" vertical="top"/>
    </xf>
    <xf numFmtId="3" fontId="97" fillId="0" borderId="22" xfId="3" applyNumberFormat="1" applyFont="1" applyBorder="1" applyAlignment="1" applyProtection="1">
      <alignment horizontal="left" vertical="center" wrapText="1"/>
      <protection locked="0"/>
    </xf>
    <xf numFmtId="3" fontId="72" fillId="0" borderId="22" xfId="3" applyNumberFormat="1" applyFont="1" applyBorder="1" applyAlignment="1" applyProtection="1">
      <alignment horizontal="left" vertical="center" wrapText="1" indent="1"/>
      <protection locked="0"/>
    </xf>
    <xf numFmtId="3" fontId="72" fillId="0" borderId="22"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center"/>
      <protection locked="0"/>
    </xf>
    <xf numFmtId="3" fontId="72" fillId="0" borderId="8" xfId="3" applyNumberFormat="1" applyFont="1" applyBorder="1" applyAlignment="1" applyProtection="1">
      <alignment horizontal="center"/>
      <protection locked="0"/>
    </xf>
    <xf numFmtId="3" fontId="72" fillId="0" borderId="22" xfId="3" applyNumberFormat="1" applyFont="1" applyBorder="1" applyAlignment="1" applyProtection="1">
      <alignment horizontal="left" vertical="center" wrapText="1"/>
      <protection locked="0"/>
    </xf>
    <xf numFmtId="3" fontId="67" fillId="0" borderId="8"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left" vertical="center" wrapText="1"/>
      <protection locked="0"/>
    </xf>
    <xf numFmtId="0" fontId="56" fillId="0" borderId="0" xfId="0" applyFont="1" applyAlignment="1">
      <alignment wrapText="1"/>
    </xf>
    <xf numFmtId="0" fontId="56" fillId="0" borderId="0" xfId="3" applyFont="1" applyBorder="1" applyAlignment="1" applyProtection="1">
      <alignment wrapText="1"/>
      <protection locked="0"/>
    </xf>
    <xf numFmtId="0" fontId="0" fillId="0" borderId="157" xfId="17" applyFont="1" applyBorder="1" applyAlignment="1" applyProtection="1">
      <alignment vertical="top"/>
      <protection locked="0"/>
    </xf>
    <xf numFmtId="0" fontId="0"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164" fontId="61" fillId="0" borderId="0" xfId="0" applyNumberFormat="1" applyFont="1" applyAlignment="1">
      <alignment vertical="top"/>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2A28524-0EE1-4177-9964-9227A1CFE5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304800</xdr:colOff>
          <xdr:row>6</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98BC6FEC-094B-4D2D-91F8-1668CB0E2B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304800</xdr:colOff>
          <xdr:row>13</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2633F706-5DC0-4523-A2B5-47D620FAC0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38794558-AD75-4D77-BB5D-9BC79B5088A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35" t="s">
        <v>405</v>
      </c>
      <c r="J1" s="2036"/>
      <c r="K1" s="2036"/>
      <c r="L1" s="2036"/>
      <c r="M1" s="2036"/>
      <c r="N1" s="2036"/>
      <c r="O1" s="2036"/>
      <c r="P1" s="2036"/>
      <c r="Q1" s="2036"/>
      <c r="R1" s="2036"/>
      <c r="S1" s="2036"/>
    </row>
    <row r="2" spans="1:28" ht="12" customHeight="1" x14ac:dyDescent="0.2">
      <c r="A2" s="47" t="s">
        <v>1988</v>
      </c>
      <c r="D2" s="48"/>
      <c r="I2" s="2037" t="s">
        <v>979</v>
      </c>
      <c r="J2" s="2036"/>
      <c r="K2" s="2036"/>
      <c r="L2" s="2036"/>
      <c r="M2" s="2036"/>
      <c r="N2" s="2036"/>
      <c r="O2" s="2036"/>
      <c r="P2" s="2036"/>
      <c r="Q2" s="2036"/>
      <c r="R2" s="2036"/>
      <c r="S2" s="2036"/>
    </row>
    <row r="3" spans="1:28" ht="12" customHeight="1" x14ac:dyDescent="0.2">
      <c r="A3" s="155" t="s">
        <v>1940</v>
      </c>
      <c r="B3" s="156"/>
      <c r="C3" s="156"/>
      <c r="D3" s="157"/>
      <c r="I3" s="2037" t="s">
        <v>52</v>
      </c>
      <c r="J3" s="2036"/>
      <c r="K3" s="2036"/>
      <c r="L3" s="2036"/>
      <c r="M3" s="2036"/>
      <c r="N3" s="2036"/>
      <c r="O3" s="2036"/>
      <c r="P3" s="2036"/>
      <c r="Q3" s="2036"/>
      <c r="R3" s="2036"/>
      <c r="S3" s="2036"/>
    </row>
    <row r="4" spans="1:28" ht="12" customHeight="1" x14ac:dyDescent="0.2">
      <c r="A4" s="37"/>
      <c r="I4" s="2037" t="s">
        <v>524</v>
      </c>
      <c r="J4" s="2036"/>
      <c r="K4" s="2036"/>
      <c r="L4" s="2036"/>
      <c r="M4" s="2036"/>
      <c r="N4" s="2036"/>
      <c r="O4" s="2036"/>
      <c r="P4" s="2036"/>
      <c r="Q4" s="2036"/>
      <c r="R4" s="2036"/>
      <c r="S4" s="2036"/>
    </row>
    <row r="5" spans="1:28" ht="14.1" customHeight="1" x14ac:dyDescent="0.2">
      <c r="B5" s="104" t="s">
        <v>2059</v>
      </c>
      <c r="C5" s="26" t="s">
        <v>910</v>
      </c>
      <c r="D5" s="84"/>
      <c r="E5" s="84"/>
      <c r="H5" s="38"/>
      <c r="I5" s="2044" t="s">
        <v>680</v>
      </c>
      <c r="J5" s="1989"/>
      <c r="K5" s="1989"/>
      <c r="L5" s="1989"/>
      <c r="M5" s="1989"/>
      <c r="N5" s="1989"/>
      <c r="O5" s="1989"/>
      <c r="P5" s="1989"/>
      <c r="Q5" s="1989"/>
      <c r="R5" s="1989"/>
      <c r="S5" s="1989"/>
    </row>
    <row r="6" spans="1:28" ht="14.1" customHeight="1" x14ac:dyDescent="0.2">
      <c r="B6" s="104"/>
      <c r="C6" s="26" t="s">
        <v>911</v>
      </c>
      <c r="D6" s="84"/>
      <c r="E6" s="84"/>
      <c r="I6" s="2043" t="s">
        <v>883</v>
      </c>
      <c r="J6" s="1989"/>
      <c r="K6" s="1989"/>
      <c r="L6" s="1989"/>
      <c r="M6" s="1989"/>
      <c r="N6" s="1989"/>
      <c r="O6" s="1989"/>
      <c r="P6" s="1989"/>
      <c r="Q6" s="1989"/>
      <c r="R6" s="1989"/>
      <c r="S6" s="1989"/>
    </row>
    <row r="7" spans="1:28" ht="12.2" customHeight="1" x14ac:dyDescent="0.2">
      <c r="I7" s="2038">
        <v>43646</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674</v>
      </c>
      <c r="J9" s="2041"/>
      <c r="K9" s="2041"/>
      <c r="L9" s="2041"/>
      <c r="M9" s="2041"/>
      <c r="N9" s="2041"/>
      <c r="O9" s="2041"/>
      <c r="P9" s="2041"/>
      <c r="Q9" s="2041"/>
      <c r="R9" s="2041"/>
      <c r="S9" s="2042"/>
      <c r="T9" s="1985" t="s">
        <v>533</v>
      </c>
      <c r="U9" s="1986"/>
      <c r="V9" s="1986"/>
      <c r="W9" s="1986"/>
      <c r="X9" s="1986"/>
      <c r="Y9" s="1986"/>
      <c r="Z9" s="1986"/>
      <c r="AA9" s="1987"/>
    </row>
    <row r="10" spans="1:28" ht="13.5" customHeight="1" x14ac:dyDescent="0.2">
      <c r="A10" s="1994" t="s">
        <v>675</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955</v>
      </c>
      <c r="B11" s="1998"/>
      <c r="C11" s="1998"/>
      <c r="D11" s="1998"/>
      <c r="E11" s="1998"/>
      <c r="F11" s="1998"/>
      <c r="G11" s="1998"/>
      <c r="H11" s="1999"/>
      <c r="I11" s="27"/>
      <c r="J11" s="74"/>
      <c r="K11" s="27"/>
      <c r="O11" s="148" t="s">
        <v>2059</v>
      </c>
      <c r="P11" s="100" t="s">
        <v>201</v>
      </c>
      <c r="Q11" s="30"/>
      <c r="R11" s="28"/>
      <c r="S11" s="27"/>
      <c r="T11" s="1991"/>
      <c r="U11" s="1992"/>
      <c r="V11" s="1992"/>
      <c r="W11" s="1992"/>
      <c r="X11" s="1992"/>
      <c r="Y11" s="1992"/>
      <c r="Z11" s="1992"/>
      <c r="AA11" s="199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5">
        <v>32046001026</v>
      </c>
      <c r="B13" s="2006"/>
      <c r="C13" s="2006"/>
      <c r="D13" s="2006"/>
      <c r="E13" s="2006"/>
      <c r="F13" s="2006"/>
      <c r="G13" s="2006"/>
      <c r="H13" s="2007"/>
      <c r="I13" s="31"/>
      <c r="J13" s="30"/>
      <c r="K13" s="28"/>
      <c r="L13" s="30"/>
      <c r="M13" s="30"/>
      <c r="N13" s="30"/>
      <c r="O13" s="30"/>
      <c r="P13" s="30"/>
      <c r="Q13" s="30"/>
      <c r="R13" s="30"/>
      <c r="S13" s="30"/>
      <c r="T13" s="2010" t="s">
        <v>2063</v>
      </c>
      <c r="U13" s="2011"/>
      <c r="V13" s="2011"/>
      <c r="W13" s="2011"/>
      <c r="X13" s="2011"/>
      <c r="Y13" s="2012"/>
      <c r="Z13" s="2012"/>
      <c r="AA13" s="201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3" t="s">
        <v>2060</v>
      </c>
      <c r="B15" s="2008"/>
      <c r="C15" s="2008"/>
      <c r="D15" s="2008"/>
      <c r="E15" s="2008"/>
      <c r="F15" s="2008"/>
      <c r="G15" s="2008"/>
      <c r="H15" s="2009"/>
      <c r="T15" s="1971" t="s">
        <v>2064</v>
      </c>
      <c r="U15" s="1972"/>
      <c r="V15" s="1972"/>
      <c r="W15" s="1972"/>
      <c r="X15" s="1972"/>
      <c r="Y15" s="2014"/>
      <c r="Z15" s="2014"/>
      <c r="AA15" s="201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3" t="s">
        <v>2212</v>
      </c>
      <c r="B17" s="2033"/>
      <c r="C17" s="2033"/>
      <c r="D17" s="2033"/>
      <c r="E17" s="2033"/>
      <c r="F17" s="2033"/>
      <c r="G17" s="2033"/>
      <c r="H17" s="2034"/>
      <c r="T17" s="2020" t="s">
        <v>2065</v>
      </c>
      <c r="U17" s="2021"/>
      <c r="V17" s="2021"/>
      <c r="W17" s="2021"/>
      <c r="X17" s="2021"/>
      <c r="Y17" s="2021"/>
      <c r="Z17" s="2021"/>
      <c r="AA17" s="2022"/>
    </row>
    <row r="18" spans="1:27" ht="13.5" customHeight="1" x14ac:dyDescent="0.2">
      <c r="A18" s="85" t="s">
        <v>530</v>
      </c>
      <c r="B18" s="76"/>
      <c r="C18" s="72"/>
      <c r="D18" s="76"/>
      <c r="E18" s="76"/>
      <c r="F18" s="76"/>
      <c r="G18" s="76"/>
      <c r="H18" s="56"/>
      <c r="I18" s="2030" t="s">
        <v>676</v>
      </c>
      <c r="J18" s="2031"/>
      <c r="K18" s="2031"/>
      <c r="L18" s="2031"/>
      <c r="M18" s="2031"/>
      <c r="N18" s="2031"/>
      <c r="O18" s="2031"/>
      <c r="P18" s="2031"/>
      <c r="Q18" s="2031"/>
      <c r="R18" s="2031"/>
      <c r="S18" s="2032"/>
      <c r="T18" s="85" t="s">
        <v>711</v>
      </c>
      <c r="U18" s="51"/>
      <c r="V18" s="72"/>
      <c r="W18" s="50"/>
      <c r="X18" s="85" t="s">
        <v>266</v>
      </c>
      <c r="Y18" s="81"/>
      <c r="Z18" s="159" t="s">
        <v>677</v>
      </c>
      <c r="AA18" s="46"/>
    </row>
    <row r="19" spans="1:27" ht="13.5" customHeight="1" x14ac:dyDescent="0.2">
      <c r="A19" s="2003" t="s">
        <v>2061</v>
      </c>
      <c r="B19" s="2004"/>
      <c r="C19" s="2004"/>
      <c r="D19" s="2004"/>
      <c r="E19" s="2004"/>
      <c r="F19" s="2004"/>
      <c r="G19" s="2004"/>
      <c r="H19" s="2002"/>
      <c r="I19" s="30"/>
      <c r="J19" s="99"/>
      <c r="K19" s="40"/>
      <c r="L19" s="38"/>
      <c r="M19" s="112" t="s">
        <v>315</v>
      </c>
      <c r="P19" s="27"/>
      <c r="Q19" s="27"/>
      <c r="R19" s="27"/>
      <c r="S19" s="31"/>
      <c r="T19" s="2003" t="s">
        <v>2066</v>
      </c>
      <c r="U19" s="2001"/>
      <c r="V19" s="2001"/>
      <c r="W19" s="2002"/>
      <c r="X19" s="2018" t="s">
        <v>2067</v>
      </c>
      <c r="Y19" s="2019"/>
      <c r="Z19" s="2016">
        <v>90614</v>
      </c>
      <c r="AA19" s="201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0" t="s">
        <v>2062</v>
      </c>
      <c r="B21" s="2001"/>
      <c r="C21" s="2001"/>
      <c r="D21" s="2001"/>
      <c r="E21" s="2001"/>
      <c r="F21" s="2001"/>
      <c r="G21" s="2001"/>
      <c r="H21" s="2002"/>
      <c r="I21" s="2026" t="s">
        <v>678</v>
      </c>
      <c r="J21" s="1989"/>
      <c r="K21" s="1989"/>
      <c r="L21" s="1989"/>
      <c r="M21" s="1989"/>
      <c r="N21" s="1989"/>
      <c r="O21" s="1989"/>
      <c r="P21" s="1989"/>
      <c r="Q21" s="1989"/>
      <c r="R21" s="1989"/>
      <c r="S21" s="1990"/>
      <c r="T21" s="1968" t="s">
        <v>2068</v>
      </c>
      <c r="U21" s="1969"/>
      <c r="V21" s="1969"/>
      <c r="W21" s="1969"/>
      <c r="X21" s="1982" t="s">
        <v>2069</v>
      </c>
      <c r="Y21" s="1983"/>
      <c r="Z21" s="1983"/>
      <c r="AA21" s="1984"/>
    </row>
    <row r="22" spans="1:27" ht="13.5" customHeight="1" x14ac:dyDescent="0.2">
      <c r="A22" s="87" t="s">
        <v>531</v>
      </c>
      <c r="B22" s="59"/>
      <c r="C22" s="59"/>
      <c r="D22" s="59"/>
      <c r="E22" s="59"/>
      <c r="F22" s="59"/>
      <c r="G22" s="59"/>
      <c r="H22" s="60"/>
      <c r="I22" s="2027" t="s">
        <v>1429</v>
      </c>
      <c r="J22" s="2028"/>
      <c r="K22" s="2028"/>
      <c r="L22" s="2028"/>
      <c r="M22" s="2028"/>
      <c r="N22" s="2028"/>
      <c r="O22" s="2028"/>
      <c r="P22" s="2028"/>
      <c r="Q22" s="2028"/>
      <c r="R22" s="2028"/>
      <c r="S22" s="2029"/>
      <c r="T22" s="85" t="s">
        <v>1516</v>
      </c>
      <c r="U22" s="51"/>
      <c r="V22" s="72"/>
      <c r="W22" s="51"/>
      <c r="X22" s="160" t="s">
        <v>1318</v>
      </c>
      <c r="Z22" s="45"/>
      <c r="AA22" s="46"/>
    </row>
    <row r="23" spans="1:27" ht="13.5" customHeight="1" x14ac:dyDescent="0.2">
      <c r="A23" s="2023"/>
      <c r="B23" s="2024"/>
      <c r="C23" s="2024"/>
      <c r="D23" s="2024"/>
      <c r="E23" s="2024"/>
      <c r="F23" s="2024"/>
      <c r="G23" s="2024"/>
      <c r="H23" s="2025"/>
      <c r="T23" s="1963" t="s">
        <v>2070</v>
      </c>
      <c r="U23" s="1964"/>
      <c r="V23" s="1964"/>
      <c r="W23" s="1964"/>
      <c r="X23" s="1979">
        <v>44530</v>
      </c>
      <c r="Y23" s="1980"/>
      <c r="Z23" s="1980"/>
      <c r="AA23" s="1981"/>
    </row>
    <row r="24" spans="1:27" ht="14.1" customHeight="1" x14ac:dyDescent="0.2">
      <c r="A24" s="88" t="s">
        <v>677</v>
      </c>
      <c r="B24" s="49"/>
      <c r="C24" s="49"/>
      <c r="D24" s="49"/>
      <c r="E24" s="49"/>
      <c r="F24" s="49"/>
      <c r="G24" s="49"/>
      <c r="H24" s="61"/>
      <c r="J24" s="2065">
        <f>IF(B5="x",IF(AUDITCHECK!D29="AFR form Incomplete.","",IF(AUDITCHECK!D29="Deficit reduction plan is required.","School District must complete a deficit reduction plan in the 2019-2020 Budget",)),"")</f>
        <v>0</v>
      </c>
      <c r="K24" s="2065"/>
      <c r="L24" s="2065"/>
      <c r="M24" s="2065"/>
      <c r="N24" s="2065"/>
      <c r="O24" s="2065"/>
      <c r="P24" s="2065"/>
      <c r="Q24" s="2065"/>
      <c r="R24" s="2065"/>
      <c r="S24" s="2066"/>
      <c r="T24" s="105" t="s">
        <v>531</v>
      </c>
      <c r="U24" s="106"/>
      <c r="V24" s="106"/>
      <c r="W24" s="106"/>
      <c r="X24" s="107"/>
      <c r="Y24" s="107"/>
      <c r="Z24" s="107"/>
      <c r="AA24" s="108"/>
    </row>
    <row r="25" spans="1:27" ht="14.1" customHeight="1" x14ac:dyDescent="0.2">
      <c r="A25" s="2000">
        <v>60954</v>
      </c>
      <c r="B25" s="2001"/>
      <c r="C25" s="2001"/>
      <c r="D25" s="2001"/>
      <c r="E25" s="2001"/>
      <c r="F25" s="2001"/>
      <c r="G25" s="2001"/>
      <c r="H25" s="2002"/>
      <c r="I25" s="113"/>
      <c r="J25" s="2067"/>
      <c r="K25" s="2067"/>
      <c r="L25" s="2067"/>
      <c r="M25" s="2067"/>
      <c r="N25" s="2067"/>
      <c r="O25" s="2067"/>
      <c r="P25" s="2067"/>
      <c r="Q25" s="2067"/>
      <c r="R25" s="2067"/>
      <c r="S25" s="2068"/>
      <c r="T25" s="1960" t="s">
        <v>2071</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8" t="s">
        <v>1511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2059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2059</v>
      </c>
      <c r="C30" s="124" t="s">
        <v>1164</v>
      </c>
      <c r="D30" s="28"/>
      <c r="E30" s="28"/>
      <c r="F30" s="140"/>
      <c r="G30" s="114"/>
      <c r="H30" s="114"/>
      <c r="I30" s="54"/>
      <c r="J30" s="148" t="s">
        <v>2059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2059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3" t="s">
        <v>2072</v>
      </c>
      <c r="B38" s="2033"/>
      <c r="C38" s="2033"/>
      <c r="D38" s="2033"/>
      <c r="E38" s="2033"/>
      <c r="F38" s="2001"/>
      <c r="G38" s="2001"/>
      <c r="H38" s="2002"/>
      <c r="I38" s="2052"/>
      <c r="J38" s="1972"/>
      <c r="K38" s="1972"/>
      <c r="L38" s="1972"/>
      <c r="M38" s="1972"/>
      <c r="N38" s="1972"/>
      <c r="O38" s="1972"/>
      <c r="P38" s="1973"/>
      <c r="Q38" s="1973"/>
      <c r="R38" s="1973"/>
      <c r="S38" s="1974"/>
      <c r="T38" s="1971" t="s">
        <v>2076</v>
      </c>
      <c r="U38" s="1972"/>
      <c r="V38" s="1972"/>
      <c r="W38" s="1972"/>
      <c r="X38" s="1973"/>
      <c r="Y38" s="1973"/>
      <c r="Z38" s="1973"/>
      <c r="AA38" s="1974"/>
    </row>
    <row r="39" spans="1:27" ht="12" customHeight="1" x14ac:dyDescent="0.2">
      <c r="A39" s="2056" t="s">
        <v>531</v>
      </c>
      <c r="B39" s="2057"/>
      <c r="C39" s="72"/>
      <c r="D39" s="69"/>
      <c r="E39" s="69"/>
      <c r="F39" s="79"/>
      <c r="G39" s="69"/>
      <c r="H39" s="56"/>
      <c r="I39" s="2056" t="s">
        <v>531</v>
      </c>
      <c r="J39" s="2057"/>
      <c r="K39" s="2057"/>
      <c r="L39" s="2057"/>
      <c r="M39" s="2057"/>
      <c r="N39" s="67"/>
      <c r="O39" s="72"/>
      <c r="P39" s="72"/>
      <c r="Q39" s="78"/>
      <c r="R39" s="72"/>
      <c r="S39" s="56"/>
      <c r="T39" s="72" t="s">
        <v>531</v>
      </c>
      <c r="U39" s="51"/>
      <c r="V39" s="72"/>
      <c r="W39" s="50"/>
      <c r="X39" s="78"/>
      <c r="Y39" s="45"/>
      <c r="Z39" s="45"/>
      <c r="AA39" s="46"/>
    </row>
    <row r="40" spans="1:27" ht="13.5" customHeight="1" x14ac:dyDescent="0.2">
      <c r="A40" s="2059" t="s">
        <v>2073</v>
      </c>
      <c r="B40" s="2060"/>
      <c r="C40" s="2061"/>
      <c r="D40" s="2061"/>
      <c r="E40" s="2061"/>
      <c r="F40" s="2062"/>
      <c r="G40" s="2062"/>
      <c r="H40" s="2063"/>
      <c r="I40" s="1975"/>
      <c r="J40" s="1977"/>
      <c r="K40" s="1977"/>
      <c r="L40" s="1977"/>
      <c r="M40" s="1977"/>
      <c r="N40" s="1977"/>
      <c r="O40" s="1977"/>
      <c r="P40" s="1977"/>
      <c r="Q40" s="1977"/>
      <c r="R40" s="1977"/>
      <c r="S40" s="1978"/>
      <c r="T40" s="1975" t="s">
        <v>2077</v>
      </c>
      <c r="U40" s="1976"/>
      <c r="V40" s="1977"/>
      <c r="W40" s="1977"/>
      <c r="X40" s="1977"/>
      <c r="Y40" s="1977"/>
      <c r="Z40" s="1977"/>
      <c r="AA40" s="197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9" t="s">
        <v>2074</v>
      </c>
      <c r="B42" s="2050"/>
      <c r="C42" s="2051"/>
      <c r="D42" s="2064" t="s">
        <v>2075</v>
      </c>
      <c r="E42" s="2050"/>
      <c r="F42" s="2050"/>
      <c r="G42" s="2050"/>
      <c r="H42" s="2051"/>
      <c r="I42" s="1970"/>
      <c r="J42" s="1966"/>
      <c r="K42" s="1966"/>
      <c r="L42" s="1966"/>
      <c r="M42" s="1966"/>
      <c r="N42" s="1966"/>
      <c r="O42" s="1967"/>
      <c r="P42" s="1965"/>
      <c r="Q42" s="1966"/>
      <c r="R42" s="1966"/>
      <c r="S42" s="1967"/>
      <c r="T42" s="1970" t="s">
        <v>2078</v>
      </c>
      <c r="U42" s="1966"/>
      <c r="V42" s="1966"/>
      <c r="W42" s="1967"/>
      <c r="X42" s="1965" t="s">
        <v>2079</v>
      </c>
      <c r="Y42" s="1966"/>
      <c r="Z42" s="1966"/>
      <c r="AA42" s="196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4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2" t="s">
        <v>1065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691</v>
      </c>
      <c r="B40" s="2069"/>
      <c r="C40" s="2069"/>
      <c r="D40" s="2069"/>
      <c r="E40" s="2069"/>
    </row>
    <row r="41" spans="1:5" x14ac:dyDescent="0.2">
      <c r="A41" s="2070" t="s">
        <v>1608</v>
      </c>
      <c r="B41" s="2070"/>
      <c r="C41" s="2070"/>
      <c r="D41" s="2070"/>
      <c r="E41" s="2070"/>
    </row>
    <row r="42" spans="1:5" ht="12.75" customHeight="1" x14ac:dyDescent="0.2">
      <c r="A42" s="2071" t="s">
        <v>1022</v>
      </c>
      <c r="B42" s="2071"/>
      <c r="C42" s="2071"/>
      <c r="D42" s="2071"/>
      <c r="E42" s="2071"/>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1168</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2059</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7" t="s">
        <v>1633</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313</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2059</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1323</v>
      </c>
      <c r="B70" s="2090"/>
      <c r="C70" s="2090"/>
      <c r="D70" s="2090"/>
      <c r="E70" s="2091"/>
      <c r="F70" s="2091"/>
      <c r="G70" s="2091"/>
      <c r="H70" s="2091"/>
      <c r="I70" s="209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1320</v>
      </c>
      <c r="B83" s="2092"/>
      <c r="C83" s="2092"/>
      <c r="D83" s="209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4" t="s">
        <v>2149</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2063</v>
      </c>
      <c r="D114" s="208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1330</v>
      </c>
      <c r="D117" s="2085"/>
      <c r="E117" s="2086"/>
      <c r="F117" s="2086"/>
      <c r="G117" s="2086"/>
      <c r="H117" s="208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28" colorId="8" zoomScale="110" zoomScaleNormal="110" workbookViewId="0">
      <selection activeCell="F10" sqref="F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386</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121511386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2.7494999999999999E-2</v>
      </c>
      <c r="E10" s="356" t="s">
        <v>1005</v>
      </c>
      <c r="F10" s="355">
        <v>4.4710000000000001E-3</v>
      </c>
      <c r="G10" s="356" t="s">
        <v>1005</v>
      </c>
      <c r="H10" s="355">
        <v>3.6879999999999999E-3</v>
      </c>
      <c r="I10" s="356" t="s">
        <v>1006</v>
      </c>
      <c r="J10" s="1732">
        <f>ROUND(D10+F10+H10,5)</f>
        <v>3.5650000000000001E-2</v>
      </c>
      <c r="K10" s="222"/>
      <c r="L10" s="355">
        <v>4.9100000000000001E-4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12451848</v>
      </c>
      <c r="E16" s="356"/>
      <c r="F16" s="1733">
        <f>SUM('Acct Summary 7-8'!C17,'Acct Summary 7-8'!D17,'Acct Summary 7-8'!F17)</f>
        <v>11065263</v>
      </c>
      <c r="G16" s="356"/>
      <c r="H16" s="1733">
        <f>SUM(D16-F16)</f>
        <v>1386585</v>
      </c>
      <c r="I16" s="222"/>
      <c r="J16" s="1733">
        <f>SUM('Acct Summary 7-8'!C81,'Acct Summary 7-8'!D81,'Acct Summary 7-8'!F81,'Acct Summary 7-8'!I81)</f>
        <v>3989793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16768571.268000001</v>
      </c>
      <c r="I31" s="368"/>
      <c r="J31" s="222"/>
      <c r="K31" s="222"/>
      <c r="L31" s="222"/>
      <c r="M31" s="222"/>
    </row>
    <row r="32" spans="1:13" ht="13.35" customHeight="1" x14ac:dyDescent="0.2">
      <c r="B32" s="369" t="s">
        <v>2059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9965000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O37" sqref="O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556</v>
      </c>
      <c r="B2" s="2122"/>
      <c r="C2" s="2122"/>
      <c r="D2" s="2122"/>
      <c r="E2" s="2122"/>
      <c r="F2" s="2122"/>
      <c r="G2" s="2122"/>
      <c r="H2" s="2122"/>
      <c r="I2" s="2122"/>
      <c r="J2" s="2122"/>
      <c r="K2" s="2122"/>
      <c r="L2" s="2122"/>
      <c r="M2" s="2122"/>
      <c r="N2" s="2122"/>
      <c r="O2" s="2122"/>
      <c r="P2" s="2122"/>
      <c r="Q2" s="2122"/>
      <c r="R2" s="2122"/>
    </row>
    <row r="3" spans="1:18" ht="12.75" x14ac:dyDescent="0.2">
      <c r="A3" s="2123" t="s">
        <v>1413</v>
      </c>
      <c r="B3" s="2123"/>
      <c r="C3" s="2123"/>
      <c r="D3" s="2123"/>
      <c r="E3" s="2123"/>
      <c r="F3" s="2123"/>
      <c r="G3" s="2123"/>
      <c r="H3" s="2123"/>
      <c r="I3" s="2123"/>
      <c r="J3" s="2123"/>
      <c r="K3" s="2123"/>
      <c r="L3" s="2123"/>
      <c r="M3" s="2123"/>
      <c r="N3" s="2123"/>
      <c r="O3" s="2123"/>
      <c r="P3" s="2123"/>
      <c r="Q3" s="2123"/>
      <c r="R3" s="2123"/>
    </row>
    <row r="4" spans="1:18" x14ac:dyDescent="0.2">
      <c r="A4" s="2124" t="s">
        <v>1554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Momence CUSD 1</v>
      </c>
      <c r="E7" s="391"/>
      <c r="G7" s="252"/>
      <c r="H7" s="387"/>
      <c r="I7" s="387"/>
      <c r="J7" s="387"/>
      <c r="K7" s="387"/>
      <c r="L7" s="329"/>
      <c r="M7" s="329"/>
      <c r="N7" s="329"/>
      <c r="O7" s="329"/>
      <c r="P7" s="329"/>
    </row>
    <row r="8" spans="1:18" ht="12.75" x14ac:dyDescent="0.2">
      <c r="A8" s="329"/>
      <c r="B8" s="329"/>
      <c r="C8" s="389" t="s">
        <v>1125</v>
      </c>
      <c r="D8" s="392">
        <f>COVER!A13</f>
        <v>32046001026</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3989793</v>
      </c>
      <c r="I12" s="404"/>
      <c r="J12" s="404"/>
      <c r="K12" s="405">
        <f>TRUNC((H12/H13*100000),5)/100000</f>
        <v>0.32103617829999997</v>
      </c>
      <c r="L12" s="406"/>
      <c r="M12" s="360" t="s">
        <v>1144</v>
      </c>
      <c r="N12" s="360"/>
      <c r="O12" s="407">
        <v>0.35</v>
      </c>
      <c r="P12" s="218"/>
      <c r="Q12" s="218"/>
    </row>
    <row r="13" spans="1:18" s="408" customFormat="1" ht="12.75" x14ac:dyDescent="0.2">
      <c r="A13" s="218"/>
      <c r="B13" s="401"/>
      <c r="C13" s="2120" t="s">
        <v>1324</v>
      </c>
      <c r="D13" s="2121"/>
      <c r="E13" s="218"/>
      <c r="F13" s="409" t="s">
        <v>793</v>
      </c>
      <c r="G13" s="402"/>
      <c r="H13" s="403">
        <f>SUM('Acct Summary 7-8'!C8+'Acct Summary 7-8'!D8+'Acct Summary 7-8'!F8+'Acct Summary 7-8'!I8)+H14</f>
        <v>12427861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-23987</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11065263</v>
      </c>
      <c r="I17" s="404"/>
      <c r="J17" s="416"/>
      <c r="K17" s="405">
        <f>TRUNC((H17/H18*100000),5)/100000</f>
        <v>0.89035941099999993</v>
      </c>
      <c r="L17" s="406"/>
      <c r="M17" s="417" t="s">
        <v>1171</v>
      </c>
      <c r="O17" s="418" t="str">
        <f>IF(AND(O16="2", J20 &gt; 2),"1",IF(AND(O16 = "1", J20 &gt; 2),"2",IF(AND(O16="1", J20 &gt;1),"1","0")))</f>
        <v>0</v>
      </c>
      <c r="P17" s="218"/>
    </row>
    <row r="18" spans="1:18" s="408" customFormat="1" ht="11.25" x14ac:dyDescent="0.2">
      <c r="A18" s="218"/>
      <c r="B18" s="401"/>
      <c r="C18" s="2120" t="s">
        <v>1317</v>
      </c>
      <c r="D18" s="2121"/>
      <c r="E18" s="218"/>
      <c r="F18" s="419" t="s">
        <v>794</v>
      </c>
      <c r="G18" s="402"/>
      <c r="H18" s="403">
        <f>SUM('Acct Summary 7-8'!C8+'Acct Summary 7-8'!D8+'Acct Summary 7-8'!F8+'Acct Summary 7-8'!I8)+H19</f>
        <v>12427861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-23987</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7" t="s">
        <v>1412</v>
      </c>
      <c r="D24" s="2117"/>
      <c r="E24" s="218"/>
      <c r="F24" s="218" t="s">
        <v>445</v>
      </c>
      <c r="G24" s="402"/>
      <c r="H24" s="403">
        <f>SUM('Assets-Liab 5-6'!C4+'Assets-Liab 5-6'!D4+'Assets-Liab 5-6'!F4+'Assets-Liab 5-6'!I4+'Assets-Liab 5-6'!C5+'Assets-Liab 5-6'!D5+'Assets-Liab 5-6'!F5+'Assets-Liab 5-6'!I5)</f>
        <v>3989793</v>
      </c>
      <c r="I24" s="422"/>
      <c r="J24" s="422"/>
      <c r="K24" s="423">
        <f>TRUNC(((H24/H25*100000)/100000),2)</f>
        <v>129.80000000000001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30736.841670000002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3682098.7742699999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9965000</v>
      </c>
      <c r="I32" s="420"/>
      <c r="J32" s="420"/>
      <c r="K32" s="423">
        <f>TRUNC(100-((((H32/H33*100))*100)/100),2)</f>
        <v>40.57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16768571.268000001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3" activePane="bottomLeft" state="frozen"/>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7" t="s">
        <v>973</v>
      </c>
      <c r="B3" s="2128"/>
      <c r="C3" s="1559"/>
      <c r="D3" s="1560"/>
      <c r="E3" s="1560"/>
      <c r="F3" s="1560"/>
      <c r="G3" s="1560"/>
      <c r="H3" s="1560"/>
      <c r="I3" s="1560"/>
      <c r="J3" s="1560"/>
      <c r="K3" s="1560"/>
      <c r="L3" s="1560"/>
      <c r="M3" s="1561"/>
      <c r="N3" s="1562"/>
    </row>
    <row r="4" spans="1:14" ht="13.5" customHeight="1" x14ac:dyDescent="0.2">
      <c r="A4" s="463" t="s">
        <v>1651</v>
      </c>
      <c r="B4" s="464"/>
      <c r="C4" s="465">
        <v>725350</v>
      </c>
      <c r="D4" s="466">
        <v>5845</v>
      </c>
      <c r="E4" s="466">
        <v>778</v>
      </c>
      <c r="F4" s="466">
        <v>1385</v>
      </c>
      <c r="G4" s="466">
        <v>45961</v>
      </c>
      <c r="H4" s="466"/>
      <c r="I4" s="466">
        <v>43227</v>
      </c>
      <c r="J4" s="467"/>
      <c r="K4" s="466">
        <v>144015</v>
      </c>
      <c r="L4" s="466">
        <v>132797</v>
      </c>
      <c r="M4" s="468"/>
      <c r="N4" s="469"/>
    </row>
    <row r="5" spans="1:14" x14ac:dyDescent="0.2">
      <c r="A5" s="463" t="s">
        <v>992</v>
      </c>
      <c r="B5" s="470">
        <v>120</v>
      </c>
      <c r="C5" s="465">
        <v>2317702</v>
      </c>
      <c r="D5" s="466">
        <v>386806</v>
      </c>
      <c r="E5" s="466">
        <v>563</v>
      </c>
      <c r="F5" s="466">
        <v>50662</v>
      </c>
      <c r="G5" s="466"/>
      <c r="H5" s="466"/>
      <c r="I5" s="466">
        <v>458816</v>
      </c>
      <c r="J5" s="467"/>
      <c r="K5" s="471">
        <v>696327</v>
      </c>
      <c r="L5" s="472">
        <v>264565</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3043052</v>
      </c>
      <c r="D13" s="1737">
        <f t="shared" ref="D13:L13" si="0">SUM(D4:D12)</f>
        <v>392651</v>
      </c>
      <c r="E13" s="1737">
        <f t="shared" si="0"/>
        <v>1341</v>
      </c>
      <c r="F13" s="1737">
        <f t="shared" si="0"/>
        <v>52047</v>
      </c>
      <c r="G13" s="1737">
        <f t="shared" si="0"/>
        <v>45961</v>
      </c>
      <c r="H13" s="1737">
        <f t="shared" si="0"/>
        <v>0</v>
      </c>
      <c r="I13" s="1737">
        <f t="shared" si="0"/>
        <v>502043</v>
      </c>
      <c r="J13" s="1737">
        <f t="shared" si="0"/>
        <v>0</v>
      </c>
      <c r="K13" s="1737">
        <f t="shared" si="0"/>
        <v>840342</v>
      </c>
      <c r="L13" s="1737">
        <f t="shared" si="0"/>
        <v>397362</v>
      </c>
      <c r="M13" s="468"/>
      <c r="N13" s="469"/>
    </row>
    <row r="14" spans="1:14" ht="18" customHeight="1" thickTop="1" x14ac:dyDescent="0.2">
      <c r="A14" s="2129" t="s">
        <v>147</v>
      </c>
      <c r="B14" s="213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582055</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16527473</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4453497</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26'!F13+'Cap Outlay Deprec 26'!F14</f>
        <v>5427734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1341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9963659</v>
      </c>
    </row>
    <row r="23" spans="1:14" ht="13.5" customHeight="1" thickBot="1" x14ac:dyDescent="0.25">
      <c r="A23" s="1736" t="s">
        <v>643</v>
      </c>
      <c r="B23" s="1741"/>
      <c r="C23" s="468"/>
      <c r="D23" s="468"/>
      <c r="E23" s="468"/>
      <c r="F23" s="468"/>
      <c r="G23" s="468"/>
      <c r="H23" s="468"/>
      <c r="I23" s="468"/>
      <c r="J23" s="468"/>
      <c r="K23" s="468"/>
      <c r="L23" s="468"/>
      <c r="M23" s="1688">
        <f>SUM(M15:M22)</f>
        <v>26990759</v>
      </c>
      <c r="N23" s="1688">
        <f>SUM(N21:N22)</f>
        <v>9965000</v>
      </c>
    </row>
    <row r="24" spans="1:14" ht="18" customHeight="1" thickTop="1" x14ac:dyDescent="0.2">
      <c r="A24" s="2131" t="s">
        <v>598</v>
      </c>
      <c r="B24" s="213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397362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397362</v>
      </c>
      <c r="M34" s="468"/>
      <c r="N34" s="480"/>
    </row>
    <row r="35" spans="1:14" ht="18" customHeight="1" thickTop="1" x14ac:dyDescent="0.2">
      <c r="A35" s="2133" t="s">
        <v>529</v>
      </c>
      <c r="B35" s="213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9965000</v>
      </c>
    </row>
    <row r="37" spans="1:14" ht="13.5" thickBot="1" x14ac:dyDescent="0.25">
      <c r="A37" s="1736" t="s">
        <v>653</v>
      </c>
      <c r="B37" s="1741"/>
      <c r="C37" s="477"/>
      <c r="D37" s="477"/>
      <c r="E37" s="477"/>
      <c r="F37" s="477"/>
      <c r="G37" s="477"/>
      <c r="H37" s="477"/>
      <c r="I37" s="477"/>
      <c r="J37" s="477"/>
      <c r="K37" s="477"/>
      <c r="L37" s="480"/>
      <c r="M37" s="468"/>
      <c r="N37" s="1688">
        <f>SUM(N36:N36)</f>
        <v>9965000</v>
      </c>
    </row>
    <row r="38" spans="1:14" s="329" customFormat="1" ht="13.5" customHeight="1" thickTop="1" x14ac:dyDescent="0.2">
      <c r="A38" s="496" t="s">
        <v>420</v>
      </c>
      <c r="B38" s="483">
        <v>714</v>
      </c>
      <c r="C38" s="466">
        <v>48164</v>
      </c>
      <c r="D38" s="466"/>
      <c r="E38" s="466"/>
      <c r="F38" s="466"/>
      <c r="G38" s="466"/>
      <c r="H38" s="466"/>
      <c r="I38" s="466"/>
      <c r="J38" s="467"/>
      <c r="K38" s="466"/>
      <c r="L38" s="481"/>
      <c r="M38" s="497"/>
      <c r="N38" s="497"/>
    </row>
    <row r="39" spans="1:14" s="329" customFormat="1" ht="13.5" customHeight="1" x14ac:dyDescent="0.2">
      <c r="A39" s="496" t="s">
        <v>342</v>
      </c>
      <c r="B39" s="483">
        <v>730</v>
      </c>
      <c r="C39" s="466">
        <v>2994888</v>
      </c>
      <c r="D39" s="466">
        <v>392651</v>
      </c>
      <c r="E39" s="466">
        <v>1341</v>
      </c>
      <c r="F39" s="466">
        <v>52047</v>
      </c>
      <c r="G39" s="466">
        <v>45961</v>
      </c>
      <c r="H39" s="466"/>
      <c r="I39" s="466">
        <v>502043</v>
      </c>
      <c r="J39" s="467"/>
      <c r="K39" s="466">
        <v>840342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26990759</v>
      </c>
      <c r="N40" s="497"/>
    </row>
    <row r="41" spans="1:14" ht="13.5" customHeight="1" thickBot="1" x14ac:dyDescent="0.25">
      <c r="A41" s="1736" t="s">
        <v>655</v>
      </c>
      <c r="B41" s="1706"/>
      <c r="C41" s="1688">
        <f>(SUM(C34,C37,C38,C39))</f>
        <v>3043052</v>
      </c>
      <c r="D41" s="1688">
        <f t="shared" ref="D41:L41" si="2">SUM(D34,D37,D38:D39)</f>
        <v>392651</v>
      </c>
      <c r="E41" s="1688">
        <f t="shared" si="2"/>
        <v>1341</v>
      </c>
      <c r="F41" s="1688">
        <f t="shared" si="2"/>
        <v>52047</v>
      </c>
      <c r="G41" s="1688">
        <f t="shared" si="2"/>
        <v>45961</v>
      </c>
      <c r="H41" s="1688">
        <f t="shared" si="2"/>
        <v>0</v>
      </c>
      <c r="I41" s="1688">
        <f t="shared" si="2"/>
        <v>502043</v>
      </c>
      <c r="J41" s="1688">
        <f t="shared" si="2"/>
        <v>0</v>
      </c>
      <c r="K41" s="1688">
        <f t="shared" si="2"/>
        <v>840342</v>
      </c>
      <c r="L41" s="1688">
        <f t="shared" si="2"/>
        <v>397362</v>
      </c>
      <c r="M41" s="1688">
        <f>SUM(M40)</f>
        <v>26990759</v>
      </c>
      <c r="N41" s="1688">
        <f>SUM(N37)</f>
        <v>9965000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24" activePane="bottomLeft" state="frozen"/>
      <selection pane="bottomLeft" activeCell="C16" sqref="C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5" t="s">
        <v>1175</v>
      </c>
      <c r="B3" s="2156"/>
      <c r="C3" s="1573"/>
      <c r="D3" s="1574"/>
      <c r="E3" s="1574"/>
      <c r="F3" s="1574"/>
      <c r="G3" s="1574"/>
      <c r="H3" s="1574"/>
      <c r="I3" s="1574"/>
      <c r="J3" s="1574"/>
      <c r="K3" s="1575"/>
      <c r="L3" s="506"/>
    </row>
    <row r="4" spans="1:13" ht="15.75" customHeight="1" x14ac:dyDescent="0.2">
      <c r="A4" s="1928" t="s">
        <v>1499</v>
      </c>
      <c r="B4" s="1929">
        <v>1000</v>
      </c>
      <c r="C4" s="1742">
        <f>'Revenues 9-14'!C109</f>
        <v>3850179</v>
      </c>
      <c r="D4" s="1742">
        <f>'Revenues 9-14'!D109</f>
        <v>540796</v>
      </c>
      <c r="E4" s="1742">
        <f>'Revenues 9-14'!E109</f>
        <v>1273467</v>
      </c>
      <c r="F4" s="1742">
        <f>'Revenues 9-14'!F109</f>
        <v>343371</v>
      </c>
      <c r="G4" s="1742">
        <f>'Revenues 9-14'!G109</f>
        <v>317058</v>
      </c>
      <c r="H4" s="1742">
        <f>'Revenues 9-14'!H109</f>
        <v>0</v>
      </c>
      <c r="I4" s="1742">
        <f>'Revenues 9-14'!I109</f>
        <v>63400</v>
      </c>
      <c r="J4" s="1742">
        <f>'Revenues 9-14'!J109</f>
        <v>72979</v>
      </c>
      <c r="K4" s="1742">
        <f>'Revenues 9-14'!K109</f>
        <v>68083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5830080</v>
      </c>
      <c r="D6" s="1743">
        <f>'Revenues 9-14'!D170</f>
        <v>0</v>
      </c>
      <c r="E6" s="1743">
        <f>'Revenues 9-14'!E170</f>
        <v>0</v>
      </c>
      <c r="F6" s="1743">
        <f>'Revenues 9-14'!F170</f>
        <v>504002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1309632</v>
      </c>
      <c r="D7" s="1743">
        <f>'Revenues 9-14'!D267</f>
        <v>0</v>
      </c>
      <c r="E7" s="1743">
        <f>'Revenues 9-14'!E267</f>
        <v>0</v>
      </c>
      <c r="F7" s="1743">
        <f>'Revenues 9-14'!F267</f>
        <v>10388</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10989891</v>
      </c>
      <c r="D8" s="1688">
        <f t="shared" ref="D8:K8" si="0">SUM(D4:D7)</f>
        <v>540796</v>
      </c>
      <c r="E8" s="1688">
        <f t="shared" si="0"/>
        <v>1273467</v>
      </c>
      <c r="F8" s="1688">
        <f t="shared" si="0"/>
        <v>857761</v>
      </c>
      <c r="G8" s="1688">
        <f t="shared" si="0"/>
        <v>317058</v>
      </c>
      <c r="H8" s="1688">
        <f t="shared" si="0"/>
        <v>0</v>
      </c>
      <c r="I8" s="1688">
        <f t="shared" si="0"/>
        <v>63400</v>
      </c>
      <c r="J8" s="1688">
        <f t="shared" si="0"/>
        <v>72979</v>
      </c>
      <c r="K8" s="1688">
        <f t="shared" si="0"/>
        <v>68083</v>
      </c>
      <c r="L8" s="347"/>
    </row>
    <row r="9" spans="1:13" ht="15.75" thickTop="1" x14ac:dyDescent="0.2">
      <c r="A9" s="514" t="s">
        <v>1653</v>
      </c>
      <c r="B9" s="515">
        <v>3998</v>
      </c>
      <c r="C9" s="481">
        <v>3293364</v>
      </c>
      <c r="D9" s="516"/>
      <c r="E9" s="481"/>
      <c r="F9" s="481"/>
      <c r="G9" s="517"/>
      <c r="H9" s="481"/>
      <c r="I9" s="509" t="s">
        <v>1169</v>
      </c>
      <c r="J9" s="478"/>
      <c r="K9" s="481"/>
      <c r="L9" s="347"/>
    </row>
    <row r="10" spans="1:13" s="519" customFormat="1" ht="13.5" thickBot="1" x14ac:dyDescent="0.25">
      <c r="A10" s="1736" t="s">
        <v>1173</v>
      </c>
      <c r="B10" s="1709"/>
      <c r="C10" s="1688">
        <f>SUM(C8:C9)</f>
        <v>14283255</v>
      </c>
      <c r="D10" s="1688">
        <f t="shared" ref="D10:K10" si="1">SUM(D8:D9)</f>
        <v>540796</v>
      </c>
      <c r="E10" s="1688">
        <f t="shared" si="1"/>
        <v>1273467</v>
      </c>
      <c r="F10" s="1688">
        <f t="shared" si="1"/>
        <v>857761</v>
      </c>
      <c r="G10" s="1688">
        <f t="shared" si="1"/>
        <v>317058</v>
      </c>
      <c r="H10" s="1688">
        <f t="shared" si="1"/>
        <v>0</v>
      </c>
      <c r="I10" s="1688">
        <f t="shared" si="1"/>
        <v>63400</v>
      </c>
      <c r="J10" s="1688">
        <f t="shared" si="1"/>
        <v>72979</v>
      </c>
      <c r="K10" s="1688">
        <f t="shared" si="1"/>
        <v>68083</v>
      </c>
      <c r="L10" s="518"/>
    </row>
    <row r="11" spans="1:13" s="519" customFormat="1" ht="16.7" customHeight="1" thickTop="1" x14ac:dyDescent="0.2">
      <c r="A11" s="2129" t="s">
        <v>1176</v>
      </c>
      <c r="B11" s="2130"/>
      <c r="C11" s="1570"/>
      <c r="D11" s="1571"/>
      <c r="E11" s="1571"/>
      <c r="F11" s="1571"/>
      <c r="G11" s="1571"/>
      <c r="H11" s="1571"/>
      <c r="I11" s="1571"/>
      <c r="J11" s="1571"/>
      <c r="K11" s="1572"/>
      <c r="L11" s="518"/>
    </row>
    <row r="12" spans="1:13" ht="15.75" customHeight="1" x14ac:dyDescent="0.2">
      <c r="A12" s="1576" t="s">
        <v>456</v>
      </c>
      <c r="B12" s="1578">
        <v>1000</v>
      </c>
      <c r="C12" s="1742">
        <f>'Expenditures 15-22'!K33</f>
        <v>5387249</v>
      </c>
      <c r="D12" s="520" t="s">
        <v>1169</v>
      </c>
      <c r="E12" s="468" t="s">
        <v>1169</v>
      </c>
      <c r="F12" s="468" t="s">
        <v>1169</v>
      </c>
      <c r="G12" s="1742">
        <f>'Expenditures 15-22'!K229</f>
        <v>128981</v>
      </c>
      <c r="H12" s="521"/>
      <c r="I12" s="468" t="s">
        <v>1169</v>
      </c>
      <c r="J12" s="468" t="s">
        <v>1169</v>
      </c>
      <c r="K12" s="521" t="s">
        <v>1169</v>
      </c>
      <c r="L12" s="347"/>
    </row>
    <row r="13" spans="1:13" ht="15.75" customHeight="1" x14ac:dyDescent="0.2">
      <c r="A13" s="1576" t="s">
        <v>457</v>
      </c>
      <c r="B13" s="1578">
        <v>2000</v>
      </c>
      <c r="C13" s="1743">
        <f>'Expenditures 15-22'!K74</f>
        <v>3293262</v>
      </c>
      <c r="D13" s="1743">
        <f>'Expenditures 15-22'!K129</f>
        <v>540481</v>
      </c>
      <c r="E13" s="469" t="s">
        <v>1169</v>
      </c>
      <c r="F13" s="1743">
        <f>'Expenditures 15-22'!K184</f>
        <v>976629</v>
      </c>
      <c r="G13" s="1743">
        <f>'Expenditures 15-22'!K279</f>
        <v>149601</v>
      </c>
      <c r="H13" s="1743">
        <f>'Expenditures 15-22'!K303</f>
        <v>0</v>
      </c>
      <c r="I13" s="468" t="s">
        <v>1169</v>
      </c>
      <c r="J13" s="1743">
        <f>'Expenditures 15-22'!K330</f>
        <v>72979</v>
      </c>
      <c r="K13" s="1747">
        <f>'Expenditures 15-22'!K352</f>
        <v>4623</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867642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1300587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9548153</v>
      </c>
      <c r="D17" s="1688">
        <f t="shared" si="2"/>
        <v>540481</v>
      </c>
      <c r="E17" s="1688">
        <f t="shared" si="2"/>
        <v>1300587</v>
      </c>
      <c r="F17" s="1688">
        <f t="shared" si="2"/>
        <v>976629</v>
      </c>
      <c r="G17" s="1688">
        <f t="shared" si="2"/>
        <v>278582</v>
      </c>
      <c r="H17" s="1688">
        <f t="shared" si="2"/>
        <v>0</v>
      </c>
      <c r="I17" s="468"/>
      <c r="J17" s="1688">
        <f>SUM(J12:J16)</f>
        <v>72979</v>
      </c>
      <c r="K17" s="1688">
        <f>SUM(K12:K16)</f>
        <v>4623</v>
      </c>
      <c r="L17" s="347"/>
    </row>
    <row r="18" spans="1:12" ht="15" customHeight="1" thickTop="1" x14ac:dyDescent="0.2">
      <c r="A18" s="1744" t="s">
        <v>1654</v>
      </c>
      <c r="B18" s="1745">
        <v>4180</v>
      </c>
      <c r="C18" s="1742">
        <f t="shared" ref="C18:H18" si="3">C9</f>
        <v>3293364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12841517</v>
      </c>
      <c r="D19" s="1688">
        <f t="shared" si="4"/>
        <v>540481</v>
      </c>
      <c r="E19" s="1688">
        <f t="shared" si="4"/>
        <v>1300587</v>
      </c>
      <c r="F19" s="1688">
        <f t="shared" si="4"/>
        <v>976629</v>
      </c>
      <c r="G19" s="1688">
        <f t="shared" si="4"/>
        <v>278582</v>
      </c>
      <c r="H19" s="1688">
        <f t="shared" si="4"/>
        <v>0</v>
      </c>
      <c r="I19" s="468"/>
      <c r="J19" s="1688">
        <f>SUM(J17:J18)</f>
        <v>72979</v>
      </c>
      <c r="K19" s="1688">
        <f>SUM(K17:K18)</f>
        <v>4623</v>
      </c>
      <c r="L19" s="347"/>
    </row>
    <row r="20" spans="1:12" ht="16.5" thickTop="1" thickBot="1" x14ac:dyDescent="0.25">
      <c r="A20" s="2145" t="s">
        <v>1655</v>
      </c>
      <c r="B20" s="2146"/>
      <c r="C20" s="1746">
        <f>C8-C17</f>
        <v>1441738</v>
      </c>
      <c r="D20" s="1746">
        <f t="shared" ref="D20:K20" si="5">D8-D17</f>
        <v>315</v>
      </c>
      <c r="E20" s="1746">
        <f t="shared" si="5"/>
        <v>-27120</v>
      </c>
      <c r="F20" s="1746">
        <f t="shared" si="5"/>
        <v>-118868</v>
      </c>
      <c r="G20" s="1746">
        <f t="shared" si="5"/>
        <v>38476</v>
      </c>
      <c r="H20" s="1746">
        <f t="shared" si="5"/>
        <v>0</v>
      </c>
      <c r="I20" s="1746">
        <f t="shared" si="5"/>
        <v>63400</v>
      </c>
      <c r="J20" s="1746">
        <f t="shared" si="5"/>
        <v>0</v>
      </c>
      <c r="K20" s="1746">
        <f t="shared" si="5"/>
        <v>63460</v>
      </c>
      <c r="L20" s="347"/>
    </row>
    <row r="21" spans="1:12" ht="16.7" customHeight="1" thickTop="1" x14ac:dyDescent="0.2">
      <c r="A21" s="2157" t="s">
        <v>595</v>
      </c>
      <c r="B21" s="2158"/>
      <c r="C21" s="1570"/>
      <c r="D21" s="1571"/>
      <c r="E21" s="1571"/>
      <c r="F21" s="1571"/>
      <c r="G21" s="1571"/>
      <c r="H21" s="1571"/>
      <c r="I21" s="1571"/>
      <c r="J21" s="1571"/>
      <c r="K21" s="1572"/>
      <c r="L21" s="524"/>
    </row>
    <row r="22" spans="1:12" ht="15.75" customHeight="1" collapsed="1" x14ac:dyDescent="0.2">
      <c r="A22" s="2153" t="s">
        <v>596</v>
      </c>
      <c r="B22" s="2154"/>
      <c r="C22" s="477"/>
      <c r="D22" s="477"/>
      <c r="E22" s="477"/>
      <c r="F22" s="477"/>
      <c r="G22" s="477"/>
      <c r="H22" s="477"/>
      <c r="I22" s="477"/>
      <c r="J22" s="477"/>
      <c r="K22" s="477"/>
      <c r="L22" s="347"/>
    </row>
    <row r="23" spans="1:12" s="485" customFormat="1" ht="15.75" customHeight="1" x14ac:dyDescent="0.2">
      <c r="A23" s="2149" t="s">
        <v>293</v>
      </c>
      <c r="B23" s="215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51" t="s">
        <v>981</v>
      </c>
      <c r="B32" s="215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23987</v>
      </c>
      <c r="F43" s="467"/>
      <c r="G43" s="467"/>
      <c r="H43" s="467"/>
      <c r="I43" s="467"/>
      <c r="J43" s="467"/>
      <c r="K43" s="467"/>
      <c r="L43" s="524"/>
    </row>
    <row r="44" spans="1:12" s="485" customFormat="1" ht="13.5" customHeight="1" thickBot="1" x14ac:dyDescent="0.25">
      <c r="A44" s="2159" t="s">
        <v>374</v>
      </c>
      <c r="B44" s="2160"/>
      <c r="C44" s="1703">
        <f>SUM(C24:C43)</f>
        <v>0</v>
      </c>
      <c r="D44" s="1703">
        <f t="shared" ref="D44:K44" si="6">SUM(D24:D43)</f>
        <v>0</v>
      </c>
      <c r="E44" s="1703">
        <f t="shared" si="6"/>
        <v>23987</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53" t="s">
        <v>108</v>
      </c>
      <c r="B45" s="2154"/>
      <c r="C45" s="528"/>
      <c r="D45" s="528"/>
      <c r="E45" s="528"/>
      <c r="F45" s="528"/>
      <c r="G45" s="528"/>
      <c r="H45" s="528"/>
      <c r="I45" s="528"/>
      <c r="J45" s="528"/>
      <c r="K45" s="528"/>
      <c r="L45" s="347"/>
    </row>
    <row r="46" spans="1:12" s="485" customFormat="1" ht="15.75" customHeight="1" x14ac:dyDescent="0.2">
      <c r="A46" s="2161" t="s">
        <v>109</v>
      </c>
      <c r="B46" s="216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v>23987</v>
      </c>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35" t="s">
        <v>440</v>
      </c>
      <c r="B76" s="2136"/>
      <c r="C76" s="1703">
        <f t="shared" ref="C76:K76" si="7">SUM(C47:C75)</f>
        <v>23987</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7" t="s">
        <v>1177</v>
      </c>
      <c r="B77" s="2138"/>
      <c r="C77" s="1703">
        <f t="shared" ref="C77:K77" si="8">C44-C76</f>
        <v>-23987</v>
      </c>
      <c r="D77" s="1703">
        <f t="shared" si="8"/>
        <v>0</v>
      </c>
      <c r="E77" s="1703">
        <f t="shared" si="8"/>
        <v>23987</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41" t="s">
        <v>597</v>
      </c>
      <c r="B78" s="2142"/>
      <c r="C78" s="1702">
        <f t="shared" ref="C78:K78" si="9">C20+C77</f>
        <v>1417751</v>
      </c>
      <c r="D78" s="1702">
        <f t="shared" si="9"/>
        <v>315</v>
      </c>
      <c r="E78" s="1702">
        <f t="shared" si="9"/>
        <v>-3133</v>
      </c>
      <c r="F78" s="1702">
        <f t="shared" si="9"/>
        <v>-118868</v>
      </c>
      <c r="G78" s="1702">
        <f t="shared" si="9"/>
        <v>38476</v>
      </c>
      <c r="H78" s="1702">
        <f t="shared" si="9"/>
        <v>0</v>
      </c>
      <c r="I78" s="1702">
        <f t="shared" si="9"/>
        <v>63400</v>
      </c>
      <c r="J78" s="1702">
        <f t="shared" si="9"/>
        <v>0</v>
      </c>
      <c r="K78" s="1702">
        <f t="shared" si="9"/>
        <v>63460</v>
      </c>
      <c r="L78" s="533"/>
    </row>
    <row r="79" spans="1:12" ht="13.5" thickTop="1" x14ac:dyDescent="0.2">
      <c r="A79" s="1494" t="s">
        <v>1944</v>
      </c>
      <c r="B79" s="534"/>
      <c r="C79" s="478">
        <v>1625301</v>
      </c>
      <c r="D79" s="535">
        <v>392336</v>
      </c>
      <c r="E79" s="535">
        <v>4474</v>
      </c>
      <c r="F79" s="535">
        <v>170915</v>
      </c>
      <c r="G79" s="535">
        <v>7485</v>
      </c>
      <c r="H79" s="535"/>
      <c r="I79" s="535">
        <v>438643</v>
      </c>
      <c r="J79" s="535"/>
      <c r="K79" s="535">
        <v>776882</v>
      </c>
      <c r="L79" s="347"/>
    </row>
    <row r="80" spans="1:12" x14ac:dyDescent="0.2">
      <c r="A80" s="2147" t="s">
        <v>1792</v>
      </c>
      <c r="B80" s="2148"/>
      <c r="C80" s="467"/>
      <c r="D80" s="467"/>
      <c r="E80" s="467"/>
      <c r="F80" s="467"/>
      <c r="G80" s="467"/>
      <c r="H80" s="467"/>
      <c r="I80" s="467"/>
      <c r="J80" s="467"/>
      <c r="K80" s="467"/>
      <c r="L80" s="347"/>
    </row>
    <row r="81" spans="1:12" ht="13.5" thickBot="1" x14ac:dyDescent="0.25">
      <c r="A81" s="2139" t="s">
        <v>1945</v>
      </c>
      <c r="B81" s="2140"/>
      <c r="C81" s="1688">
        <f>(SUM(C78:C80))</f>
        <v>3043052</v>
      </c>
      <c r="D81" s="1688">
        <f>SUM(D78:D80)</f>
        <v>392651</v>
      </c>
      <c r="E81" s="1688">
        <f t="shared" ref="E81:K81" si="10">SUM(E78:E80)</f>
        <v>1341</v>
      </c>
      <c r="F81" s="1688">
        <f t="shared" si="10"/>
        <v>52047</v>
      </c>
      <c r="G81" s="1688">
        <f t="shared" si="10"/>
        <v>45961</v>
      </c>
      <c r="H81" s="1688">
        <f t="shared" si="10"/>
        <v>0</v>
      </c>
      <c r="I81" s="1688">
        <f t="shared" si="10"/>
        <v>502043</v>
      </c>
      <c r="J81" s="1688">
        <f t="shared" si="10"/>
        <v>0</v>
      </c>
      <c r="K81" s="1688">
        <f t="shared" si="10"/>
        <v>840342</v>
      </c>
      <c r="L81" s="347"/>
    </row>
    <row r="82" spans="1:12" ht="0.75" customHeight="1" thickTop="1" thickBot="1" x14ac:dyDescent="0.25">
      <c r="A82" s="536" t="s">
        <v>343</v>
      </c>
      <c r="B82" s="537"/>
      <c r="C82" s="538">
        <f>(C81-C79)</f>
        <v>1417751</v>
      </c>
      <c r="D82" s="538">
        <f t="shared" ref="D82:K82" si="11">(D81-D79)</f>
        <v>315</v>
      </c>
      <c r="E82" s="538">
        <f t="shared" si="11"/>
        <v>-3133</v>
      </c>
      <c r="F82" s="538">
        <f t="shared" si="11"/>
        <v>-118868</v>
      </c>
      <c r="G82" s="538">
        <f t="shared" si="11"/>
        <v>38476</v>
      </c>
      <c r="H82" s="538">
        <f t="shared" si="11"/>
        <v>0</v>
      </c>
      <c r="I82" s="538">
        <f t="shared" si="11"/>
        <v>63400</v>
      </c>
      <c r="J82" s="538">
        <f t="shared" si="11"/>
        <v>0</v>
      </c>
      <c r="K82" s="538">
        <f t="shared" si="11"/>
        <v>63460</v>
      </c>
    </row>
    <row r="83" spans="1:12" ht="14.25" hidden="1" thickTop="1" thickBot="1" x14ac:dyDescent="0.25">
      <c r="A83" s="539" t="s">
        <v>344</v>
      </c>
      <c r="B83" s="464"/>
      <c r="C83" s="540">
        <f>C82/C81</f>
        <v>0.46589772373262106</v>
      </c>
      <c r="D83" s="540">
        <f t="shared" ref="D83:K83" si="12">D82/D81</f>
        <v>8.0223913857344054E-4</v>
      </c>
      <c r="E83" s="540">
        <f t="shared" si="12"/>
        <v>-2.3363161819537659</v>
      </c>
      <c r="F83" s="540">
        <f t="shared" si="12"/>
        <v>-2.283858819912771</v>
      </c>
      <c r="G83" s="540">
        <f t="shared" si="12"/>
        <v>0.83714453558451729</v>
      </c>
      <c r="H83" s="540" t="e">
        <f t="shared" si="12"/>
        <v>#DIV/0!</v>
      </c>
      <c r="I83" s="540">
        <f t="shared" si="12"/>
        <v>0.12628400356144792</v>
      </c>
      <c r="J83" s="540" t="e">
        <f t="shared" si="12"/>
        <v>#DIV/0!</v>
      </c>
      <c r="K83" s="540">
        <f t="shared" si="12"/>
        <v>7.5516872892227208E-2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93" activePane="bottomLeft" state="frozen"/>
      <selection pane="bottomLeft" activeCell="C101" sqref="C10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3" t="s">
        <v>1799</v>
      </c>
      <c r="B1" s="452"/>
      <c r="C1" s="453" t="s">
        <v>425</v>
      </c>
      <c r="D1" s="453" t="s">
        <v>426</v>
      </c>
      <c r="E1" s="453" t="s">
        <v>427</v>
      </c>
      <c r="F1" s="453" t="s">
        <v>428</v>
      </c>
      <c r="G1" s="453" t="s">
        <v>429</v>
      </c>
      <c r="H1" s="453" t="s">
        <v>430</v>
      </c>
      <c r="I1" s="453" t="s">
        <v>431</v>
      </c>
      <c r="J1" s="453" t="s">
        <v>432</v>
      </c>
      <c r="K1" s="453" t="s">
        <v>756</v>
      </c>
    </row>
    <row r="2" spans="1:12" ht="36" x14ac:dyDescent="0.2">
      <c r="A2" s="214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3254527</v>
      </c>
      <c r="D5" s="481">
        <v>527367</v>
      </c>
      <c r="E5" s="466">
        <v>1261857</v>
      </c>
      <c r="F5" s="548">
        <v>334618</v>
      </c>
      <c r="G5" s="466">
        <v>113586</v>
      </c>
      <c r="H5" s="466"/>
      <c r="I5" s="466">
        <v>49026</v>
      </c>
      <c r="J5" s="467">
        <v>72906</v>
      </c>
      <c r="K5" s="466">
        <v>64678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93653</v>
      </c>
      <c r="D7" s="466"/>
      <c r="E7" s="468"/>
      <c r="F7" s="467"/>
      <c r="G7" s="467"/>
      <c r="H7" s="467"/>
      <c r="I7" s="468"/>
      <c r="J7" s="468"/>
      <c r="K7" s="468"/>
    </row>
    <row r="8" spans="1:12" x14ac:dyDescent="0.2">
      <c r="A8" s="463" t="s">
        <v>413</v>
      </c>
      <c r="B8" s="470">
        <v>1150</v>
      </c>
      <c r="C8" s="475"/>
      <c r="D8" s="475"/>
      <c r="E8" s="477"/>
      <c r="F8" s="477"/>
      <c r="G8" s="481">
        <v>102109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3348180</v>
      </c>
      <c r="D12" s="1707">
        <f t="shared" si="0"/>
        <v>527367</v>
      </c>
      <c r="E12" s="1707">
        <f t="shared" si="0"/>
        <v>1261857</v>
      </c>
      <c r="F12" s="1707">
        <f t="shared" si="0"/>
        <v>334618</v>
      </c>
      <c r="G12" s="1707">
        <f t="shared" si="0"/>
        <v>215695</v>
      </c>
      <c r="H12" s="1707">
        <f t="shared" si="0"/>
        <v>0</v>
      </c>
      <c r="I12" s="1707">
        <f t="shared" si="0"/>
        <v>49026</v>
      </c>
      <c r="J12" s="1707">
        <f t="shared" si="0"/>
        <v>72906</v>
      </c>
      <c r="K12" s="1688">
        <f t="shared" si="0"/>
        <v>64678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102331</v>
      </c>
      <c r="D16" s="466"/>
      <c r="E16" s="466"/>
      <c r="F16" s="466"/>
      <c r="G16" s="466">
        <v>101146</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102331</v>
      </c>
      <c r="D18" s="1710">
        <f t="shared" ref="D18:K18" si="1">SUM(D14:D17)</f>
        <v>0</v>
      </c>
      <c r="E18" s="1710">
        <f t="shared" si="1"/>
        <v>0</v>
      </c>
      <c r="F18" s="1710">
        <f t="shared" si="1"/>
        <v>0</v>
      </c>
      <c r="G18" s="1710">
        <f t="shared" si="1"/>
        <v>101146</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48281</v>
      </c>
      <c r="D65" s="466">
        <v>7069</v>
      </c>
      <c r="E65" s="466">
        <v>11610</v>
      </c>
      <c r="F65" s="467">
        <v>1385</v>
      </c>
      <c r="G65" s="466">
        <v>217</v>
      </c>
      <c r="H65" s="466"/>
      <c r="I65" s="466">
        <v>14374</v>
      </c>
      <c r="J65" s="467">
        <v>73</v>
      </c>
      <c r="K65" s="466">
        <v>3405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48281</v>
      </c>
      <c r="D67" s="1688">
        <f t="shared" ref="D67:K67" si="2">SUM(D65:D66)</f>
        <v>7069</v>
      </c>
      <c r="E67" s="1688">
        <f t="shared" si="2"/>
        <v>11610</v>
      </c>
      <c r="F67" s="1688">
        <f t="shared" si="2"/>
        <v>1385</v>
      </c>
      <c r="G67" s="1688">
        <f t="shared" si="2"/>
        <v>217</v>
      </c>
      <c r="H67" s="1688">
        <f t="shared" si="2"/>
        <v>0</v>
      </c>
      <c r="I67" s="1688">
        <f t="shared" si="2"/>
        <v>14374</v>
      </c>
      <c r="J67" s="1688">
        <f t="shared" si="2"/>
        <v>73</v>
      </c>
      <c r="K67" s="1688">
        <f t="shared" si="2"/>
        <v>3405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70308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51872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3042</v>
      </c>
      <c r="D73" s="468"/>
      <c r="E73" s="468"/>
      <c r="F73" s="468"/>
      <c r="G73" s="468"/>
      <c r="H73" s="468"/>
      <c r="I73" s="468"/>
      <c r="J73" s="468"/>
      <c r="K73" s="468"/>
    </row>
    <row r="74" spans="1:11" ht="12.75" customHeight="1" x14ac:dyDescent="0.2">
      <c r="A74" s="463" t="s">
        <v>25</v>
      </c>
      <c r="B74" s="470">
        <v>1690</v>
      </c>
      <c r="C74" s="551">
        <v>172</v>
      </c>
      <c r="D74" s="468"/>
      <c r="E74" s="468"/>
      <c r="F74" s="468"/>
      <c r="G74" s="468"/>
      <c r="H74" s="468"/>
      <c r="I74" s="468"/>
      <c r="J74" s="468"/>
      <c r="K74" s="468"/>
    </row>
    <row r="75" spans="1:11" ht="12.75" customHeight="1" thickBot="1" x14ac:dyDescent="0.25">
      <c r="A75" s="1708" t="s">
        <v>548</v>
      </c>
      <c r="B75" s="1709"/>
      <c r="C75" s="1688">
        <f>SUM(C69:C74)</f>
        <v>125394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15824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113729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129553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7589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7589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50</v>
      </c>
      <c r="D95" s="551">
        <v>4765</v>
      </c>
      <c r="E95" s="521"/>
      <c r="F95" s="521"/>
      <c r="G95" s="521"/>
      <c r="H95" s="521"/>
      <c r="I95" s="521"/>
      <c r="J95" s="521"/>
      <c r="K95" s="521"/>
    </row>
    <row r="96" spans="1:11" ht="12.75" customHeight="1" x14ac:dyDescent="0.2">
      <c r="A96" s="463" t="s">
        <v>391</v>
      </c>
      <c r="B96" s="470">
        <v>1920</v>
      </c>
      <c r="C96" s="551">
        <v>15109</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22557</v>
      </c>
      <c r="D99" s="466"/>
      <c r="E99" s="466"/>
      <c r="F99" s="466">
        <v>6741</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19301</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16937</v>
      </c>
      <c r="D104" s="466">
        <v>1595</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14897</v>
      </c>
      <c r="D107" s="466"/>
      <c r="E107" s="466"/>
      <c r="F107" s="466">
        <v>627</v>
      </c>
      <c r="G107" s="466"/>
      <c r="H107" s="466"/>
      <c r="I107" s="466"/>
      <c r="J107" s="467"/>
      <c r="K107" s="466"/>
    </row>
    <row r="108" spans="1:12" ht="12.75" customHeight="1" thickBot="1" x14ac:dyDescent="0.25">
      <c r="A108" s="1708" t="s">
        <v>487</v>
      </c>
      <c r="B108" s="1712"/>
      <c r="C108" s="1707">
        <f>SUM(C95:C107)</f>
        <v>88851</v>
      </c>
      <c r="D108" s="1707">
        <f t="shared" ref="D108:K108" si="3">SUM(D95:D107)</f>
        <v>6360</v>
      </c>
      <c r="E108" s="1707">
        <f t="shared" si="3"/>
        <v>0</v>
      </c>
      <c r="F108" s="1707">
        <f t="shared" si="3"/>
        <v>7368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3850179</v>
      </c>
      <c r="D109" s="1715">
        <f t="shared" si="4"/>
        <v>540796</v>
      </c>
      <c r="E109" s="1715">
        <f t="shared" si="4"/>
        <v>1273467</v>
      </c>
      <c r="F109" s="1715">
        <f t="shared" si="4"/>
        <v>343371</v>
      </c>
      <c r="G109" s="1715">
        <f t="shared" si="4"/>
        <v>317058</v>
      </c>
      <c r="H109" s="1715">
        <f t="shared" si="4"/>
        <v>0</v>
      </c>
      <c r="I109" s="1715">
        <f t="shared" si="4"/>
        <v>63400</v>
      </c>
      <c r="J109" s="1715">
        <f t="shared" si="4"/>
        <v>72979</v>
      </c>
      <c r="K109" s="1702">
        <f t="shared" si="4"/>
        <v>68083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4934949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4934949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364771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183432</v>
      </c>
      <c r="D128" s="561"/>
      <c r="E128" s="468"/>
      <c r="F128" s="466"/>
      <c r="G128" s="468"/>
      <c r="H128" s="468"/>
      <c r="I128" s="468"/>
      <c r="J128" s="468"/>
      <c r="K128" s="468"/>
    </row>
    <row r="129" spans="1:11" ht="12.75" customHeight="1" x14ac:dyDescent="0.2">
      <c r="A129" s="463" t="s">
        <v>1447</v>
      </c>
      <c r="B129" s="562">
        <v>3130</v>
      </c>
      <c r="C129" s="466">
        <v>4864</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553067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851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851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5668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11643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324707</v>
      </c>
      <c r="G152" s="467"/>
      <c r="H152" s="468"/>
      <c r="I152" s="468"/>
      <c r="J152" s="468"/>
      <c r="K152" s="468"/>
    </row>
    <row r="153" spans="1:11" ht="12.75" customHeight="1" x14ac:dyDescent="0.2">
      <c r="A153" s="463" t="s">
        <v>1057</v>
      </c>
      <c r="B153" s="562">
        <v>3510</v>
      </c>
      <c r="C153" s="551"/>
      <c r="D153" s="466"/>
      <c r="E153" s="561"/>
      <c r="F153" s="466">
        <v>144893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469600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321698</v>
      </c>
      <c r="D159" s="578"/>
      <c r="E159" s="561"/>
      <c r="F159" s="576">
        <v>34402</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2204</v>
      </c>
      <c r="D168" s="580"/>
      <c r="E168" s="580"/>
      <c r="F168" s="580"/>
      <c r="G168" s="581"/>
      <c r="H168" s="582"/>
      <c r="I168" s="581"/>
      <c r="J168" s="581"/>
      <c r="K168" s="582"/>
    </row>
    <row r="169" spans="1:11" ht="12.75" customHeight="1" thickTop="1" thickBot="1" x14ac:dyDescent="0.25">
      <c r="A169" s="2163" t="s">
        <v>398</v>
      </c>
      <c r="B169" s="2164"/>
      <c r="C169" s="1722">
        <f t="shared" ref="C169:K169" si="6">SUM(C132,C141,C145,C146:C150,C155,C156:C167,C168)</f>
        <v>895131</v>
      </c>
      <c r="D169" s="1722">
        <f t="shared" si="6"/>
        <v>0</v>
      </c>
      <c r="E169" s="1722">
        <f t="shared" si="6"/>
        <v>0</v>
      </c>
      <c r="F169" s="1722">
        <f t="shared" si="6"/>
        <v>504002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5830080</v>
      </c>
      <c r="D170" s="1715">
        <f t="shared" si="7"/>
        <v>0</v>
      </c>
      <c r="E170" s="1715">
        <f t="shared" si="7"/>
        <v>0</v>
      </c>
      <c r="F170" s="1715">
        <f t="shared" si="7"/>
        <v>504002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65" t="s">
        <v>1492</v>
      </c>
      <c r="B172" s="216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9" t="s">
        <v>1665</v>
      </c>
      <c r="B175" s="217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73" t="s">
        <v>1664</v>
      </c>
      <c r="B176" s="217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1" t="s">
        <v>785</v>
      </c>
      <c r="B181" s="217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7" t="s">
        <v>1800</v>
      </c>
      <c r="B182" s="216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265448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58545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8046</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332039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424575</v>
      </c>
      <c r="D200" s="466"/>
      <c r="E200" s="468"/>
      <c r="F200" s="466">
        <v>10388</v>
      </c>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424575</v>
      </c>
      <c r="D204" s="1707">
        <f>SUM(D200:D203)</f>
        <v>0</v>
      </c>
      <c r="E204" s="468"/>
      <c r="F204" s="1707">
        <f>SUM(F200:F203)</f>
        <v>10388</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7913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271121</v>
      </c>
      <c r="D213" s="466"/>
      <c r="E213" s="468"/>
      <c r="F213" s="466"/>
      <c r="G213" s="466"/>
      <c r="H213" s="468"/>
      <c r="I213" s="468"/>
      <c r="J213" s="468"/>
      <c r="K213" s="468"/>
    </row>
    <row r="214" spans="1:11" ht="12.75" customHeight="1" x14ac:dyDescent="0.2">
      <c r="A214" s="463" t="s">
        <v>1054</v>
      </c>
      <c r="B214" s="470">
        <v>4625</v>
      </c>
      <c r="C214" s="551">
        <v>181274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460308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16841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25610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14887</v>
      </c>
      <c r="D263" s="576"/>
      <c r="E263" s="468"/>
      <c r="F263" s="576"/>
      <c r="G263" s="576"/>
      <c r="H263" s="468"/>
      <c r="I263" s="468"/>
      <c r="J263" s="468"/>
      <c r="K263" s="468"/>
    </row>
    <row r="264" spans="1:11" ht="12.75" customHeight="1" thickTop="1" thickBot="1" x14ac:dyDescent="0.25">
      <c r="A264" s="463" t="s">
        <v>377</v>
      </c>
      <c r="B264" s="470">
        <v>4992</v>
      </c>
      <c r="C264" s="575">
        <v>35372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1309632</v>
      </c>
      <c r="D266" s="1715">
        <f t="shared" si="10"/>
        <v>0</v>
      </c>
      <c r="E266" s="1715">
        <f t="shared" si="10"/>
        <v>0</v>
      </c>
      <c r="F266" s="1715">
        <f t="shared" si="10"/>
        <v>10388</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1309632</v>
      </c>
      <c r="D267" s="1715">
        <f>SUM(D175,D181,D266)</f>
        <v>0</v>
      </c>
      <c r="E267" s="1715">
        <f>SUM(E175,E266)</f>
        <v>0</v>
      </c>
      <c r="F267" s="1715">
        <f t="shared" ref="F267:K267" si="11">SUM(F175,F181,F266)</f>
        <v>10388</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10989891</v>
      </c>
      <c r="D268" s="1715">
        <f t="shared" si="12"/>
        <v>540796</v>
      </c>
      <c r="E268" s="1715">
        <f t="shared" si="12"/>
        <v>1273467</v>
      </c>
      <c r="F268" s="1715">
        <f t="shared" si="12"/>
        <v>857761</v>
      </c>
      <c r="G268" s="1715">
        <f t="shared" si="12"/>
        <v>317058</v>
      </c>
      <c r="H268" s="1715">
        <f t="shared" si="12"/>
        <v>0</v>
      </c>
      <c r="I268" s="1715">
        <f t="shared" si="12"/>
        <v>63400</v>
      </c>
      <c r="J268" s="1715">
        <f t="shared" si="12"/>
        <v>72979</v>
      </c>
      <c r="K268" s="1702">
        <f t="shared" si="12"/>
        <v>68083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81" activePane="bottomLeft" state="frozen"/>
      <selection pane="bottomLeft" activeCell="C18" sqref="C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1" t="s">
        <v>297</v>
      </c>
      <c r="B3" s="218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2595880</v>
      </c>
      <c r="D5" s="466"/>
      <c r="E5" s="466">
        <v>15188</v>
      </c>
      <c r="F5" s="466">
        <v>50862</v>
      </c>
      <c r="G5" s="466"/>
      <c r="H5" s="466"/>
      <c r="I5" s="467"/>
      <c r="J5" s="467"/>
      <c r="K5" s="1671">
        <f>SUM(C5:J5)</f>
        <v>2661930</v>
      </c>
      <c r="L5" s="466">
        <v>2683025</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169764</v>
      </c>
      <c r="D7" s="467">
        <v>37911</v>
      </c>
      <c r="E7" s="467">
        <v>8288</v>
      </c>
      <c r="F7" s="467">
        <v>33609</v>
      </c>
      <c r="G7" s="467">
        <v>53987</v>
      </c>
      <c r="H7" s="467"/>
      <c r="I7" s="467"/>
      <c r="J7" s="467"/>
      <c r="K7" s="1671">
        <f t="shared" ref="K7:K32" si="0">SUM(C7:J7)</f>
        <v>303559</v>
      </c>
      <c r="L7" s="466">
        <v>299753</v>
      </c>
    </row>
    <row r="8" spans="1:14" x14ac:dyDescent="0.2">
      <c r="A8" s="1504" t="s">
        <v>164</v>
      </c>
      <c r="B8" s="614">
        <v>1200</v>
      </c>
      <c r="C8" s="466">
        <v>1111561</v>
      </c>
      <c r="D8" s="466">
        <v>313853</v>
      </c>
      <c r="E8" s="466">
        <v>53876</v>
      </c>
      <c r="F8" s="466">
        <v>25416</v>
      </c>
      <c r="G8" s="466">
        <v>11880</v>
      </c>
      <c r="H8" s="466"/>
      <c r="I8" s="467"/>
      <c r="J8" s="467"/>
      <c r="K8" s="1671">
        <f t="shared" si="0"/>
        <v>1516586</v>
      </c>
      <c r="L8" s="466">
        <v>1515821</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245360</v>
      </c>
      <c r="D10" s="466">
        <v>70341</v>
      </c>
      <c r="E10" s="466">
        <v>70662</v>
      </c>
      <c r="F10" s="466">
        <v>37446</v>
      </c>
      <c r="G10" s="466">
        <v>2690</v>
      </c>
      <c r="H10" s="466"/>
      <c r="I10" s="467"/>
      <c r="J10" s="467"/>
      <c r="K10" s="1671">
        <f t="shared" si="0"/>
        <v>426499</v>
      </c>
      <c r="L10" s="466">
        <v>467920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137741</v>
      </c>
      <c r="D13" s="466"/>
      <c r="E13" s="466"/>
      <c r="F13" s="466">
        <v>2781</v>
      </c>
      <c r="G13" s="466"/>
      <c r="H13" s="466"/>
      <c r="I13" s="467"/>
      <c r="J13" s="467"/>
      <c r="K13" s="1671">
        <f t="shared" si="0"/>
        <v>140522</v>
      </c>
      <c r="L13" s="466">
        <v>145283</v>
      </c>
    </row>
    <row r="14" spans="1:14" x14ac:dyDescent="0.2">
      <c r="A14" s="1504" t="s">
        <v>963</v>
      </c>
      <c r="B14" s="614">
        <v>1500</v>
      </c>
      <c r="C14" s="466">
        <v>101708</v>
      </c>
      <c r="D14" s="466"/>
      <c r="E14" s="466">
        <v>28936</v>
      </c>
      <c r="F14" s="466">
        <v>8064</v>
      </c>
      <c r="G14" s="466"/>
      <c r="H14" s="466">
        <v>18965</v>
      </c>
      <c r="I14" s="467"/>
      <c r="J14" s="467"/>
      <c r="K14" s="1671">
        <f t="shared" si="0"/>
        <v>157673</v>
      </c>
      <c r="L14" s="466">
        <v>182446</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v>22616</v>
      </c>
      <c r="D17" s="467"/>
      <c r="E17" s="467"/>
      <c r="F17" s="467"/>
      <c r="G17" s="467"/>
      <c r="H17" s="467"/>
      <c r="I17" s="467"/>
      <c r="J17" s="467"/>
      <c r="K17" s="1671">
        <f t="shared" si="0"/>
        <v>22616</v>
      </c>
      <c r="L17" s="466">
        <v>6000</v>
      </c>
    </row>
    <row r="18" spans="1:12" x14ac:dyDescent="0.2">
      <c r="A18" s="1504" t="s">
        <v>1087</v>
      </c>
      <c r="B18" s="614">
        <v>1800</v>
      </c>
      <c r="C18" s="466">
        <v>126037</v>
      </c>
      <c r="D18" s="466">
        <v>15034</v>
      </c>
      <c r="E18" s="466">
        <v>6638</v>
      </c>
      <c r="F18" s="466">
        <v>5167</v>
      </c>
      <c r="G18" s="466"/>
      <c r="H18" s="466">
        <v>4988</v>
      </c>
      <c r="I18" s="467"/>
      <c r="J18" s="467"/>
      <c r="K18" s="1671">
        <f t="shared" si="0"/>
        <v>157864</v>
      </c>
      <c r="L18" s="466">
        <v>161763</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4510667</v>
      </c>
      <c r="D33" s="1670">
        <f t="shared" ref="D33:L33" si="1">SUM(D5:D32)</f>
        <v>437139</v>
      </c>
      <c r="E33" s="1670">
        <f t="shared" si="1"/>
        <v>183588</v>
      </c>
      <c r="F33" s="1670">
        <f t="shared" si="1"/>
        <v>163345</v>
      </c>
      <c r="G33" s="1670">
        <f t="shared" si="1"/>
        <v>68557</v>
      </c>
      <c r="H33" s="1670">
        <f t="shared" si="1"/>
        <v>23953</v>
      </c>
      <c r="I33" s="1670">
        <f t="shared" si="1"/>
        <v>0</v>
      </c>
      <c r="J33" s="1670">
        <f t="shared" si="1"/>
        <v>0</v>
      </c>
      <c r="K33" s="1670">
        <f t="shared" si="1"/>
        <v>5387249</v>
      </c>
      <c r="L33" s="1670">
        <f t="shared" si="1"/>
        <v>5462011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125716</v>
      </c>
      <c r="D36" s="481"/>
      <c r="E36" s="481">
        <v>3041</v>
      </c>
      <c r="F36" s="481">
        <v>1541</v>
      </c>
      <c r="G36" s="481"/>
      <c r="H36" s="481"/>
      <c r="I36" s="467"/>
      <c r="J36" s="467"/>
      <c r="K36" s="1671">
        <f t="shared" ref="K36:K41" si="2">SUM(C36:J36)</f>
        <v>130298</v>
      </c>
      <c r="L36" s="466">
        <v>127250</v>
      </c>
    </row>
    <row r="37" spans="1:14" x14ac:dyDescent="0.2">
      <c r="A37" s="1504" t="s">
        <v>1090</v>
      </c>
      <c r="B37" s="614">
        <v>2120</v>
      </c>
      <c r="C37" s="466">
        <v>77415</v>
      </c>
      <c r="D37" s="466"/>
      <c r="E37" s="466"/>
      <c r="F37" s="466"/>
      <c r="G37" s="466"/>
      <c r="H37" s="466"/>
      <c r="I37" s="467"/>
      <c r="J37" s="467"/>
      <c r="K37" s="1671">
        <f t="shared" si="2"/>
        <v>77415</v>
      </c>
      <c r="L37" s="466">
        <v>70550</v>
      </c>
    </row>
    <row r="38" spans="1:14" x14ac:dyDescent="0.2">
      <c r="A38" s="1504" t="s">
        <v>198</v>
      </c>
      <c r="B38" s="614">
        <v>2130</v>
      </c>
      <c r="C38" s="466">
        <v>137759</v>
      </c>
      <c r="D38" s="466"/>
      <c r="E38" s="466">
        <v>55</v>
      </c>
      <c r="F38" s="466">
        <v>1511</v>
      </c>
      <c r="G38" s="466"/>
      <c r="H38" s="466"/>
      <c r="I38" s="467"/>
      <c r="J38" s="467"/>
      <c r="K38" s="1671">
        <f t="shared" si="2"/>
        <v>139325</v>
      </c>
      <c r="L38" s="466">
        <v>144437</v>
      </c>
    </row>
    <row r="39" spans="1:14" x14ac:dyDescent="0.2">
      <c r="A39" s="1504" t="s">
        <v>199</v>
      </c>
      <c r="B39" s="614">
        <v>2140</v>
      </c>
      <c r="C39" s="466">
        <v>56632</v>
      </c>
      <c r="D39" s="466"/>
      <c r="E39" s="466">
        <v>652</v>
      </c>
      <c r="F39" s="466">
        <v>2112</v>
      </c>
      <c r="G39" s="466"/>
      <c r="H39" s="466"/>
      <c r="I39" s="467"/>
      <c r="J39" s="467"/>
      <c r="K39" s="1671">
        <f t="shared" si="2"/>
        <v>59396</v>
      </c>
      <c r="L39" s="466">
        <v>62050</v>
      </c>
    </row>
    <row r="40" spans="1:14" x14ac:dyDescent="0.2">
      <c r="A40" s="1504" t="s">
        <v>200</v>
      </c>
      <c r="B40" s="614">
        <v>2150</v>
      </c>
      <c r="C40" s="466">
        <v>86141</v>
      </c>
      <c r="D40" s="466"/>
      <c r="E40" s="466">
        <v>375</v>
      </c>
      <c r="F40" s="466">
        <v>693</v>
      </c>
      <c r="G40" s="466"/>
      <c r="H40" s="466"/>
      <c r="I40" s="467"/>
      <c r="J40" s="467"/>
      <c r="K40" s="1671">
        <f t="shared" si="2"/>
        <v>87209</v>
      </c>
      <c r="L40" s="466">
        <v>122411</v>
      </c>
    </row>
    <row r="41" spans="1:14" x14ac:dyDescent="0.2">
      <c r="A41" s="1504" t="s">
        <v>1669</v>
      </c>
      <c r="B41" s="614">
        <v>2190</v>
      </c>
      <c r="C41" s="466"/>
      <c r="D41" s="466"/>
      <c r="E41" s="466">
        <v>19295</v>
      </c>
      <c r="F41" s="466">
        <v>104</v>
      </c>
      <c r="G41" s="466"/>
      <c r="H41" s="466"/>
      <c r="I41" s="467"/>
      <c r="J41" s="467"/>
      <c r="K41" s="1671">
        <f t="shared" si="2"/>
        <v>19399</v>
      </c>
      <c r="L41" s="466">
        <v>0</v>
      </c>
    </row>
    <row r="42" spans="1:14" ht="12.75" customHeight="1" thickBot="1" x14ac:dyDescent="0.25">
      <c r="A42" s="1668" t="s">
        <v>560</v>
      </c>
      <c r="B42" s="1669" t="s">
        <v>716</v>
      </c>
      <c r="C42" s="1670">
        <f>SUM(C36:C41)</f>
        <v>483663</v>
      </c>
      <c r="D42" s="1670">
        <f t="shared" ref="D42:L42" si="3">SUM(D36:D41)</f>
        <v>0</v>
      </c>
      <c r="E42" s="1670">
        <f t="shared" si="3"/>
        <v>23418</v>
      </c>
      <c r="F42" s="1670">
        <f t="shared" si="3"/>
        <v>5961</v>
      </c>
      <c r="G42" s="1670">
        <f t="shared" si="3"/>
        <v>0</v>
      </c>
      <c r="H42" s="1670">
        <f t="shared" si="3"/>
        <v>0</v>
      </c>
      <c r="I42" s="1670">
        <f t="shared" si="3"/>
        <v>0</v>
      </c>
      <c r="J42" s="1670">
        <f t="shared" si="3"/>
        <v>0</v>
      </c>
      <c r="K42" s="1670">
        <f t="shared" si="3"/>
        <v>513042</v>
      </c>
      <c r="L42" s="1670">
        <f t="shared" si="3"/>
        <v>526698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5418</v>
      </c>
      <c r="D44" s="481">
        <v>305</v>
      </c>
      <c r="E44" s="481">
        <v>46449</v>
      </c>
      <c r="F44" s="481">
        <v>1340</v>
      </c>
      <c r="G44" s="481"/>
      <c r="H44" s="481"/>
      <c r="I44" s="467"/>
      <c r="J44" s="467"/>
      <c r="K44" s="1672">
        <f>SUM(C44:J44)</f>
        <v>53512</v>
      </c>
      <c r="L44" s="481">
        <v>96465</v>
      </c>
    </row>
    <row r="45" spans="1:14" x14ac:dyDescent="0.2">
      <c r="A45" s="1504" t="s">
        <v>815</v>
      </c>
      <c r="B45" s="614">
        <v>2220</v>
      </c>
      <c r="C45" s="466">
        <v>72764</v>
      </c>
      <c r="D45" s="466"/>
      <c r="E45" s="466">
        <v>159941</v>
      </c>
      <c r="F45" s="466">
        <v>23989</v>
      </c>
      <c r="G45" s="466">
        <v>134534</v>
      </c>
      <c r="H45" s="466"/>
      <c r="I45" s="467"/>
      <c r="J45" s="467"/>
      <c r="K45" s="1672">
        <f>SUM(C45:J45)</f>
        <v>391228</v>
      </c>
      <c r="L45" s="466">
        <v>447155</v>
      </c>
    </row>
    <row r="46" spans="1:14" x14ac:dyDescent="0.2">
      <c r="A46" s="1504" t="s">
        <v>816</v>
      </c>
      <c r="B46" s="614">
        <v>2230</v>
      </c>
      <c r="C46" s="466"/>
      <c r="D46" s="466"/>
      <c r="E46" s="466"/>
      <c r="F46" s="466">
        <v>9106</v>
      </c>
      <c r="G46" s="466"/>
      <c r="H46" s="466"/>
      <c r="I46" s="467"/>
      <c r="J46" s="467"/>
      <c r="K46" s="1672">
        <f>SUM(C46:J46)</f>
        <v>9106</v>
      </c>
      <c r="L46" s="466">
        <v>6000</v>
      </c>
    </row>
    <row r="47" spans="1:14" ht="12.75" customHeight="1" thickBot="1" x14ac:dyDescent="0.25">
      <c r="A47" s="1668" t="s">
        <v>561</v>
      </c>
      <c r="B47" s="1669" t="s">
        <v>32</v>
      </c>
      <c r="C47" s="1670">
        <f>SUM(C44:C46)</f>
        <v>78182</v>
      </c>
      <c r="D47" s="1670">
        <f t="shared" ref="D47:K47" si="4">SUM(D44:D46)</f>
        <v>305</v>
      </c>
      <c r="E47" s="1670">
        <f t="shared" si="4"/>
        <v>206390</v>
      </c>
      <c r="F47" s="1670">
        <f t="shared" si="4"/>
        <v>34435</v>
      </c>
      <c r="G47" s="1670">
        <f t="shared" si="4"/>
        <v>134534</v>
      </c>
      <c r="H47" s="1670">
        <f t="shared" si="4"/>
        <v>0</v>
      </c>
      <c r="I47" s="1670">
        <f t="shared" si="4"/>
        <v>0</v>
      </c>
      <c r="J47" s="1670">
        <f t="shared" si="4"/>
        <v>0</v>
      </c>
      <c r="K47" s="1670">
        <f t="shared" si="4"/>
        <v>453846</v>
      </c>
      <c r="L47" s="1670">
        <f>SUM(L44:L46)</f>
        <v>549620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4612</v>
      </c>
      <c r="D49" s="481">
        <v>71286</v>
      </c>
      <c r="E49" s="481">
        <v>103828</v>
      </c>
      <c r="F49" s="481"/>
      <c r="G49" s="481"/>
      <c r="H49" s="481">
        <v>34174</v>
      </c>
      <c r="I49" s="467"/>
      <c r="J49" s="467"/>
      <c r="K49" s="1672">
        <f>SUM(C49:J49)</f>
        <v>213900</v>
      </c>
      <c r="L49" s="481">
        <v>454785</v>
      </c>
    </row>
    <row r="50" spans="1:14" x14ac:dyDescent="0.2">
      <c r="A50" s="1504" t="s">
        <v>818</v>
      </c>
      <c r="B50" s="614">
        <v>2320</v>
      </c>
      <c r="C50" s="466">
        <v>149772</v>
      </c>
      <c r="D50" s="466"/>
      <c r="E50" s="466">
        <v>2546</v>
      </c>
      <c r="F50" s="466">
        <v>1336</v>
      </c>
      <c r="G50" s="466"/>
      <c r="H50" s="466">
        <v>2419</v>
      </c>
      <c r="I50" s="467"/>
      <c r="J50" s="467"/>
      <c r="K50" s="1672">
        <f>SUM(C50:J50)</f>
        <v>156073</v>
      </c>
      <c r="L50" s="466">
        <v>157673</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154384</v>
      </c>
      <c r="D53" s="1670">
        <f t="shared" ref="D53:L53" si="5">SUM(D49:D52)</f>
        <v>71286</v>
      </c>
      <c r="E53" s="1670">
        <f t="shared" si="5"/>
        <v>106374</v>
      </c>
      <c r="F53" s="1670">
        <f t="shared" si="5"/>
        <v>1336</v>
      </c>
      <c r="G53" s="1670">
        <f t="shared" si="5"/>
        <v>0</v>
      </c>
      <c r="H53" s="1670">
        <f t="shared" si="5"/>
        <v>36593</v>
      </c>
      <c r="I53" s="1670">
        <f t="shared" si="5"/>
        <v>0</v>
      </c>
      <c r="J53" s="1670">
        <f t="shared" si="5"/>
        <v>0</v>
      </c>
      <c r="K53" s="1670">
        <f t="shared" si="5"/>
        <v>369973</v>
      </c>
      <c r="L53" s="1670">
        <f t="shared" si="5"/>
        <v>612458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356196</v>
      </c>
      <c r="D55" s="481"/>
      <c r="E55" s="481">
        <v>981</v>
      </c>
      <c r="F55" s="481">
        <v>690</v>
      </c>
      <c r="G55" s="481"/>
      <c r="H55" s="481">
        <v>1766</v>
      </c>
      <c r="I55" s="467"/>
      <c r="J55" s="467"/>
      <c r="K55" s="1672">
        <f>SUM(C55:J55)</f>
        <v>359633</v>
      </c>
      <c r="L55" s="481">
        <v>360738</v>
      </c>
    </row>
    <row r="56" spans="1:14" ht="12.75" customHeight="1" x14ac:dyDescent="0.2">
      <c r="A56" s="1508" t="s">
        <v>376</v>
      </c>
      <c r="B56" s="628">
        <v>2490</v>
      </c>
      <c r="C56" s="466">
        <v>160837</v>
      </c>
      <c r="D56" s="466"/>
      <c r="E56" s="466">
        <v>570</v>
      </c>
      <c r="F56" s="466"/>
      <c r="G56" s="466"/>
      <c r="H56" s="466">
        <v>1054</v>
      </c>
      <c r="I56" s="467"/>
      <c r="J56" s="467"/>
      <c r="K56" s="1672">
        <f>SUM(C56:J56)</f>
        <v>162461</v>
      </c>
      <c r="L56" s="466">
        <v>163609</v>
      </c>
    </row>
    <row r="57" spans="1:14" s="343" customFormat="1" ht="12.75" customHeight="1" thickBot="1" x14ac:dyDescent="0.25">
      <c r="A57" s="1668" t="s">
        <v>263</v>
      </c>
      <c r="B57" s="1673" t="s">
        <v>34</v>
      </c>
      <c r="C57" s="1674">
        <f>SUM(C55:C56)</f>
        <v>517033</v>
      </c>
      <c r="D57" s="1674">
        <f t="shared" ref="D57:K57" si="6">SUM(D55:D56)</f>
        <v>0</v>
      </c>
      <c r="E57" s="1674">
        <f t="shared" si="6"/>
        <v>1551</v>
      </c>
      <c r="F57" s="1674">
        <f t="shared" si="6"/>
        <v>690</v>
      </c>
      <c r="G57" s="1674">
        <f t="shared" si="6"/>
        <v>0</v>
      </c>
      <c r="H57" s="1674">
        <f t="shared" si="6"/>
        <v>2820</v>
      </c>
      <c r="I57" s="1674">
        <f t="shared" si="6"/>
        <v>0</v>
      </c>
      <c r="J57" s="1674">
        <f t="shared" si="6"/>
        <v>0</v>
      </c>
      <c r="K57" s="1674">
        <f t="shared" si="6"/>
        <v>522094</v>
      </c>
      <c r="L57" s="1670">
        <f>SUM(L55:L56)</f>
        <v>524347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97543</v>
      </c>
      <c r="D60" s="466">
        <v>580137</v>
      </c>
      <c r="E60" s="466">
        <v>40</v>
      </c>
      <c r="F60" s="466">
        <v>10536</v>
      </c>
      <c r="G60" s="466"/>
      <c r="H60" s="466">
        <v>2702</v>
      </c>
      <c r="I60" s="467"/>
      <c r="J60" s="467"/>
      <c r="K60" s="1672">
        <f t="shared" si="7"/>
        <v>690958</v>
      </c>
      <c r="L60" s="466">
        <v>799950</v>
      </c>
      <c r="M60" s="609"/>
      <c r="N60" s="609"/>
    </row>
    <row r="61" spans="1:14" s="343" customFormat="1" x14ac:dyDescent="0.2">
      <c r="A61" s="1504" t="s">
        <v>197</v>
      </c>
      <c r="B61" s="614">
        <v>2540</v>
      </c>
      <c r="C61" s="466">
        <v>66181</v>
      </c>
      <c r="D61" s="466"/>
      <c r="E61" s="466">
        <v>56070</v>
      </c>
      <c r="F61" s="466">
        <v>150949</v>
      </c>
      <c r="G61" s="466"/>
      <c r="H61" s="466"/>
      <c r="I61" s="467"/>
      <c r="J61" s="467"/>
      <c r="K61" s="1672">
        <f t="shared" si="7"/>
        <v>273200</v>
      </c>
      <c r="L61" s="466">
        <v>317621</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164356</v>
      </c>
      <c r="D63" s="466"/>
      <c r="E63" s="466">
        <v>7859</v>
      </c>
      <c r="F63" s="466">
        <v>226320</v>
      </c>
      <c r="G63" s="466">
        <v>5358</v>
      </c>
      <c r="H63" s="466"/>
      <c r="I63" s="467"/>
      <c r="J63" s="467"/>
      <c r="K63" s="1672">
        <f t="shared" si="7"/>
        <v>403893</v>
      </c>
      <c r="L63" s="466">
        <v>436300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328080</v>
      </c>
      <c r="D65" s="1670">
        <f t="shared" ref="D65:L65" si="8">SUM(D59:D64)</f>
        <v>580137</v>
      </c>
      <c r="E65" s="1670">
        <f t="shared" si="8"/>
        <v>63969</v>
      </c>
      <c r="F65" s="1670">
        <f t="shared" si="8"/>
        <v>387805</v>
      </c>
      <c r="G65" s="1670">
        <f t="shared" si="8"/>
        <v>5358</v>
      </c>
      <c r="H65" s="1670">
        <f t="shared" si="8"/>
        <v>2702</v>
      </c>
      <c r="I65" s="1670">
        <f t="shared" si="8"/>
        <v>0</v>
      </c>
      <c r="J65" s="1670">
        <f t="shared" si="8"/>
        <v>0</v>
      </c>
      <c r="K65" s="1670">
        <f t="shared" si="8"/>
        <v>1368051</v>
      </c>
      <c r="L65" s="1670">
        <f t="shared" si="8"/>
        <v>1553871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v>66256</v>
      </c>
      <c r="F69" s="466"/>
      <c r="G69" s="466"/>
      <c r="H69" s="466"/>
      <c r="I69" s="467"/>
      <c r="J69" s="467"/>
      <c r="K69" s="1672">
        <f>SUM(C69:J69)</f>
        <v>66256</v>
      </c>
      <c r="L69" s="466">
        <v>65200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66256</v>
      </c>
      <c r="F72" s="1670">
        <f t="shared" si="9"/>
        <v>0</v>
      </c>
      <c r="G72" s="1670">
        <f t="shared" si="9"/>
        <v>0</v>
      </c>
      <c r="H72" s="1670">
        <f t="shared" si="9"/>
        <v>0</v>
      </c>
      <c r="I72" s="1670">
        <f t="shared" si="9"/>
        <v>0</v>
      </c>
      <c r="J72" s="1670">
        <f t="shared" si="9"/>
        <v>0</v>
      </c>
      <c r="K72" s="1670">
        <f t="shared" si="9"/>
        <v>66256</v>
      </c>
      <c r="L72" s="1670">
        <f>SUM(L67:L71)</f>
        <v>65200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1561342</v>
      </c>
      <c r="D74" s="1677">
        <f t="shared" ref="D74:K74" si="10">SUM(D42,D47,D53,D57,D65,D72,D73)</f>
        <v>651728</v>
      </c>
      <c r="E74" s="1677">
        <f t="shared" si="10"/>
        <v>467958</v>
      </c>
      <c r="F74" s="1677">
        <f t="shared" si="10"/>
        <v>430227</v>
      </c>
      <c r="G74" s="1677">
        <f t="shared" si="10"/>
        <v>139892</v>
      </c>
      <c r="H74" s="1677">
        <f t="shared" si="10"/>
        <v>42115</v>
      </c>
      <c r="I74" s="1677">
        <f t="shared" si="10"/>
        <v>0</v>
      </c>
      <c r="J74" s="1677">
        <f t="shared" si="10"/>
        <v>0</v>
      </c>
      <c r="K74" s="1677">
        <f t="shared" si="10"/>
        <v>3293262</v>
      </c>
      <c r="L74" s="1677">
        <f>SUM(L42,L47,L53,L57,L65,L72,L73)</f>
        <v>3832194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250</v>
      </c>
    </row>
    <row r="79" spans="1:14" x14ac:dyDescent="0.2">
      <c r="A79" s="1504" t="s">
        <v>304</v>
      </c>
      <c r="B79" s="614">
        <v>4120</v>
      </c>
      <c r="C79" s="616"/>
      <c r="D79" s="616"/>
      <c r="E79" s="466">
        <v>2775</v>
      </c>
      <c r="F79" s="616"/>
      <c r="G79" s="616"/>
      <c r="H79" s="466">
        <v>146842</v>
      </c>
      <c r="I79" s="477"/>
      <c r="J79" s="477"/>
      <c r="K79" s="1671">
        <f t="shared" si="11"/>
        <v>149617</v>
      </c>
      <c r="L79" s="466">
        <v>176500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v>38163</v>
      </c>
      <c r="I81" s="477"/>
      <c r="J81" s="477"/>
      <c r="K81" s="1671">
        <f t="shared" si="11"/>
        <v>38163</v>
      </c>
      <c r="L81" s="466">
        <v>32000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2775</v>
      </c>
      <c r="F84" s="616"/>
      <c r="G84" s="616"/>
      <c r="H84" s="1670">
        <f>SUM(H78:H83)</f>
        <v>185005</v>
      </c>
      <c r="I84" s="477"/>
      <c r="J84" s="477"/>
      <c r="K84" s="1670">
        <f>SUM(K78:K83)</f>
        <v>187780</v>
      </c>
      <c r="L84" s="1670">
        <f>SUM(L78:L83)</f>
        <v>208750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v>659896</v>
      </c>
      <c r="I86" s="477"/>
      <c r="J86" s="477"/>
      <c r="K86" s="1677">
        <f t="shared" ref="K86:K98" si="12">H86</f>
        <v>659896</v>
      </c>
      <c r="L86" s="530">
        <v>900000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v>19966</v>
      </c>
      <c r="I90" s="477"/>
      <c r="J90" s="477"/>
      <c r="K90" s="1677">
        <f t="shared" si="12"/>
        <v>19966</v>
      </c>
      <c r="L90" s="530">
        <v>25000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679862</v>
      </c>
      <c r="I92" s="477"/>
      <c r="J92" s="477"/>
      <c r="K92" s="1677">
        <f t="shared" si="12"/>
        <v>679862</v>
      </c>
      <c r="L92" s="1670">
        <f>SUM(L85:L91)</f>
        <v>925000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2775</v>
      </c>
      <c r="F102" s="616"/>
      <c r="G102" s="616"/>
      <c r="H102" s="1677">
        <f>SUM(H84,H92,H100,H101)</f>
        <v>864867</v>
      </c>
      <c r="I102" s="477"/>
      <c r="J102" s="477"/>
      <c r="K102" s="1677">
        <f>SUM(K84,K92,K100,K101)</f>
        <v>867642</v>
      </c>
      <c r="L102" s="1677">
        <f>SUM(L84,L92,L100,L101)</f>
        <v>1133750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6072009</v>
      </c>
      <c r="D114" s="1670">
        <f t="shared" ref="D114:K114" si="13">SUM(D33,D74,D75,D102,D112,D113)</f>
        <v>1088867</v>
      </c>
      <c r="E114" s="1670">
        <f t="shared" si="13"/>
        <v>654321</v>
      </c>
      <c r="F114" s="1670">
        <f t="shared" si="13"/>
        <v>593572</v>
      </c>
      <c r="G114" s="1670">
        <f t="shared" si="13"/>
        <v>208449</v>
      </c>
      <c r="H114" s="1670">
        <f>SUM(H33,H74,H75,H102,H112,H113)</f>
        <v>930935</v>
      </c>
      <c r="I114" s="1670">
        <f t="shared" si="13"/>
        <v>0</v>
      </c>
      <c r="J114" s="1670">
        <f t="shared" si="13"/>
        <v>0</v>
      </c>
      <c r="K114" s="1670">
        <f t="shared" si="13"/>
        <v>9548153</v>
      </c>
      <c r="L114" s="1670">
        <f>SUM(L33,L74,L75,L102,L112,L113)</f>
        <v>10427955</v>
      </c>
    </row>
    <row r="115" spans="1:14" ht="13.5" thickTop="1" x14ac:dyDescent="0.2">
      <c r="A115" s="2200" t="s">
        <v>996</v>
      </c>
      <c r="B115" s="2201"/>
      <c r="C115" s="618"/>
      <c r="D115" s="618"/>
      <c r="E115" s="618"/>
      <c r="F115" s="618"/>
      <c r="G115" s="618"/>
      <c r="H115" s="618"/>
      <c r="I115" s="618"/>
      <c r="J115" s="618"/>
      <c r="K115" s="1684">
        <f>'Revenues 9-14'!C268-'Expenditures 15-22'!K114</f>
        <v>1441738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8" t="s">
        <v>296</v>
      </c>
      <c r="B117" s="217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1000</v>
      </c>
    </row>
    <row r="124" spans="1:14" ht="14.25" thickTop="1" thickBot="1" x14ac:dyDescent="0.25">
      <c r="A124" s="1504" t="s">
        <v>197</v>
      </c>
      <c r="B124" s="614">
        <v>2540</v>
      </c>
      <c r="C124" s="466">
        <v>224955</v>
      </c>
      <c r="D124" s="466"/>
      <c r="E124" s="466">
        <v>174170</v>
      </c>
      <c r="F124" s="466">
        <v>110861</v>
      </c>
      <c r="G124" s="466">
        <v>29937</v>
      </c>
      <c r="H124" s="466">
        <v>558</v>
      </c>
      <c r="I124" s="467"/>
      <c r="J124" s="467"/>
      <c r="K124" s="1670">
        <f>SUM(C124:J124)</f>
        <v>540481</v>
      </c>
      <c r="L124" s="466">
        <v>526000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224955</v>
      </c>
      <c r="D127" s="1670">
        <f t="shared" ref="D127:L127" si="14">SUM(D122:D126)</f>
        <v>0</v>
      </c>
      <c r="E127" s="1670">
        <f t="shared" si="14"/>
        <v>174170</v>
      </c>
      <c r="F127" s="1670">
        <f t="shared" si="14"/>
        <v>110861</v>
      </c>
      <c r="G127" s="1670">
        <f t="shared" si="14"/>
        <v>29937</v>
      </c>
      <c r="H127" s="1670">
        <f t="shared" si="14"/>
        <v>558</v>
      </c>
      <c r="I127" s="1670">
        <f t="shared" si="14"/>
        <v>0</v>
      </c>
      <c r="J127" s="1670">
        <f t="shared" si="14"/>
        <v>0</v>
      </c>
      <c r="K127" s="1670">
        <f t="shared" si="14"/>
        <v>540481</v>
      </c>
      <c r="L127" s="1670">
        <f t="shared" si="14"/>
        <v>527000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224955</v>
      </c>
      <c r="D129" s="1677">
        <f t="shared" ref="D129:L129" si="15">SUM(D120,D127,D128)</f>
        <v>0</v>
      </c>
      <c r="E129" s="1677">
        <f t="shared" si="15"/>
        <v>174170</v>
      </c>
      <c r="F129" s="1677">
        <f t="shared" si="15"/>
        <v>110861</v>
      </c>
      <c r="G129" s="1677">
        <f t="shared" si="15"/>
        <v>29937</v>
      </c>
      <c r="H129" s="1677">
        <f t="shared" si="15"/>
        <v>558</v>
      </c>
      <c r="I129" s="1677">
        <f t="shared" si="15"/>
        <v>0</v>
      </c>
      <c r="J129" s="1677">
        <f t="shared" si="15"/>
        <v>0</v>
      </c>
      <c r="K129" s="1677">
        <f t="shared" si="15"/>
        <v>540481</v>
      </c>
      <c r="L129" s="1677">
        <f t="shared" si="15"/>
        <v>527000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90" t="s">
        <v>620</v>
      </c>
      <c r="B151" s="2172"/>
      <c r="C151" s="1670">
        <f>SUM(C129,C130,C139,C149,C150)</f>
        <v>224955</v>
      </c>
      <c r="D151" s="1670">
        <f t="shared" ref="D151:K151" si="16">SUM(D129,D130,D139,D149,D150)</f>
        <v>0</v>
      </c>
      <c r="E151" s="1670">
        <f t="shared" si="16"/>
        <v>174170</v>
      </c>
      <c r="F151" s="1670">
        <f t="shared" si="16"/>
        <v>110861</v>
      </c>
      <c r="G151" s="1670">
        <f t="shared" si="16"/>
        <v>29937</v>
      </c>
      <c r="H151" s="1670">
        <f t="shared" si="16"/>
        <v>558</v>
      </c>
      <c r="I151" s="1670">
        <f t="shared" si="16"/>
        <v>0</v>
      </c>
      <c r="J151" s="1670">
        <f t="shared" si="16"/>
        <v>0</v>
      </c>
      <c r="K151" s="1670">
        <f t="shared" si="16"/>
        <v>540481</v>
      </c>
      <c r="L151" s="1670">
        <f>SUM(L129,L130,L139,L149,L150)</f>
        <v>527000</v>
      </c>
    </row>
    <row r="152" spans="1:14" ht="12.75" customHeight="1" thickTop="1" x14ac:dyDescent="0.2">
      <c r="A152" s="2193" t="s">
        <v>1178</v>
      </c>
      <c r="B152" s="2194"/>
      <c r="C152" s="618"/>
      <c r="D152" s="618"/>
      <c r="E152" s="618"/>
      <c r="F152" s="618"/>
      <c r="G152" s="618"/>
      <c r="H152" s="618"/>
      <c r="I152" s="618"/>
      <c r="J152" s="616"/>
      <c r="K152" s="1684">
        <f>'Revenues 9-14'!D268-'Expenditures 15-22'!K151</f>
        <v>315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8" t="s">
        <v>621</v>
      </c>
      <c r="B154" s="218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465055</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465055</v>
      </c>
    </row>
    <row r="169" spans="1:14" ht="15.75" customHeight="1" thickTop="1" x14ac:dyDescent="0.2">
      <c r="A169" s="669" t="s">
        <v>83</v>
      </c>
      <c r="B169" s="670" t="s">
        <v>38</v>
      </c>
      <c r="C169" s="616"/>
      <c r="D169" s="616"/>
      <c r="E169" s="616"/>
      <c r="F169" s="616"/>
      <c r="G169" s="616"/>
      <c r="H169" s="656">
        <v>465294</v>
      </c>
      <c r="I169" s="616"/>
      <c r="J169" s="616"/>
      <c r="K169" s="1671">
        <f>SUM(C169:H169)</f>
        <v>465294</v>
      </c>
      <c r="L169" s="656">
        <v>810000</v>
      </c>
    </row>
    <row r="170" spans="1:14" ht="33.75" customHeight="1" x14ac:dyDescent="0.2">
      <c r="A170" s="669" t="s">
        <v>1670</v>
      </c>
      <c r="B170" s="671" t="s">
        <v>31</v>
      </c>
      <c r="C170" s="616"/>
      <c r="D170" s="616"/>
      <c r="E170" s="616"/>
      <c r="F170" s="616"/>
      <c r="G170" s="616"/>
      <c r="H170" s="569">
        <v>833748</v>
      </c>
      <c r="I170" s="616"/>
      <c r="J170" s="616"/>
      <c r="K170" s="1671">
        <f>SUM(C170:J170)</f>
        <v>833748</v>
      </c>
      <c r="L170" s="569">
        <v>0</v>
      </c>
    </row>
    <row r="171" spans="1:14" ht="15.75" customHeight="1" x14ac:dyDescent="0.2">
      <c r="A171" s="621" t="s">
        <v>766</v>
      </c>
      <c r="B171" s="672" t="s">
        <v>84</v>
      </c>
      <c r="C171" s="616"/>
      <c r="D171" s="616"/>
      <c r="E171" s="466">
        <v>1545</v>
      </c>
      <c r="F171" s="616"/>
      <c r="G171" s="616"/>
      <c r="H171" s="569"/>
      <c r="I171" s="477"/>
      <c r="J171" s="616"/>
      <c r="K171" s="1671">
        <f>SUM(C171:J171)</f>
        <v>1545</v>
      </c>
      <c r="L171" s="569">
        <v>2500</v>
      </c>
    </row>
    <row r="172" spans="1:14" ht="12.75" customHeight="1" thickBot="1" x14ac:dyDescent="0.25">
      <c r="A172" s="1668" t="s">
        <v>638</v>
      </c>
      <c r="B172" s="1669" t="s">
        <v>492</v>
      </c>
      <c r="C172" s="616"/>
      <c r="D172" s="616"/>
      <c r="E172" s="1677">
        <f>SUM(E168,E169,E170,E171)</f>
        <v>1545</v>
      </c>
      <c r="F172" s="616"/>
      <c r="G172" s="616"/>
      <c r="H172" s="1677">
        <f>SUM(H168,H169,H170,H171)</f>
        <v>1299042</v>
      </c>
      <c r="I172" s="638"/>
      <c r="J172" s="616"/>
      <c r="K172" s="1677">
        <f>SUM(K168,K169,K170,K171)</f>
        <v>1300587</v>
      </c>
      <c r="L172" s="1677">
        <f>SUM(L168,L169,L170,L171)</f>
        <v>1277555</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1545</v>
      </c>
      <c r="F174" s="616"/>
      <c r="G174" s="616"/>
      <c r="H174" s="1677">
        <f>SUM(H160,H172,H173)</f>
        <v>1299042</v>
      </c>
      <c r="I174" s="638"/>
      <c r="J174" s="616"/>
      <c r="K174" s="1677">
        <f>SUM(K160,K172,K173)</f>
        <v>1300587</v>
      </c>
      <c r="L174" s="1677">
        <f>SUM(L160,L172,L173)</f>
        <v>1277555</v>
      </c>
    </row>
    <row r="175" spans="1:14" ht="13.5" thickTop="1" x14ac:dyDescent="0.2">
      <c r="A175" s="2200" t="s">
        <v>996</v>
      </c>
      <c r="B175" s="2201"/>
      <c r="C175" s="616"/>
      <c r="D175" s="616"/>
      <c r="E175" s="616"/>
      <c r="F175" s="616"/>
      <c r="G175" s="616"/>
      <c r="H175" s="618"/>
      <c r="I175" s="616"/>
      <c r="J175" s="616"/>
      <c r="K175" s="1684">
        <f>'Revenues 9-14'!E268-'Expenditures 15-22'!K174</f>
        <v>-27120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v>67550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11357</v>
      </c>
      <c r="D182" s="466"/>
      <c r="E182" s="466">
        <v>889179</v>
      </c>
      <c r="F182" s="466">
        <v>76093</v>
      </c>
      <c r="G182" s="466"/>
      <c r="H182" s="466"/>
      <c r="I182" s="467"/>
      <c r="J182" s="467"/>
      <c r="K182" s="1671">
        <f>SUM(C182:J182)</f>
        <v>976629</v>
      </c>
      <c r="L182" s="466">
        <v>852145</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11357</v>
      </c>
      <c r="D184" s="1677">
        <f t="shared" ref="D184:J184" si="17">SUM(D180,D182,D183)</f>
        <v>0</v>
      </c>
      <c r="E184" s="1677">
        <f t="shared" si="17"/>
        <v>889179</v>
      </c>
      <c r="F184" s="1677">
        <f t="shared" si="17"/>
        <v>76093</v>
      </c>
      <c r="G184" s="1677">
        <f t="shared" si="17"/>
        <v>0</v>
      </c>
      <c r="H184" s="1677">
        <f t="shared" si="17"/>
        <v>0</v>
      </c>
      <c r="I184" s="1677">
        <f t="shared" si="17"/>
        <v>0</v>
      </c>
      <c r="J184" s="1677">
        <f t="shared" si="17"/>
        <v>0</v>
      </c>
      <c r="K184" s="1677">
        <f>SUM(K180,K182,K183)</f>
        <v>976629</v>
      </c>
      <c r="L184" s="1677">
        <f>SUM(L180, L182:L183)</f>
        <v>919695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11357</v>
      </c>
      <c r="D210" s="1670">
        <f>SUM(D184,D185)</f>
        <v>0</v>
      </c>
      <c r="E210" s="1670">
        <f>SUM(E184,E185,E196)</f>
        <v>889179</v>
      </c>
      <c r="F210" s="1670">
        <f>SUM(F184,F185)</f>
        <v>76093</v>
      </c>
      <c r="G210" s="1670">
        <f>SUM(G184,G185)</f>
        <v>0</v>
      </c>
      <c r="H210" s="1670">
        <f>SUM(H184,H185,H196,H208,H209)</f>
        <v>0</v>
      </c>
      <c r="I210" s="1670">
        <f>SUM(I184,I185)</f>
        <v>0</v>
      </c>
      <c r="J210" s="1670">
        <f>SUM(J184,J185)</f>
        <v>0</v>
      </c>
      <c r="K210" s="1671">
        <f>SUM(K184,K185,K196,K208,K209)</f>
        <v>976629</v>
      </c>
      <c r="L210" s="1670">
        <f>SUM(L184,L185,L196,L208,L209)</f>
        <v>919695</v>
      </c>
    </row>
    <row r="211" spans="1:14" ht="13.5" thickTop="1" x14ac:dyDescent="0.2">
      <c r="A211" s="2200" t="s">
        <v>996</v>
      </c>
      <c r="B211" s="2201"/>
      <c r="C211" s="618"/>
      <c r="D211" s="618"/>
      <c r="E211" s="618"/>
      <c r="F211" s="618"/>
      <c r="G211" s="618"/>
      <c r="H211" s="618"/>
      <c r="I211" s="616"/>
      <c r="J211" s="616"/>
      <c r="K211" s="1684">
        <f>'Revenues 9-14'!F268-'Expenditures 15-22'!K210</f>
        <v>-118868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5" t="s">
        <v>965</v>
      </c>
      <c r="B213" s="219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44395</v>
      </c>
      <c r="E215" s="616"/>
      <c r="F215" s="616"/>
      <c r="G215" s="616"/>
      <c r="H215" s="616"/>
      <c r="I215" s="616"/>
      <c r="J215" s="616"/>
      <c r="K215" s="1671">
        <f>D215</f>
        <v>44395</v>
      </c>
      <c r="L215" s="466">
        <v>44250</v>
      </c>
    </row>
    <row r="216" spans="1:14" x14ac:dyDescent="0.2">
      <c r="A216" s="1504" t="s">
        <v>163</v>
      </c>
      <c r="B216" s="614" t="s">
        <v>967</v>
      </c>
      <c r="C216" s="616"/>
      <c r="D216" s="467">
        <v>7288</v>
      </c>
      <c r="E216" s="616"/>
      <c r="F216" s="616"/>
      <c r="G216" s="616"/>
      <c r="H216" s="616"/>
      <c r="I216" s="616"/>
      <c r="J216" s="616"/>
      <c r="K216" s="1671">
        <f t="shared" ref="K216:K228" si="19">D216</f>
        <v>7288</v>
      </c>
      <c r="L216" s="466">
        <v>9700</v>
      </c>
    </row>
    <row r="217" spans="1:14" x14ac:dyDescent="0.2">
      <c r="A217" s="1504" t="s">
        <v>164</v>
      </c>
      <c r="B217" s="614">
        <v>1200</v>
      </c>
      <c r="C217" s="616"/>
      <c r="D217" s="466">
        <v>54103</v>
      </c>
      <c r="E217" s="616"/>
      <c r="F217" s="616"/>
      <c r="G217" s="616"/>
      <c r="H217" s="616"/>
      <c r="I217" s="616"/>
      <c r="J217" s="616"/>
      <c r="K217" s="1671">
        <f t="shared" si="19"/>
        <v>54103</v>
      </c>
      <c r="L217" s="466">
        <v>55850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14622</v>
      </c>
      <c r="E219" s="616"/>
      <c r="F219" s="616"/>
      <c r="G219" s="616"/>
      <c r="H219" s="616"/>
      <c r="I219" s="616"/>
      <c r="J219" s="616"/>
      <c r="K219" s="1671">
        <f t="shared" si="19"/>
        <v>14622</v>
      </c>
      <c r="L219" s="466">
        <v>14265</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2743</v>
      </c>
      <c r="E222" s="616"/>
      <c r="F222" s="616"/>
      <c r="G222" s="616"/>
      <c r="H222" s="616"/>
      <c r="I222" s="616"/>
      <c r="J222" s="616"/>
      <c r="K222" s="1671">
        <f t="shared" si="19"/>
        <v>2743</v>
      </c>
      <c r="L222" s="466">
        <v>4100</v>
      </c>
    </row>
    <row r="223" spans="1:14" x14ac:dyDescent="0.2">
      <c r="A223" s="1504" t="s">
        <v>963</v>
      </c>
      <c r="B223" s="614">
        <v>1500</v>
      </c>
      <c r="C223" s="616"/>
      <c r="D223" s="466">
        <v>3660</v>
      </c>
      <c r="E223" s="616"/>
      <c r="F223" s="616"/>
      <c r="G223" s="616"/>
      <c r="H223" s="616"/>
      <c r="I223" s="616"/>
      <c r="J223" s="616"/>
      <c r="K223" s="1671">
        <f t="shared" si="19"/>
        <v>3660</v>
      </c>
      <c r="L223" s="466">
        <v>3725</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v>3</v>
      </c>
      <c r="E226" s="616"/>
      <c r="F226" s="616"/>
      <c r="G226" s="616"/>
      <c r="H226" s="616"/>
      <c r="I226" s="616"/>
      <c r="J226" s="616"/>
      <c r="K226" s="1671">
        <f t="shared" si="19"/>
        <v>3</v>
      </c>
      <c r="L226" s="466">
        <v>100</v>
      </c>
    </row>
    <row r="227" spans="1:12" x14ac:dyDescent="0.2">
      <c r="A227" s="1504" t="s">
        <v>1087</v>
      </c>
      <c r="B227" s="614">
        <v>1800</v>
      </c>
      <c r="C227" s="616"/>
      <c r="D227" s="466">
        <v>2167</v>
      </c>
      <c r="E227" s="616"/>
      <c r="F227" s="616"/>
      <c r="G227" s="616"/>
      <c r="H227" s="616"/>
      <c r="I227" s="616"/>
      <c r="J227" s="616"/>
      <c r="K227" s="1671">
        <f t="shared" si="19"/>
        <v>2167</v>
      </c>
      <c r="L227" s="466">
        <v>2180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128981</v>
      </c>
      <c r="E229" s="616"/>
      <c r="F229" s="616"/>
      <c r="G229" s="616"/>
      <c r="H229" s="616"/>
      <c r="I229" s="616"/>
      <c r="J229" s="616"/>
      <c r="K229" s="1670">
        <f>SUM(K215:K228)</f>
        <v>128981</v>
      </c>
      <c r="L229" s="1670">
        <f>SUM(L215:L228)</f>
        <v>134170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1746</v>
      </c>
      <c r="E232" s="616"/>
      <c r="F232" s="616"/>
      <c r="G232" s="616"/>
      <c r="H232" s="616"/>
      <c r="I232" s="616"/>
      <c r="J232" s="616"/>
      <c r="K232" s="1671">
        <f t="shared" ref="K232:K237" si="20">D232</f>
        <v>1746</v>
      </c>
      <c r="L232" s="466">
        <v>1400</v>
      </c>
    </row>
    <row r="233" spans="1:12" x14ac:dyDescent="0.2">
      <c r="A233" s="1504" t="s">
        <v>1090</v>
      </c>
      <c r="B233" s="614">
        <v>2120</v>
      </c>
      <c r="C233" s="616"/>
      <c r="D233" s="466">
        <v>1122</v>
      </c>
      <c r="E233" s="616"/>
      <c r="F233" s="616"/>
      <c r="G233" s="616"/>
      <c r="H233" s="616"/>
      <c r="I233" s="616"/>
      <c r="J233" s="616"/>
      <c r="K233" s="1671">
        <f t="shared" si="20"/>
        <v>1122</v>
      </c>
      <c r="L233" s="466">
        <v>900</v>
      </c>
    </row>
    <row r="234" spans="1:12" x14ac:dyDescent="0.2">
      <c r="A234" s="1504" t="s">
        <v>198</v>
      </c>
      <c r="B234" s="614">
        <v>2130</v>
      </c>
      <c r="C234" s="616"/>
      <c r="D234" s="466">
        <v>19198</v>
      </c>
      <c r="E234" s="616"/>
      <c r="F234" s="616"/>
      <c r="G234" s="616"/>
      <c r="H234" s="616"/>
      <c r="I234" s="616"/>
      <c r="J234" s="616"/>
      <c r="K234" s="1671">
        <f t="shared" si="20"/>
        <v>19198</v>
      </c>
      <c r="L234" s="466">
        <v>19200</v>
      </c>
    </row>
    <row r="235" spans="1:12" x14ac:dyDescent="0.2">
      <c r="A235" s="1504" t="s">
        <v>199</v>
      </c>
      <c r="B235" s="614">
        <v>2140</v>
      </c>
      <c r="C235" s="616"/>
      <c r="D235" s="466">
        <v>749</v>
      </c>
      <c r="E235" s="616"/>
      <c r="F235" s="616"/>
      <c r="G235" s="616"/>
      <c r="H235" s="616"/>
      <c r="I235" s="616"/>
      <c r="J235" s="616"/>
      <c r="K235" s="1671">
        <f t="shared" si="20"/>
        <v>749</v>
      </c>
      <c r="L235" s="466">
        <v>800</v>
      </c>
    </row>
    <row r="236" spans="1:12" x14ac:dyDescent="0.2">
      <c r="A236" s="1504" t="s">
        <v>200</v>
      </c>
      <c r="B236" s="614">
        <v>2150</v>
      </c>
      <c r="C236" s="616"/>
      <c r="D236" s="466">
        <v>5081</v>
      </c>
      <c r="E236" s="616"/>
      <c r="F236" s="616"/>
      <c r="G236" s="616"/>
      <c r="H236" s="616"/>
      <c r="I236" s="616"/>
      <c r="J236" s="616"/>
      <c r="K236" s="1671">
        <f t="shared" si="20"/>
        <v>5081</v>
      </c>
      <c r="L236" s="466">
        <v>5650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27896</v>
      </c>
      <c r="E238" s="616"/>
      <c r="F238" s="616"/>
      <c r="G238" s="616"/>
      <c r="H238" s="616"/>
      <c r="I238" s="616"/>
      <c r="J238" s="616"/>
      <c r="K238" s="1670">
        <f>SUM(K232:K237)</f>
        <v>27896</v>
      </c>
      <c r="L238" s="1670">
        <f>SUM(L232:L237)</f>
        <v>27950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1454</v>
      </c>
      <c r="E240" s="616"/>
      <c r="F240" s="616"/>
      <c r="G240" s="616"/>
      <c r="H240" s="616"/>
      <c r="I240" s="616"/>
      <c r="J240" s="616"/>
      <c r="K240" s="1672">
        <f>D240</f>
        <v>1454</v>
      </c>
      <c r="L240" s="481">
        <v>200</v>
      </c>
    </row>
    <row r="241" spans="1:12" x14ac:dyDescent="0.2">
      <c r="A241" s="1504" t="s">
        <v>815</v>
      </c>
      <c r="B241" s="614">
        <v>2220</v>
      </c>
      <c r="C241" s="616"/>
      <c r="D241" s="466">
        <v>11340</v>
      </c>
      <c r="E241" s="616"/>
      <c r="F241" s="616"/>
      <c r="G241" s="616"/>
      <c r="H241" s="616"/>
      <c r="I241" s="616"/>
      <c r="J241" s="616"/>
      <c r="K241" s="1672">
        <f>D241</f>
        <v>11340</v>
      </c>
      <c r="L241" s="466">
        <v>9250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12794</v>
      </c>
      <c r="E243" s="616"/>
      <c r="F243" s="616"/>
      <c r="G243" s="616"/>
      <c r="H243" s="616"/>
      <c r="I243" s="616"/>
      <c r="J243" s="616"/>
      <c r="K243" s="1670">
        <f>SUM(K240:K242)</f>
        <v>12794</v>
      </c>
      <c r="L243" s="1670">
        <f>SUM(L240:L242)</f>
        <v>9450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428</v>
      </c>
      <c r="E245" s="616"/>
      <c r="F245" s="616"/>
      <c r="G245" s="616"/>
      <c r="H245" s="616"/>
      <c r="I245" s="616"/>
      <c r="J245" s="616"/>
      <c r="K245" s="1672">
        <f>D245</f>
        <v>428</v>
      </c>
      <c r="L245" s="481">
        <v>500</v>
      </c>
    </row>
    <row r="246" spans="1:12" x14ac:dyDescent="0.2">
      <c r="A246" s="1504" t="s">
        <v>818</v>
      </c>
      <c r="B246" s="614">
        <v>2320</v>
      </c>
      <c r="C246" s="616"/>
      <c r="D246" s="466">
        <v>7053</v>
      </c>
      <c r="E246" s="616"/>
      <c r="F246" s="616"/>
      <c r="G246" s="616"/>
      <c r="H246" s="616"/>
      <c r="I246" s="616"/>
      <c r="J246" s="616"/>
      <c r="K246" s="1672">
        <f t="shared" ref="K246:K256" si="21">D246</f>
        <v>7053</v>
      </c>
      <c r="L246" s="466">
        <v>7200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1802</v>
      </c>
      <c r="B249" s="683" t="s">
        <v>282</v>
      </c>
      <c r="C249" s="616"/>
      <c r="D249" s="474"/>
      <c r="E249" s="616"/>
      <c r="F249" s="616"/>
      <c r="G249" s="616"/>
      <c r="H249" s="616"/>
      <c r="I249" s="616"/>
      <c r="J249" s="616"/>
      <c r="K249" s="1672">
        <f t="shared" si="21"/>
        <v>0</v>
      </c>
      <c r="L249" s="466">
        <v>0</v>
      </c>
    </row>
    <row r="250" spans="1:12" x14ac:dyDescent="0.2">
      <c r="A250" s="1505" t="s">
        <v>1803</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7481</v>
      </c>
      <c r="E257" s="616"/>
      <c r="F257" s="616"/>
      <c r="G257" s="616"/>
      <c r="H257" s="616"/>
      <c r="I257" s="616"/>
      <c r="J257" s="616"/>
      <c r="K257" s="1670">
        <f>SUM(K245:K256)</f>
        <v>7481</v>
      </c>
      <c r="L257" s="1670">
        <f>SUM(L245:L256)</f>
        <v>7700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17697</v>
      </c>
      <c r="E259" s="616"/>
      <c r="F259" s="616"/>
      <c r="G259" s="616"/>
      <c r="H259" s="616"/>
      <c r="I259" s="616"/>
      <c r="J259" s="616"/>
      <c r="K259" s="1672">
        <f>D259</f>
        <v>17697</v>
      </c>
      <c r="L259" s="481">
        <v>21700</v>
      </c>
    </row>
    <row r="260" spans="1:14" s="597" customFormat="1" x14ac:dyDescent="0.2">
      <c r="A260" s="1522" t="s">
        <v>1801</v>
      </c>
      <c r="B260" s="628">
        <v>2490</v>
      </c>
      <c r="C260" s="616"/>
      <c r="D260" s="466">
        <v>2454</v>
      </c>
      <c r="E260" s="616"/>
      <c r="F260" s="616"/>
      <c r="G260" s="616"/>
      <c r="H260" s="616"/>
      <c r="I260" s="616"/>
      <c r="J260" s="616"/>
      <c r="K260" s="1672">
        <f>D260</f>
        <v>2454</v>
      </c>
      <c r="L260" s="466">
        <v>2400</v>
      </c>
      <c r="M260" s="210"/>
      <c r="N260" s="210"/>
    </row>
    <row r="261" spans="1:14" ht="12.75" customHeight="1" thickBot="1" x14ac:dyDescent="0.25">
      <c r="A261" s="1692" t="s">
        <v>263</v>
      </c>
      <c r="B261" s="1697" t="s">
        <v>34</v>
      </c>
      <c r="C261" s="616"/>
      <c r="D261" s="1670">
        <f>SUM(D259:D260)</f>
        <v>20151</v>
      </c>
      <c r="E261" s="616"/>
      <c r="F261" s="616"/>
      <c r="G261" s="616"/>
      <c r="H261" s="616"/>
      <c r="I261" s="616"/>
      <c r="J261" s="616"/>
      <c r="K261" s="1670">
        <f>SUM(K259:K260)</f>
        <v>20151</v>
      </c>
      <c r="L261" s="1670">
        <f>SUM(L259:L260)</f>
        <v>24100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13942</v>
      </c>
      <c r="E264" s="616"/>
      <c r="F264" s="616"/>
      <c r="G264" s="616"/>
      <c r="H264" s="616"/>
      <c r="I264" s="616"/>
      <c r="J264" s="616"/>
      <c r="K264" s="1672">
        <f t="shared" ref="K264:K269" si="22">D264</f>
        <v>13942</v>
      </c>
      <c r="L264" s="466">
        <v>15100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42376</v>
      </c>
      <c r="E266" s="616"/>
      <c r="F266" s="616"/>
      <c r="G266" s="616"/>
      <c r="H266" s="616"/>
      <c r="I266" s="616"/>
      <c r="J266" s="616"/>
      <c r="K266" s="1672">
        <f t="shared" si="22"/>
        <v>42376</v>
      </c>
      <c r="L266" s="466">
        <v>45100</v>
      </c>
    </row>
    <row r="267" spans="1:14" x14ac:dyDescent="0.2">
      <c r="A267" s="1504" t="s">
        <v>953</v>
      </c>
      <c r="B267" s="614">
        <v>2550</v>
      </c>
      <c r="C267" s="616"/>
      <c r="D267" s="466">
        <v>300</v>
      </c>
      <c r="E267" s="616"/>
      <c r="F267" s="616"/>
      <c r="G267" s="616"/>
      <c r="H267" s="616"/>
      <c r="I267" s="616"/>
      <c r="J267" s="616"/>
      <c r="K267" s="1672">
        <f t="shared" si="22"/>
        <v>300</v>
      </c>
      <c r="L267" s="466">
        <v>800</v>
      </c>
    </row>
    <row r="268" spans="1:14" x14ac:dyDescent="0.2">
      <c r="A268" s="1504" t="s">
        <v>100</v>
      </c>
      <c r="B268" s="614">
        <v>2560</v>
      </c>
      <c r="C268" s="616"/>
      <c r="D268" s="466">
        <v>24661</v>
      </c>
      <c r="E268" s="616"/>
      <c r="F268" s="616"/>
      <c r="G268" s="616"/>
      <c r="H268" s="616"/>
      <c r="I268" s="616"/>
      <c r="J268" s="616"/>
      <c r="K268" s="1672">
        <f t="shared" si="22"/>
        <v>24661</v>
      </c>
      <c r="L268" s="466">
        <v>25900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81279</v>
      </c>
      <c r="E270" s="616"/>
      <c r="F270" s="616"/>
      <c r="G270" s="616"/>
      <c r="H270" s="616"/>
      <c r="I270" s="616"/>
      <c r="J270" s="616"/>
      <c r="K270" s="1670">
        <f>SUM(K263:K269)</f>
        <v>81279</v>
      </c>
      <c r="L270" s="1670">
        <f>SUM(L263:L269)</f>
        <v>86900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149601</v>
      </c>
      <c r="E279" s="616"/>
      <c r="F279" s="616"/>
      <c r="G279" s="616"/>
      <c r="H279" s="616"/>
      <c r="I279" s="616"/>
      <c r="J279" s="616"/>
      <c r="K279" s="1677">
        <f>SUM(K238,K243,K257,K261,K270,K277,K278)</f>
        <v>149601</v>
      </c>
      <c r="L279" s="1677">
        <f>SUM(L238,L243,L257,L261,L270,L277,L278)</f>
        <v>156100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91" t="s">
        <v>505</v>
      </c>
      <c r="B295" s="2192"/>
      <c r="C295" s="616"/>
      <c r="D295" s="1670">
        <f>SUM(D229,D279,D280,D285)</f>
        <v>278582</v>
      </c>
      <c r="E295" s="616"/>
      <c r="F295" s="616"/>
      <c r="G295" s="616"/>
      <c r="H295" s="1670">
        <f>H293</f>
        <v>0</v>
      </c>
      <c r="I295" s="616"/>
      <c r="J295" s="616"/>
      <c r="K295" s="1670">
        <f>SUM(K229,K279,K280,K285,K293,K294)</f>
        <v>278582</v>
      </c>
      <c r="L295" s="1670">
        <f>SUM(L229,L279,L280,L285,L293,L294)</f>
        <v>290270</v>
      </c>
    </row>
    <row r="296" spans="1:14" ht="13.5" thickTop="1" x14ac:dyDescent="0.2">
      <c r="A296" s="2200" t="s">
        <v>996</v>
      </c>
      <c r="B296" s="2201"/>
      <c r="C296" s="616"/>
      <c r="D296" s="618"/>
      <c r="E296" s="616"/>
      <c r="F296" s="616"/>
      <c r="G296" s="616"/>
      <c r="H296" s="687"/>
      <c r="I296" s="616"/>
      <c r="J296" s="616"/>
      <c r="K296" s="1684">
        <f>'Revenues 9-14'!G268-'Expenditures 15-22'!K295</f>
        <v>38476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3" t="s">
        <v>143</v>
      </c>
      <c r="B298" s="217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88" t="s">
        <v>277</v>
      </c>
      <c r="B312" s="218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84" t="s">
        <v>996</v>
      </c>
      <c r="B313" s="218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7" t="s">
        <v>149</v>
      </c>
      <c r="B315" s="219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9" t="s">
        <v>898</v>
      </c>
      <c r="B317" s="219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282</v>
      </c>
      <c r="C320" s="467"/>
      <c r="D320" s="467">
        <v>5200</v>
      </c>
      <c r="E320" s="467"/>
      <c r="F320" s="467"/>
      <c r="G320" s="467"/>
      <c r="H320" s="467"/>
      <c r="I320" s="467"/>
      <c r="J320" s="467"/>
      <c r="K320" s="1671">
        <f t="shared" ref="K320:K327" si="24">SUM(C320:J320)</f>
        <v>5200</v>
      </c>
      <c r="L320" s="467">
        <v>5200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v>6024</v>
      </c>
      <c r="E322" s="467"/>
      <c r="F322" s="467"/>
      <c r="G322" s="467"/>
      <c r="H322" s="467"/>
      <c r="I322" s="467"/>
      <c r="J322" s="467"/>
      <c r="K322" s="1671">
        <f t="shared" si="24"/>
        <v>6024</v>
      </c>
      <c r="L322" s="467">
        <v>6652</v>
      </c>
      <c r="M322" s="665"/>
      <c r="N322" s="665"/>
    </row>
    <row r="323" spans="1:14" s="674" customFormat="1" x14ac:dyDescent="0.2">
      <c r="A323" s="1519" t="s">
        <v>702</v>
      </c>
      <c r="B323" s="697" t="s">
        <v>285</v>
      </c>
      <c r="C323" s="467"/>
      <c r="D323" s="467">
        <v>25000</v>
      </c>
      <c r="E323" s="467"/>
      <c r="F323" s="467"/>
      <c r="G323" s="467"/>
      <c r="H323" s="467"/>
      <c r="I323" s="467"/>
      <c r="J323" s="467"/>
      <c r="K323" s="1671">
        <f t="shared" si="24"/>
        <v>25000</v>
      </c>
      <c r="L323" s="467">
        <v>25000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v>36755</v>
      </c>
      <c r="E328" s="474"/>
      <c r="F328" s="474"/>
      <c r="G328" s="474"/>
      <c r="H328" s="474"/>
      <c r="I328" s="474"/>
      <c r="J328" s="474"/>
      <c r="K328" s="1699">
        <f>SUM(C328:J328)</f>
        <v>36755</v>
      </c>
      <c r="L328" s="474">
        <v>36755</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72979</v>
      </c>
      <c r="E330" s="1670">
        <f t="shared" si="25"/>
        <v>0</v>
      </c>
      <c r="F330" s="1670">
        <f t="shared" si="25"/>
        <v>0</v>
      </c>
      <c r="G330" s="1670">
        <f t="shared" si="25"/>
        <v>0</v>
      </c>
      <c r="H330" s="1670">
        <f t="shared" si="25"/>
        <v>0</v>
      </c>
      <c r="I330" s="1670">
        <f t="shared" si="25"/>
        <v>0</v>
      </c>
      <c r="J330" s="1670">
        <f t="shared" si="25"/>
        <v>0</v>
      </c>
      <c r="K330" s="1670">
        <f>SUM(K319:K329)</f>
        <v>72979</v>
      </c>
      <c r="L330" s="1670">
        <f>SUM(L319:L329)</f>
        <v>73607</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72979</v>
      </c>
      <c r="E342" s="1670">
        <f>SUM(E330)</f>
        <v>0</v>
      </c>
      <c r="F342" s="1670">
        <f>SUM(F330)</f>
        <v>0</v>
      </c>
      <c r="G342" s="1670">
        <f>SUM(G330)</f>
        <v>0</v>
      </c>
      <c r="H342" s="1670">
        <f>SUM(H330,H334,H340)</f>
        <v>0</v>
      </c>
      <c r="I342" s="1670">
        <f>SUM(I330)</f>
        <v>0</v>
      </c>
      <c r="J342" s="1670">
        <f>SUM(J330)</f>
        <v>0</v>
      </c>
      <c r="K342" s="1670">
        <f>SUM(K330,K334,K340)</f>
        <v>72979</v>
      </c>
      <c r="L342" s="1677">
        <f>SUM(L330,L340,L341)</f>
        <v>73607</v>
      </c>
    </row>
    <row r="343" spans="1:14" ht="12.75" customHeight="1" thickTop="1" x14ac:dyDescent="0.2">
      <c r="A343" s="2186" t="s">
        <v>996</v>
      </c>
      <c r="B343" s="218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6" t="s">
        <v>966</v>
      </c>
      <c r="B345" s="217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1000</v>
      </c>
    </row>
    <row r="349" spans="1:14" x14ac:dyDescent="0.2">
      <c r="A349" s="1504" t="s">
        <v>197</v>
      </c>
      <c r="B349" s="614">
        <v>2540</v>
      </c>
      <c r="C349" s="466"/>
      <c r="D349" s="466">
        <v>4623</v>
      </c>
      <c r="E349" s="466"/>
      <c r="F349" s="466"/>
      <c r="G349" s="466"/>
      <c r="H349" s="466"/>
      <c r="I349" s="467"/>
      <c r="J349" s="467"/>
      <c r="K349" s="1671">
        <f>SUM(C349:J349)</f>
        <v>4623</v>
      </c>
      <c r="L349" s="466">
        <v>83500</v>
      </c>
    </row>
    <row r="350" spans="1:14" ht="12.75" customHeight="1" thickBot="1" x14ac:dyDescent="0.25">
      <c r="A350" s="1668" t="s">
        <v>719</v>
      </c>
      <c r="B350" s="1669" t="s">
        <v>35</v>
      </c>
      <c r="C350" s="1670">
        <f>SUM(C348:C349)</f>
        <v>0</v>
      </c>
      <c r="D350" s="1670">
        <f t="shared" ref="D350:L350" si="26">SUM(D348:D349)</f>
        <v>4623</v>
      </c>
      <c r="E350" s="1670">
        <f t="shared" si="26"/>
        <v>0</v>
      </c>
      <c r="F350" s="1670">
        <f t="shared" si="26"/>
        <v>0</v>
      </c>
      <c r="G350" s="1670">
        <f t="shared" si="26"/>
        <v>0</v>
      </c>
      <c r="H350" s="1670">
        <f t="shared" si="26"/>
        <v>0</v>
      </c>
      <c r="I350" s="1670">
        <f t="shared" si="26"/>
        <v>0</v>
      </c>
      <c r="J350" s="1670">
        <f t="shared" si="26"/>
        <v>0</v>
      </c>
      <c r="K350" s="1670">
        <f t="shared" si="26"/>
        <v>4623</v>
      </c>
      <c r="L350" s="1670">
        <f t="shared" si="26"/>
        <v>84500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4623</v>
      </c>
      <c r="E352" s="1670">
        <f t="shared" si="27"/>
        <v>0</v>
      </c>
      <c r="F352" s="1670">
        <f t="shared" si="27"/>
        <v>0</v>
      </c>
      <c r="G352" s="1670">
        <f t="shared" si="27"/>
        <v>0</v>
      </c>
      <c r="H352" s="1670">
        <f t="shared" si="27"/>
        <v>0</v>
      </c>
      <c r="I352" s="1670">
        <f t="shared" si="27"/>
        <v>0</v>
      </c>
      <c r="J352" s="1670">
        <f t="shared" si="27"/>
        <v>0</v>
      </c>
      <c r="K352" s="1670">
        <f t="shared" si="27"/>
        <v>4623</v>
      </c>
      <c r="L352" s="1670">
        <f t="shared" si="27"/>
        <v>84500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4623</v>
      </c>
      <c r="E367" s="1670">
        <f t="shared" si="28"/>
        <v>0</v>
      </c>
      <c r="F367" s="1670">
        <f t="shared" si="28"/>
        <v>0</v>
      </c>
      <c r="G367" s="1670">
        <f t="shared" si="28"/>
        <v>0</v>
      </c>
      <c r="H367" s="1670">
        <f t="shared" si="28"/>
        <v>0</v>
      </c>
      <c r="I367" s="1670">
        <f t="shared" si="28"/>
        <v>0</v>
      </c>
      <c r="J367" s="1670">
        <f t="shared" si="28"/>
        <v>0</v>
      </c>
      <c r="K367" s="1670">
        <f t="shared" si="28"/>
        <v>4623</v>
      </c>
      <c r="L367" s="1670">
        <f t="shared" si="28"/>
        <v>84500</v>
      </c>
    </row>
    <row r="368" spans="1:14" ht="13.5" thickTop="1" x14ac:dyDescent="0.2">
      <c r="A368" s="2200" t="s">
        <v>996</v>
      </c>
      <c r="B368" s="2201"/>
      <c r="C368" s="654"/>
      <c r="D368" s="654"/>
      <c r="E368" s="626"/>
      <c r="F368" s="626"/>
      <c r="G368" s="626"/>
      <c r="H368" s="626"/>
      <c r="I368" s="626"/>
      <c r="J368" s="623"/>
      <c r="K368" s="1671">
        <f>'Revenues 9-14'!K268-'Expenditures 15-22'!K367</f>
        <v>63460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B4" sqref="B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02" t="s">
        <v>1799</v>
      </c>
      <c r="B2" s="1528" t="s">
        <v>1946</v>
      </c>
      <c r="C2" s="714" t="s">
        <v>1947</v>
      </c>
      <c r="D2" s="714" t="s">
        <v>1948</v>
      </c>
      <c r="E2" s="714" t="s">
        <v>1949</v>
      </c>
      <c r="F2" s="714" t="s">
        <v>1950</v>
      </c>
    </row>
    <row r="3" spans="1:6" ht="12" customHeight="1" x14ac:dyDescent="0.2">
      <c r="A3" s="2203"/>
      <c r="B3" s="1525"/>
      <c r="C3" s="1526"/>
      <c r="D3" s="1527" t="s">
        <v>256</v>
      </c>
      <c r="E3" s="1526"/>
      <c r="F3" s="1527" t="s">
        <v>257</v>
      </c>
    </row>
    <row r="4" spans="1:6" ht="13.7" customHeight="1" x14ac:dyDescent="0.2">
      <c r="A4" s="715" t="s">
        <v>1155</v>
      </c>
      <c r="B4" s="1749">
        <f>'Revenues 9-14'!C5</f>
        <v>3254527</v>
      </c>
      <c r="C4" s="1524"/>
      <c r="D4" s="1752">
        <f>B4-C4</f>
        <v>3254527</v>
      </c>
      <c r="E4" s="1524">
        <v>3340956</v>
      </c>
      <c r="F4" s="1752">
        <f>E4-C4</f>
        <v>3340956</v>
      </c>
    </row>
    <row r="5" spans="1:6" ht="13.7" customHeight="1" x14ac:dyDescent="0.2">
      <c r="A5" s="715" t="s">
        <v>870</v>
      </c>
      <c r="B5" s="1750">
        <f>'Revenues 9-14'!D5</f>
        <v>527367</v>
      </c>
      <c r="C5" s="585"/>
      <c r="D5" s="1753">
        <f t="shared" ref="D5:D18" si="0">B5-C5</f>
        <v>527367</v>
      </c>
      <c r="E5" s="585">
        <v>543277</v>
      </c>
      <c r="F5" s="1753">
        <f>E5-C5</f>
        <v>543277</v>
      </c>
    </row>
    <row r="6" spans="1:6" ht="13.7" customHeight="1" x14ac:dyDescent="0.2">
      <c r="A6" s="715" t="s">
        <v>411</v>
      </c>
      <c r="B6" s="1750">
        <f>'Revenues 9-14'!E5</f>
        <v>1261857</v>
      </c>
      <c r="C6" s="585"/>
      <c r="D6" s="1753">
        <f t="shared" si="0"/>
        <v>1261857</v>
      </c>
      <c r="E6" s="585">
        <v>1269186</v>
      </c>
      <c r="F6" s="1753">
        <f t="shared" ref="F6:F18" si="1">E6-C6</f>
        <v>1269186</v>
      </c>
    </row>
    <row r="7" spans="1:6" ht="13.7" customHeight="1" x14ac:dyDescent="0.2">
      <c r="A7" s="715" t="s">
        <v>155</v>
      </c>
      <c r="B7" s="1750">
        <f>'Revenues 9-14'!F5</f>
        <v>334618</v>
      </c>
      <c r="C7" s="585"/>
      <c r="D7" s="1753">
        <f t="shared" si="0"/>
        <v>334618</v>
      </c>
      <c r="E7" s="585">
        <v>448134</v>
      </c>
      <c r="F7" s="1753">
        <f t="shared" si="1"/>
        <v>448134</v>
      </c>
    </row>
    <row r="8" spans="1:6" ht="13.7" customHeight="1" x14ac:dyDescent="0.2">
      <c r="A8" s="715" t="s">
        <v>1179</v>
      </c>
      <c r="B8" s="1750">
        <f>'Revenues 9-14'!G5</f>
        <v>113586</v>
      </c>
      <c r="C8" s="585"/>
      <c r="D8" s="1753">
        <f t="shared" si="0"/>
        <v>113586</v>
      </c>
      <c r="E8" s="585">
        <v>133541</v>
      </c>
      <c r="F8" s="1753">
        <f t="shared" si="1"/>
        <v>133541</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49026</v>
      </c>
      <c r="C10" s="585"/>
      <c r="D10" s="1753">
        <f t="shared" si="0"/>
        <v>49026</v>
      </c>
      <c r="E10" s="585">
        <v>59662</v>
      </c>
      <c r="F10" s="1753">
        <f t="shared" si="1"/>
        <v>59662</v>
      </c>
    </row>
    <row r="11" spans="1:6" x14ac:dyDescent="0.2">
      <c r="A11" s="715" t="s">
        <v>409</v>
      </c>
      <c r="B11" s="1750">
        <f>'Revenues 9-14'!J5</f>
        <v>72906</v>
      </c>
      <c r="C11" s="585"/>
      <c r="D11" s="1753">
        <f t="shared" si="0"/>
        <v>72906</v>
      </c>
      <c r="E11" s="585">
        <v>75216</v>
      </c>
      <c r="F11" s="1753">
        <f t="shared" si="1"/>
        <v>75216</v>
      </c>
    </row>
    <row r="12" spans="1:6" ht="13.7" customHeight="1" x14ac:dyDescent="0.2">
      <c r="A12" s="715" t="s">
        <v>157</v>
      </c>
      <c r="B12" s="1750">
        <f>'Revenues 9-14'!K5</f>
        <v>64678</v>
      </c>
      <c r="C12" s="585"/>
      <c r="D12" s="1753">
        <f t="shared" si="0"/>
        <v>64678</v>
      </c>
      <c r="E12" s="585">
        <v>66710</v>
      </c>
      <c r="F12" s="1753">
        <f t="shared" si="1"/>
        <v>66710</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93653</v>
      </c>
      <c r="C14" s="585"/>
      <c r="D14" s="1753">
        <f t="shared" si="0"/>
        <v>93653</v>
      </c>
      <c r="E14" s="585">
        <v>115922</v>
      </c>
      <c r="F14" s="1753">
        <f t="shared" si="1"/>
        <v>115922</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102109</v>
      </c>
      <c r="C16" s="585"/>
      <c r="D16" s="1753">
        <f t="shared" si="0"/>
        <v>102109</v>
      </c>
      <c r="E16" s="585">
        <v>105229</v>
      </c>
      <c r="F16" s="1753">
        <f t="shared" si="1"/>
        <v>105229</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5874327</v>
      </c>
      <c r="C19" s="1751">
        <f>SUM(C4:C18)</f>
        <v>0</v>
      </c>
      <c r="D19" s="1751">
        <f>SUM(D4:D18)</f>
        <v>5874327</v>
      </c>
      <c r="E19" s="1751">
        <f>SUM(E4:E18)</f>
        <v>6157833</v>
      </c>
      <c r="F19" s="1751">
        <f>SUM(F4:F18)</f>
        <v>6157833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6" colorId="8" zoomScale="110" zoomScaleNormal="110" workbookViewId="0">
      <selection activeCell="A32" sqref="A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9"/>
      <c r="C1" s="721"/>
    </row>
    <row r="2" spans="1:7" ht="33.75" x14ac:dyDescent="0.2">
      <c r="A2" s="2217" t="s">
        <v>1799</v>
      </c>
      <c r="B2" s="2218"/>
      <c r="C2" s="1884" t="s">
        <v>1951</v>
      </c>
      <c r="D2" s="723" t="s">
        <v>1952</v>
      </c>
      <c r="E2" s="723" t="s">
        <v>1953</v>
      </c>
      <c r="F2" s="1884" t="s">
        <v>1954</v>
      </c>
    </row>
    <row r="3" spans="1:7" ht="15.75" customHeight="1" x14ac:dyDescent="0.2">
      <c r="A3" s="2221" t="s">
        <v>1114</v>
      </c>
      <c r="B3" s="2222"/>
      <c r="C3" s="2210"/>
      <c r="D3" s="2211"/>
      <c r="E3" s="2211"/>
      <c r="F3" s="2212"/>
    </row>
    <row r="4" spans="1:7" ht="12.75" customHeight="1" thickBot="1" x14ac:dyDescent="0.25">
      <c r="A4" s="2219" t="s">
        <v>630</v>
      </c>
      <c r="B4" s="2220"/>
      <c r="C4" s="581"/>
      <c r="D4" s="581"/>
      <c r="E4" s="581"/>
      <c r="F4" s="1755">
        <f>SUM(C4+D4)-E4</f>
        <v>0</v>
      </c>
    </row>
    <row r="5" spans="1:7" ht="15.75" customHeight="1" thickTop="1" x14ac:dyDescent="0.2">
      <c r="A5" s="2204" t="s">
        <v>1110</v>
      </c>
      <c r="B5" s="2205"/>
      <c r="C5" s="2213"/>
      <c r="D5" s="2214"/>
      <c r="E5" s="2214"/>
      <c r="F5" s="221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6" t="s">
        <v>631</v>
      </c>
      <c r="B15" s="2207"/>
      <c r="C15" s="1755">
        <f>SUM(C6:C14)</f>
        <v>0</v>
      </c>
      <c r="D15" s="1755">
        <f>SUM(D6:D14)</f>
        <v>0</v>
      </c>
      <c r="E15" s="1755">
        <f>SUM(E6:E14)</f>
        <v>0</v>
      </c>
      <c r="F15" s="1755">
        <f>SUM(F6:F14)</f>
        <v>0</v>
      </c>
      <c r="G15" s="552"/>
    </row>
    <row r="16" spans="1:7" s="202" customFormat="1" ht="15.75" customHeight="1" thickTop="1" x14ac:dyDescent="0.2">
      <c r="A16" s="2216" t="s">
        <v>1111</v>
      </c>
      <c r="B16" s="2205"/>
      <c r="C16" s="2213"/>
      <c r="D16" s="2214"/>
      <c r="E16" s="2214"/>
      <c r="F16" s="2215"/>
    </row>
    <row r="17" spans="1:11" ht="12.75" customHeight="1" thickBot="1" x14ac:dyDescent="0.25">
      <c r="A17" s="2229" t="s">
        <v>64</v>
      </c>
      <c r="B17" s="2230"/>
      <c r="C17" s="726"/>
      <c r="D17" s="585"/>
      <c r="E17" s="726"/>
      <c r="F17" s="1755">
        <f>SUM(C17+D17)-E17</f>
        <v>0</v>
      </c>
    </row>
    <row r="18" spans="1:11" ht="12.75" customHeight="1" thickTop="1" thickBot="1" x14ac:dyDescent="0.25">
      <c r="A18" s="2229" t="s">
        <v>6</v>
      </c>
      <c r="B18" s="2230"/>
      <c r="C18" s="726"/>
      <c r="D18" s="585"/>
      <c r="E18" s="726"/>
      <c r="F18" s="1755">
        <f>SUM(C18+D18)-E18</f>
        <v>0</v>
      </c>
    </row>
    <row r="19" spans="1:11" ht="12.75" customHeight="1" thickTop="1" thickBot="1" x14ac:dyDescent="0.25">
      <c r="A19" s="2229" t="s">
        <v>388</v>
      </c>
      <c r="B19" s="2230"/>
      <c r="C19" s="726"/>
      <c r="D19" s="585"/>
      <c r="E19" s="726"/>
      <c r="F19" s="1755">
        <f>SUM(C19+D19)-E19</f>
        <v>0</v>
      </c>
    </row>
    <row r="20" spans="1:11" ht="12.75" customHeight="1" thickTop="1" thickBot="1" x14ac:dyDescent="0.25">
      <c r="A20" s="2229" t="s">
        <v>448</v>
      </c>
      <c r="B20" s="2230"/>
      <c r="C20" s="726"/>
      <c r="D20" s="585"/>
      <c r="E20" s="726"/>
      <c r="F20" s="1755">
        <f>SUM(C20+D20)-E20</f>
        <v>0</v>
      </c>
    </row>
    <row r="21" spans="1:11" ht="14.25" thickTop="1" thickBot="1" x14ac:dyDescent="0.25">
      <c r="A21" s="2206" t="s">
        <v>632</v>
      </c>
      <c r="B21" s="2207"/>
      <c r="C21" s="1755">
        <f>SUM(C17:C20)</f>
        <v>0</v>
      </c>
      <c r="D21" s="1755">
        <f>SUM(D17:D20)</f>
        <v>0</v>
      </c>
      <c r="E21" s="1755">
        <f>SUM(E17:E20)</f>
        <v>0</v>
      </c>
      <c r="F21" s="1755">
        <f>SUM(F17:F20)</f>
        <v>0</v>
      </c>
      <c r="G21" s="552"/>
    </row>
    <row r="22" spans="1:11" ht="15.75" customHeight="1" thickTop="1" x14ac:dyDescent="0.2">
      <c r="A22" s="2231" t="s">
        <v>1112</v>
      </c>
      <c r="B22" s="2205"/>
      <c r="C22" s="2213"/>
      <c r="D22" s="2214"/>
      <c r="E22" s="2214"/>
      <c r="F22" s="2215"/>
    </row>
    <row r="23" spans="1:11" ht="13.5" thickBot="1" x14ac:dyDescent="0.25">
      <c r="A23" s="2219" t="s">
        <v>633</v>
      </c>
      <c r="B23" s="2220"/>
      <c r="C23" s="581"/>
      <c r="D23" s="581"/>
      <c r="E23" s="581"/>
      <c r="F23" s="1755">
        <f>SUM(C23+D23)-E23</f>
        <v>0</v>
      </c>
      <c r="G23" s="552"/>
    </row>
    <row r="24" spans="1:11" ht="15.75" customHeight="1" thickTop="1" x14ac:dyDescent="0.2">
      <c r="A24" s="2231" t="s">
        <v>1113</v>
      </c>
      <c r="B24" s="2205"/>
      <c r="C24" s="2213"/>
      <c r="D24" s="2214"/>
      <c r="E24" s="2214"/>
      <c r="F24" s="2215"/>
    </row>
    <row r="25" spans="1:11" ht="13.5" thickBot="1" x14ac:dyDescent="0.25">
      <c r="A25" s="2219" t="s">
        <v>634</v>
      </c>
      <c r="B25" s="2220"/>
      <c r="C25" s="581"/>
      <c r="D25" s="581"/>
      <c r="E25" s="581"/>
      <c r="F25" s="1755">
        <f>SUM(C25+D25)-E25</f>
        <v>0</v>
      </c>
      <c r="G25" s="552"/>
    </row>
    <row r="26" spans="1:11" ht="15.75" customHeight="1" thickTop="1" x14ac:dyDescent="0.2">
      <c r="A26" s="2204" t="s">
        <v>657</v>
      </c>
      <c r="B26" s="2205"/>
      <c r="C26" s="727"/>
      <c r="D26" s="727"/>
      <c r="E26" s="727"/>
      <c r="F26" s="728"/>
    </row>
    <row r="27" spans="1:11" ht="13.5" thickBot="1" x14ac:dyDescent="0.25">
      <c r="A27" s="2206" t="s">
        <v>1070</v>
      </c>
      <c r="B27" s="2207"/>
      <c r="C27" s="585"/>
      <c r="D27" s="585"/>
      <c r="E27" s="585"/>
      <c r="F27" s="1755">
        <f>SUM(C27+D27)-E27</f>
        <v>0</v>
      </c>
      <c r="G27" s="552"/>
    </row>
    <row r="28" spans="1:11" ht="7.5" customHeight="1" thickTop="1" x14ac:dyDescent="0.2">
      <c r="A28" s="593"/>
    </row>
    <row r="29" spans="1:11" ht="23.25" customHeight="1" x14ac:dyDescent="0.2">
      <c r="A29" s="2232" t="s">
        <v>582</v>
      </c>
      <c r="B29" s="2209"/>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2134</v>
      </c>
      <c r="B31" s="733">
        <v>38770</v>
      </c>
      <c r="C31" s="734">
        <v>5000000</v>
      </c>
      <c r="D31" s="735">
        <v>6</v>
      </c>
      <c r="E31" s="734">
        <v>3175000</v>
      </c>
      <c r="F31" s="734"/>
      <c r="G31" s="734"/>
      <c r="H31" s="734">
        <v>500000</v>
      </c>
      <c r="I31" s="1756">
        <f>((E31+F31)-H31)+G31</f>
        <v>2675000</v>
      </c>
      <c r="J31" s="734">
        <v>2666863</v>
      </c>
      <c r="K31" s="736"/>
    </row>
    <row r="32" spans="1:11" ht="12" customHeight="1" x14ac:dyDescent="0.2">
      <c r="A32" s="732" t="s">
        <v>2080</v>
      </c>
      <c r="B32" s="733">
        <v>42241</v>
      </c>
      <c r="C32" s="734">
        <v>3800000</v>
      </c>
      <c r="D32" s="735">
        <v>1</v>
      </c>
      <c r="E32" s="734">
        <v>3725000</v>
      </c>
      <c r="F32" s="734"/>
      <c r="G32" s="734"/>
      <c r="H32" s="734">
        <v>85000</v>
      </c>
      <c r="I32" s="1756">
        <f>((E32+F32)-H32)+G32</f>
        <v>3640000</v>
      </c>
      <c r="J32" s="734">
        <v>3642852</v>
      </c>
      <c r="K32" s="736"/>
    </row>
    <row r="33" spans="1:11" ht="12" customHeight="1" x14ac:dyDescent="0.2">
      <c r="A33" s="732" t="s">
        <v>2081</v>
      </c>
      <c r="B33" s="733">
        <v>42241</v>
      </c>
      <c r="C33" s="734">
        <v>4855000</v>
      </c>
      <c r="D33" s="735">
        <v>3</v>
      </c>
      <c r="E33" s="734">
        <v>3875000</v>
      </c>
      <c r="F33" s="734"/>
      <c r="G33" s="734"/>
      <c r="H33" s="734">
        <v>225000</v>
      </c>
      <c r="I33" s="1756">
        <f t="shared" ref="I33:I48" si="1">((E33+F33)-H33)+G33</f>
        <v>3650000</v>
      </c>
      <c r="J33" s="734">
        <v>3653944</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t="s">
        <v>2082</v>
      </c>
      <c r="B35" s="733">
        <v>42302</v>
      </c>
      <c r="C35" s="738">
        <v>139450</v>
      </c>
      <c r="D35" s="735">
        <v>7</v>
      </c>
      <c r="E35" s="738">
        <v>23748</v>
      </c>
      <c r="F35" s="738"/>
      <c r="G35" s="738"/>
      <c r="H35" s="738">
        <v>23748</v>
      </c>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13794450</v>
      </c>
      <c r="D49" s="745"/>
      <c r="E49" s="1756">
        <f t="shared" ref="E49:J49" si="2">SUM(E31:E48)</f>
        <v>10798748</v>
      </c>
      <c r="F49" s="1756">
        <f t="shared" si="2"/>
        <v>0</v>
      </c>
      <c r="G49" s="1756">
        <f t="shared" si="2"/>
        <v>0</v>
      </c>
      <c r="H49" s="1756">
        <f t="shared" si="2"/>
        <v>833748</v>
      </c>
      <c r="I49" s="1756">
        <f t="shared" si="2"/>
        <v>9965000</v>
      </c>
      <c r="J49" s="1756">
        <f t="shared" si="2"/>
        <v>9963659</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23" t="s">
        <v>584</v>
      </c>
      <c r="C52" s="2224"/>
      <c r="D52" s="2224"/>
      <c r="E52" s="749" t="s">
        <v>845</v>
      </c>
      <c r="F52" s="2225" t="s">
        <v>2083</v>
      </c>
      <c r="G52" s="2226"/>
      <c r="H52" s="736"/>
      <c r="I52" s="736"/>
      <c r="J52" s="746"/>
    </row>
    <row r="53" spans="1:11" ht="11.25" customHeight="1" x14ac:dyDescent="0.2">
      <c r="A53" s="750" t="s">
        <v>913</v>
      </c>
      <c r="B53" s="751" t="s">
        <v>951</v>
      </c>
      <c r="C53" s="746"/>
      <c r="D53" s="737"/>
      <c r="E53" s="749" t="s">
        <v>497</v>
      </c>
      <c r="F53" s="2227"/>
      <c r="G53" s="2228"/>
      <c r="H53" s="736"/>
      <c r="I53" s="736"/>
      <c r="J53" s="746"/>
    </row>
    <row r="54" spans="1:11" ht="11.25" customHeight="1" x14ac:dyDescent="0.2">
      <c r="A54" s="752" t="s">
        <v>914</v>
      </c>
      <c r="B54" s="747" t="s">
        <v>952</v>
      </c>
      <c r="C54" s="746"/>
      <c r="D54" s="737"/>
      <c r="E54" s="749" t="s">
        <v>498</v>
      </c>
      <c r="F54" s="2227"/>
      <c r="G54" s="222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K25" sqref="K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856</v>
      </c>
      <c r="B1" s="2258"/>
      <c r="C1" s="2258"/>
      <c r="D1" s="2258"/>
      <c r="E1" s="2258"/>
      <c r="F1" s="2258"/>
      <c r="G1" s="2259"/>
      <c r="H1" s="1530"/>
      <c r="I1" s="760"/>
      <c r="J1" s="433"/>
    </row>
    <row r="2" spans="1:11" ht="26.25" x14ac:dyDescent="0.2">
      <c r="A2" s="2236" t="s">
        <v>1677</v>
      </c>
      <c r="B2" s="2237"/>
      <c r="C2" s="2237"/>
      <c r="D2" s="2237"/>
      <c r="E2" s="2238"/>
      <c r="F2" s="761" t="s">
        <v>904</v>
      </c>
      <c r="G2" s="762" t="s">
        <v>1674</v>
      </c>
      <c r="H2" s="762" t="s">
        <v>410</v>
      </c>
      <c r="I2" s="762" t="s">
        <v>1158</v>
      </c>
      <c r="J2" s="762" t="s">
        <v>1809</v>
      </c>
      <c r="K2" s="762" t="s">
        <v>138</v>
      </c>
    </row>
    <row r="3" spans="1:11" x14ac:dyDescent="0.2">
      <c r="A3" s="2239" t="s">
        <v>1959</v>
      </c>
      <c r="B3" s="2240"/>
      <c r="C3" s="2240"/>
      <c r="D3" s="2240"/>
      <c r="E3" s="2241"/>
      <c r="F3" s="763"/>
      <c r="G3" s="764"/>
      <c r="H3" s="764"/>
      <c r="I3" s="764"/>
      <c r="J3" s="765"/>
      <c r="K3" s="765">
        <v>45991</v>
      </c>
    </row>
    <row r="4" spans="1:11" x14ac:dyDescent="0.2">
      <c r="A4" s="2242" t="s">
        <v>369</v>
      </c>
      <c r="B4" s="2243"/>
      <c r="C4" s="2243"/>
      <c r="D4" s="2243"/>
      <c r="E4" s="2224"/>
      <c r="F4" s="766"/>
      <c r="G4" s="767"/>
      <c r="H4" s="768"/>
      <c r="I4" s="767"/>
      <c r="J4" s="769"/>
      <c r="K4" s="769"/>
    </row>
    <row r="5" spans="1:11" x14ac:dyDescent="0.2">
      <c r="A5" s="2260" t="s">
        <v>1069</v>
      </c>
      <c r="B5" s="2233"/>
      <c r="C5" s="2233"/>
      <c r="D5" s="2233"/>
      <c r="E5" s="2261"/>
      <c r="F5" s="770" t="s">
        <v>848</v>
      </c>
      <c r="G5" s="771"/>
      <c r="H5" s="764">
        <f>'Revenues 9-14'!C7</f>
        <v>93653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f>'Revenues 9-14'!C101</f>
        <v>19301</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f>'Revenues 9-14'!C148</f>
        <v>11643</v>
      </c>
    </row>
    <row r="10" spans="1:11" x14ac:dyDescent="0.2">
      <c r="A10" s="2260" t="s">
        <v>1810</v>
      </c>
      <c r="B10" s="2233"/>
      <c r="C10" s="2233"/>
      <c r="D10" s="2233"/>
      <c r="E10" s="2262"/>
      <c r="F10" s="783" t="s">
        <v>862</v>
      </c>
      <c r="G10" s="782"/>
      <c r="H10" s="784"/>
      <c r="I10" s="764"/>
      <c r="J10" s="765"/>
      <c r="K10" s="765"/>
    </row>
    <row r="11" spans="1:11" x14ac:dyDescent="0.2">
      <c r="A11" s="2260" t="s">
        <v>160</v>
      </c>
      <c r="B11" s="2233"/>
      <c r="C11" s="2233"/>
      <c r="D11" s="2233"/>
      <c r="E11" s="2261"/>
      <c r="F11" s="770" t="s">
        <v>852</v>
      </c>
      <c r="G11" s="771"/>
      <c r="H11" s="764"/>
      <c r="I11" s="764"/>
      <c r="J11" s="765"/>
      <c r="K11" s="773"/>
    </row>
    <row r="12" spans="1:11" ht="13.5" thickBot="1" x14ac:dyDescent="0.25">
      <c r="A12" s="2250" t="s">
        <v>905</v>
      </c>
      <c r="B12" s="2251"/>
      <c r="C12" s="2251"/>
      <c r="D12" s="2251"/>
      <c r="E12" s="2252"/>
      <c r="F12" s="1757"/>
      <c r="G12" s="1758">
        <f>SUM(G5:G11)</f>
        <v>0</v>
      </c>
      <c r="H12" s="1758">
        <f>SUM(H5:H11)</f>
        <v>93653</v>
      </c>
      <c r="I12" s="1758">
        <f>SUM(I5:I11)</f>
        <v>0</v>
      </c>
      <c r="J12" s="1758">
        <f>SUM(J5:J11)</f>
        <v>0</v>
      </c>
      <c r="K12" s="1758">
        <f>SUM(K5:K11)</f>
        <v>30944</v>
      </c>
    </row>
    <row r="13" spans="1:11" ht="13.5" thickTop="1" x14ac:dyDescent="0.2">
      <c r="A13" s="2244" t="s">
        <v>370</v>
      </c>
      <c r="B13" s="2245"/>
      <c r="C13" s="2245"/>
      <c r="D13" s="2245"/>
      <c r="E13" s="2246"/>
      <c r="F13" s="785"/>
      <c r="G13" s="786"/>
      <c r="H13" s="787"/>
      <c r="I13" s="788"/>
      <c r="J13" s="788"/>
      <c r="K13" s="788"/>
    </row>
    <row r="14" spans="1:11" x14ac:dyDescent="0.2">
      <c r="A14" s="2266" t="s">
        <v>456</v>
      </c>
      <c r="B14" s="2266"/>
      <c r="C14" s="2266"/>
      <c r="D14" s="2266"/>
      <c r="E14" s="2267"/>
      <c r="F14" s="789" t="s">
        <v>854</v>
      </c>
      <c r="G14" s="782"/>
      <c r="H14" s="764">
        <v>93653</v>
      </c>
      <c r="I14" s="771"/>
      <c r="J14" s="773"/>
      <c r="K14" s="765">
        <f>22616+3</f>
        <v>22619</v>
      </c>
    </row>
    <row r="15" spans="1:11" x14ac:dyDescent="0.2">
      <c r="A15" s="2233" t="s">
        <v>4</v>
      </c>
      <c r="B15" s="2233"/>
      <c r="C15" s="2233"/>
      <c r="D15" s="2233"/>
      <c r="E15" s="2261"/>
      <c r="F15" s="789" t="s">
        <v>855</v>
      </c>
      <c r="G15" s="771"/>
      <c r="H15" s="764"/>
      <c r="I15" s="764"/>
      <c r="J15" s="765"/>
      <c r="K15" s="765"/>
    </row>
    <row r="16" spans="1:11" x14ac:dyDescent="0.2">
      <c r="A16" s="2233" t="s">
        <v>298</v>
      </c>
      <c r="B16" s="2233"/>
      <c r="C16" s="2233"/>
      <c r="D16" s="2233"/>
      <c r="E16" s="2261"/>
      <c r="F16" s="789" t="s">
        <v>923</v>
      </c>
      <c r="G16" s="772"/>
      <c r="H16" s="767"/>
      <c r="I16" s="767"/>
      <c r="J16" s="769"/>
      <c r="K16" s="769"/>
    </row>
    <row r="17" spans="1:11" x14ac:dyDescent="0.2">
      <c r="A17" s="2255" t="s">
        <v>935</v>
      </c>
      <c r="B17" s="2255"/>
      <c r="C17" s="2255"/>
      <c r="D17" s="2255"/>
      <c r="E17" s="2256"/>
      <c r="F17" s="790"/>
      <c r="G17" s="791"/>
      <c r="H17" s="792"/>
      <c r="I17" s="792"/>
      <c r="J17" s="793"/>
      <c r="K17" s="794"/>
    </row>
    <row r="18" spans="1:11" x14ac:dyDescent="0.2">
      <c r="A18" s="2247" t="s">
        <v>368</v>
      </c>
      <c r="B18" s="2248"/>
      <c r="C18" s="2248"/>
      <c r="D18" s="2248"/>
      <c r="E18" s="2249"/>
      <c r="F18" s="789" t="s">
        <v>932</v>
      </c>
      <c r="G18" s="782"/>
      <c r="H18" s="782"/>
      <c r="I18" s="782"/>
      <c r="J18" s="765"/>
      <c r="K18" s="795"/>
    </row>
    <row r="19" spans="1:11" ht="21.75" customHeight="1" x14ac:dyDescent="0.2">
      <c r="A19" s="2268" t="s">
        <v>1806</v>
      </c>
      <c r="B19" s="2268"/>
      <c r="C19" s="2268"/>
      <c r="D19" s="2268"/>
      <c r="E19" s="2269"/>
      <c r="F19" s="789" t="s">
        <v>933</v>
      </c>
      <c r="G19" s="782"/>
      <c r="H19" s="782"/>
      <c r="I19" s="782"/>
      <c r="J19" s="765"/>
      <c r="K19" s="795"/>
    </row>
    <row r="20" spans="1:11" x14ac:dyDescent="0.2">
      <c r="A20" s="2247" t="s">
        <v>1811</v>
      </c>
      <c r="B20" s="2248"/>
      <c r="C20" s="2248"/>
      <c r="D20" s="2248"/>
      <c r="E20" s="2249"/>
      <c r="F20" s="789" t="s">
        <v>934</v>
      </c>
      <c r="G20" s="782"/>
      <c r="H20" s="782"/>
      <c r="I20" s="782"/>
      <c r="J20" s="765"/>
      <c r="K20" s="795"/>
    </row>
    <row r="21" spans="1:11" ht="13.5" thickBot="1" x14ac:dyDescent="0.25">
      <c r="A21" s="2253" t="s">
        <v>638</v>
      </c>
      <c r="B21" s="2253"/>
      <c r="C21" s="2253"/>
      <c r="D21" s="2253"/>
      <c r="E21" s="2253"/>
      <c r="F21" s="1759"/>
      <c r="G21" s="792"/>
      <c r="H21" s="796"/>
      <c r="I21" s="796"/>
      <c r="J21" s="1760">
        <f>SUM(J18:J20)</f>
        <v>0</v>
      </c>
      <c r="K21" s="793"/>
    </row>
    <row r="22" spans="1:11" ht="13.5" thickTop="1" x14ac:dyDescent="0.2">
      <c r="A22" s="2233" t="s">
        <v>1812</v>
      </c>
      <c r="B22" s="2233"/>
      <c r="C22" s="2233"/>
      <c r="D22" s="2233"/>
      <c r="E22" s="2261"/>
      <c r="F22" s="789" t="s">
        <v>862</v>
      </c>
      <c r="G22" s="782"/>
      <c r="H22" s="764"/>
      <c r="I22" s="764"/>
      <c r="J22" s="797"/>
      <c r="K22" s="765">
        <f>1166+3666+1320</f>
        <v>6152</v>
      </c>
    </row>
    <row r="23" spans="1:11" ht="13.5" thickBot="1" x14ac:dyDescent="0.25">
      <c r="A23" s="2254" t="s">
        <v>906</v>
      </c>
      <c r="B23" s="2253"/>
      <c r="C23" s="2253"/>
      <c r="D23" s="2253"/>
      <c r="E23" s="2253"/>
      <c r="F23" s="1761"/>
      <c r="G23" s="1758">
        <f>SUM(G14:G16,G21,G22)</f>
        <v>0</v>
      </c>
      <c r="H23" s="1758">
        <f>SUM(H14:H16,H21,H22)</f>
        <v>93653</v>
      </c>
      <c r="I23" s="1758">
        <f>SUM(I14:I16,I21,I22)</f>
        <v>0</v>
      </c>
      <c r="J23" s="1758">
        <f>SUM(J14:J16,J21,J22)</f>
        <v>0</v>
      </c>
      <c r="K23" s="1758">
        <f>SUM(K14:K16,K21,K22)</f>
        <v>28771</v>
      </c>
    </row>
    <row r="24" spans="1:11" ht="14.25" thickTop="1" thickBot="1" x14ac:dyDescent="0.25">
      <c r="A24" s="2254" t="s">
        <v>1960</v>
      </c>
      <c r="B24" s="2253"/>
      <c r="C24" s="2253"/>
      <c r="D24" s="2253"/>
      <c r="E24" s="2253"/>
      <c r="F24" s="1762"/>
      <c r="G24" s="1763">
        <f>SUM(G3,G12)-G23</f>
        <v>0</v>
      </c>
      <c r="H24" s="1763">
        <f>SUM(H3,H12)-H23</f>
        <v>0</v>
      </c>
      <c r="I24" s="1763">
        <f>SUM(I3,I12)-I23</f>
        <v>0</v>
      </c>
      <c r="J24" s="1763">
        <f>SUM(J3,J12)-J23</f>
        <v>0</v>
      </c>
      <c r="K24" s="1763">
        <f>SUM(K3,K12)-K23</f>
        <v>48164</v>
      </c>
    </row>
    <row r="25" spans="1:11" ht="13.5" thickTop="1" x14ac:dyDescent="0.2">
      <c r="A25" s="798" t="s">
        <v>420</v>
      </c>
      <c r="B25" s="799"/>
      <c r="C25" s="799"/>
      <c r="D25" s="799"/>
      <c r="E25" s="800"/>
      <c r="F25" s="801">
        <v>714</v>
      </c>
      <c r="G25" s="802"/>
      <c r="H25" s="802"/>
      <c r="I25" s="802"/>
      <c r="J25" s="797"/>
      <c r="K25" s="797">
        <f>+'Assets-Liab 5-6'!C38</f>
        <v>48164</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3"/>
      <c r="I31" s="2264"/>
      <c r="J31" s="2264"/>
      <c r="K31" s="2264"/>
    </row>
    <row r="32" spans="1:11" x14ac:dyDescent="0.2">
      <c r="A32" s="809"/>
      <c r="B32" s="237"/>
      <c r="C32" s="237"/>
      <c r="D32" s="237"/>
      <c r="E32" s="805"/>
      <c r="F32" s="811" t="s">
        <v>540</v>
      </c>
      <c r="G32" s="764"/>
      <c r="H32" s="2265"/>
      <c r="I32" s="2264"/>
      <c r="J32" s="2264"/>
      <c r="K32" s="2264"/>
    </row>
    <row r="33" spans="1:11" ht="1.5" customHeight="1" x14ac:dyDescent="0.2">
      <c r="A33" s="812" t="s">
        <v>1169</v>
      </c>
      <c r="B33" s="364"/>
      <c r="C33" s="364"/>
      <c r="D33" s="364"/>
      <c r="E33" s="364"/>
      <c r="F33" s="364"/>
      <c r="G33" s="813"/>
      <c r="H33" s="2265"/>
      <c r="I33" s="2264"/>
      <c r="J33" s="2264"/>
      <c r="K33" s="226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3"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1905</v>
      </c>
      <c r="B1" s="2273"/>
      <c r="C1" s="2274"/>
      <c r="D1" s="826"/>
      <c r="E1" s="827"/>
      <c r="F1" s="827"/>
      <c r="G1" s="828"/>
      <c r="H1" s="829"/>
      <c r="I1" s="830"/>
      <c r="J1" s="2270"/>
      <c r="K1" s="2271"/>
      <c r="L1" s="2271"/>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582055</v>
      </c>
      <c r="D5" s="841"/>
      <c r="E5" s="841"/>
      <c r="F5" s="1760">
        <f>(C5+D5)-E5</f>
        <v>582055</v>
      </c>
      <c r="G5" s="837"/>
      <c r="H5" s="842"/>
      <c r="I5" s="842"/>
      <c r="J5" s="842"/>
      <c r="K5" s="793"/>
      <c r="L5" s="1769">
        <f>F5-K5</f>
        <v>582055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16527473</v>
      </c>
      <c r="D8" s="844"/>
      <c r="E8" s="844"/>
      <c r="F8" s="1760">
        <f>(C8+D8)-E8</f>
        <v>16527473</v>
      </c>
      <c r="G8" s="843">
        <v>50</v>
      </c>
      <c r="H8" s="765">
        <v>6985131</v>
      </c>
      <c r="I8" s="765">
        <v>335169</v>
      </c>
      <c r="J8" s="765"/>
      <c r="K8" s="1769">
        <f>(H8+I8)-J8</f>
        <v>7320300</v>
      </c>
      <c r="L8" s="1769">
        <f>F8-K8</f>
        <v>9207173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4418387</v>
      </c>
      <c r="D10" s="846">
        <v>35110</v>
      </c>
      <c r="E10" s="846"/>
      <c r="F10" s="1764">
        <f>(C10+D10)-E10</f>
        <v>4453497</v>
      </c>
      <c r="G10" s="843">
        <v>20</v>
      </c>
      <c r="H10" s="847">
        <v>1133987</v>
      </c>
      <c r="I10" s="847">
        <v>199373</v>
      </c>
      <c r="J10" s="847"/>
      <c r="K10" s="1769">
        <f>(H10+I10)-J10</f>
        <v>1333360</v>
      </c>
      <c r="L10" s="1769">
        <f>F10-K10</f>
        <v>3120137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5010584</v>
      </c>
      <c r="D12" s="844">
        <v>188706</v>
      </c>
      <c r="E12" s="844"/>
      <c r="F12" s="1760">
        <f>(C12+D12)-E12</f>
        <v>5199290</v>
      </c>
      <c r="G12" s="843">
        <v>10</v>
      </c>
      <c r="H12" s="765">
        <v>4181793</v>
      </c>
      <c r="I12" s="765">
        <v>153148</v>
      </c>
      <c r="J12" s="765"/>
      <c r="K12" s="1769">
        <f>(H12+I12)-J12</f>
        <v>4334941</v>
      </c>
      <c r="L12" s="1769">
        <f>F12-K12</f>
        <v>864349</v>
      </c>
    </row>
    <row r="13" spans="1:14" ht="14.25" thickTop="1" thickBot="1" x14ac:dyDescent="0.25">
      <c r="A13" s="848" t="s">
        <v>1122</v>
      </c>
      <c r="B13" s="840">
        <v>252</v>
      </c>
      <c r="C13" s="844">
        <v>192968</v>
      </c>
      <c r="D13" s="844">
        <v>14570</v>
      </c>
      <c r="E13" s="844"/>
      <c r="F13" s="1760">
        <f>(C13+D13)-E13</f>
        <v>207538</v>
      </c>
      <c r="G13" s="843">
        <v>5</v>
      </c>
      <c r="H13" s="765">
        <v>173518</v>
      </c>
      <c r="I13" s="765">
        <v>7441</v>
      </c>
      <c r="J13" s="765"/>
      <c r="K13" s="1769">
        <f>(H13+I13)-J13</f>
        <v>180959</v>
      </c>
      <c r="L13" s="1769">
        <f>F13-K13</f>
        <v>26579</v>
      </c>
    </row>
    <row r="14" spans="1:14" ht="14.25" thickTop="1" thickBot="1" x14ac:dyDescent="0.25">
      <c r="A14" s="848" t="s">
        <v>1123</v>
      </c>
      <c r="B14" s="840">
        <v>253</v>
      </c>
      <c r="C14" s="765">
        <v>20906</v>
      </c>
      <c r="D14" s="765"/>
      <c r="E14" s="765"/>
      <c r="F14" s="1760">
        <f>(C14+D14)-E14</f>
        <v>20906</v>
      </c>
      <c r="G14" s="843">
        <v>3</v>
      </c>
      <c r="H14" s="765">
        <v>19022</v>
      </c>
      <c r="I14" s="765">
        <v>844</v>
      </c>
      <c r="J14" s="765"/>
      <c r="K14" s="1769">
        <f>(H14+I14)-J14</f>
        <v>19866</v>
      </c>
      <c r="L14" s="1769">
        <f>F14-K14</f>
        <v>1040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26752373</v>
      </c>
      <c r="D16" s="1760">
        <f>SUM(D3,D5:D6,D8:D10,D12:D15)</f>
        <v>238386</v>
      </c>
      <c r="E16" s="1760">
        <f>SUM(E3,E5:E6,E8:E10,E12:E15)</f>
        <v>0</v>
      </c>
      <c r="F16" s="1760">
        <f>SUM(F3,F5:F6,F8:F10,F12:F15)</f>
        <v>26990759</v>
      </c>
      <c r="G16" s="843"/>
      <c r="H16" s="1760">
        <f>SUM(H3,H6,H8:H10,H12:H14,)</f>
        <v>12493451</v>
      </c>
      <c r="I16" s="1760">
        <f>SUM(I3,I6,I8:I10,I12:I14,)</f>
        <v>695975</v>
      </c>
      <c r="J16" s="1760">
        <f>SUM(J3,J6,J8:J10,J12:J14,)</f>
        <v>0</v>
      </c>
      <c r="K16" s="1760">
        <f>(H16+I16)-J16</f>
        <v>13189426</v>
      </c>
      <c r="L16" s="1760">
        <f>F16-K16</f>
        <v>13801333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695975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8" t="s">
        <v>1970</v>
      </c>
      <c r="B1" s="2279"/>
      <c r="C1" s="2279"/>
      <c r="D1" s="2279"/>
      <c r="E1" s="2279"/>
      <c r="F1" s="2280"/>
      <c r="G1" s="855"/>
    </row>
    <row r="2" spans="1:7" ht="15" customHeight="1" thickBot="1" x14ac:dyDescent="0.25">
      <c r="A2" s="2281" t="s">
        <v>477</v>
      </c>
      <c r="B2" s="2282"/>
      <c r="C2" s="2282"/>
      <c r="D2" s="2282"/>
      <c r="E2" s="2282"/>
      <c r="F2" s="228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4"/>
      <c r="B5" s="2285"/>
      <c r="C5" s="2285"/>
      <c r="D5" s="2285"/>
      <c r="E5" s="2285"/>
      <c r="F5" s="2285"/>
    </row>
    <row r="6" spans="1:7" ht="13.5" customHeight="1" thickBot="1" x14ac:dyDescent="0.25">
      <c r="A6" s="2275" t="s">
        <v>1104</v>
      </c>
      <c r="B6" s="2276"/>
      <c r="C6" s="2276"/>
      <c r="D6" s="2276"/>
      <c r="E6" s="2276"/>
      <c r="F6" s="227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9548153</v>
      </c>
      <c r="G8" s="865"/>
    </row>
    <row r="9" spans="1:7" x14ac:dyDescent="0.2">
      <c r="A9" s="869" t="s">
        <v>460</v>
      </c>
      <c r="B9" s="870" t="s">
        <v>1873</v>
      </c>
      <c r="C9" s="871"/>
      <c r="D9" s="869" t="s">
        <v>501</v>
      </c>
      <c r="E9" s="868"/>
      <c r="F9" s="1909">
        <f>'Expenditures 15-22'!K151</f>
        <v>540481</v>
      </c>
      <c r="G9" s="872"/>
    </row>
    <row r="10" spans="1:7" x14ac:dyDescent="0.2">
      <c r="A10" s="869" t="s">
        <v>499</v>
      </c>
      <c r="B10" s="870" t="s">
        <v>1874</v>
      </c>
      <c r="C10" s="871"/>
      <c r="D10" s="869" t="s">
        <v>501</v>
      </c>
      <c r="E10" s="868"/>
      <c r="F10" s="1909">
        <f>'Expenditures 15-22'!K174</f>
        <v>1300587</v>
      </c>
      <c r="G10" s="872"/>
    </row>
    <row r="11" spans="1:7" x14ac:dyDescent="0.2">
      <c r="A11" s="869" t="s">
        <v>461</v>
      </c>
      <c r="B11" s="870" t="s">
        <v>1875</v>
      </c>
      <c r="C11" s="871"/>
      <c r="D11" s="869" t="s">
        <v>501</v>
      </c>
      <c r="E11" s="868"/>
      <c r="F11" s="1909">
        <f>'Expenditures 15-22'!K210</f>
        <v>976629</v>
      </c>
      <c r="G11" s="872"/>
    </row>
    <row r="12" spans="1:7" x14ac:dyDescent="0.2">
      <c r="A12" s="869" t="s">
        <v>462</v>
      </c>
      <c r="B12" s="870" t="s">
        <v>1876</v>
      </c>
      <c r="C12" s="871"/>
      <c r="D12" s="869" t="s">
        <v>501</v>
      </c>
      <c r="E12" s="868"/>
      <c r="F12" s="1909">
        <f>'Expenditures 15-22'!K295</f>
        <v>278582</v>
      </c>
      <c r="G12" s="872"/>
    </row>
    <row r="13" spans="1:7" x14ac:dyDescent="0.2">
      <c r="A13" s="869" t="s">
        <v>106</v>
      </c>
      <c r="B13" s="870" t="s">
        <v>1877</v>
      </c>
      <c r="C13" s="871"/>
      <c r="D13" s="869" t="s">
        <v>501</v>
      </c>
      <c r="E13" s="868"/>
      <c r="F13" s="1909">
        <f>'Expenditures 15-22'!K342</f>
        <v>72979</v>
      </c>
      <c r="G13" s="873"/>
    </row>
    <row r="14" spans="1:7" ht="12" customHeight="1" thickBot="1" x14ac:dyDescent="0.25">
      <c r="A14" s="1770"/>
      <c r="B14" s="1771"/>
      <c r="C14" s="1772"/>
      <c r="D14" s="1773" t="s">
        <v>501</v>
      </c>
      <c r="E14" s="1774" t="s">
        <v>958</v>
      </c>
      <c r="F14" s="1775">
        <f>SUM(F8:F13)</f>
        <v>12717411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249572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867642</v>
      </c>
      <c r="G53" s="865"/>
    </row>
    <row r="54" spans="1:7" x14ac:dyDescent="0.2">
      <c r="A54" s="869" t="s">
        <v>459</v>
      </c>
      <c r="B54" s="869" t="s">
        <v>1476</v>
      </c>
      <c r="C54" s="889" t="s">
        <v>982</v>
      </c>
      <c r="D54" s="885" t="s">
        <v>1095</v>
      </c>
      <c r="E54" s="868"/>
      <c r="F54" s="1913">
        <f>'Expenditures 15-22'!G114</f>
        <v>208449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29937</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833748</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7288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2196636</v>
      </c>
      <c r="G76" s="865"/>
    </row>
    <row r="77" spans="1:8" s="893" customFormat="1" ht="12" customHeight="1" thickTop="1" thickBot="1" x14ac:dyDescent="0.25">
      <c r="A77" s="1779"/>
      <c r="B77" s="1776"/>
      <c r="C77" s="1772"/>
      <c r="D77" s="1777" t="s">
        <v>1896</v>
      </c>
      <c r="E77" s="1774"/>
      <c r="F77" s="1780">
        <f>(F14-F76)</f>
        <v>10520775</v>
      </c>
      <c r="G77" s="869"/>
    </row>
    <row r="78" spans="1:8" s="893" customFormat="1" ht="12" customHeight="1" thickTop="1" x14ac:dyDescent="0.2">
      <c r="A78" s="1781"/>
      <c r="B78" s="1776"/>
      <c r="C78" s="1772"/>
      <c r="D78" s="1777" t="s">
        <v>2057</v>
      </c>
      <c r="E78" s="1774"/>
      <c r="F78" s="898">
        <v>1022.86</v>
      </c>
      <c r="G78" s="899"/>
      <c r="H78" s="869"/>
    </row>
    <row r="79" spans="1:8" s="893" customFormat="1" ht="12" customHeight="1" thickBot="1" x14ac:dyDescent="0.25">
      <c r="A79" s="1782"/>
      <c r="B79" s="1776"/>
      <c r="C79" s="1772"/>
      <c r="D79" s="1777" t="s">
        <v>1897</v>
      </c>
      <c r="E79" s="1774" t="s">
        <v>958</v>
      </c>
      <c r="F79" s="1783">
        <f>IF(F78&gt;0,F77/F78," Complete Line 78")</f>
        <v>10285.645151829185</v>
      </c>
      <c r="G79" s="869"/>
    </row>
    <row r="80" spans="1:8" s="893" customFormat="1" ht="8.25" customHeight="1" thickTop="1" x14ac:dyDescent="0.2">
      <c r="A80" s="900"/>
      <c r="B80" s="869"/>
      <c r="C80" s="871"/>
      <c r="D80" s="901"/>
      <c r="E80" s="868"/>
      <c r="F80" s="902"/>
      <c r="G80" s="869"/>
    </row>
    <row r="81" spans="1:7" s="893" customFormat="1" ht="12" thickBot="1" x14ac:dyDescent="0.25">
      <c r="A81" s="2275" t="s">
        <v>1105</v>
      </c>
      <c r="B81" s="2276"/>
      <c r="C81" s="2276"/>
      <c r="D81" s="2276"/>
      <c r="E81" s="2276"/>
      <c r="F81" s="227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125394</v>
      </c>
      <c r="G94" s="912"/>
    </row>
    <row r="95" spans="1:7" x14ac:dyDescent="0.2">
      <c r="A95" s="908" t="s">
        <v>140</v>
      </c>
      <c r="B95" s="908" t="s">
        <v>175</v>
      </c>
      <c r="C95" s="910">
        <v>1700</v>
      </c>
      <c r="D95" s="918" t="str">
        <f>'Revenues 9-14'!A82</f>
        <v>Total District/School Activity Income</v>
      </c>
      <c r="E95" s="906"/>
      <c r="F95" s="1789">
        <f>SUM('Revenues 9-14'!C82,'Revenues 9-14'!D82)</f>
        <v>129553</v>
      </c>
      <c r="G95" s="912"/>
    </row>
    <row r="96" spans="1:7" x14ac:dyDescent="0.2">
      <c r="A96" s="908" t="s">
        <v>459</v>
      </c>
      <c r="B96" s="908" t="s">
        <v>176</v>
      </c>
      <c r="C96" s="910">
        <f>'Revenues 9-14'!B84</f>
        <v>1811</v>
      </c>
      <c r="D96" s="911" t="str">
        <f>'Revenues 9-14'!A84</f>
        <v>Rentals - Regular Textbooks</v>
      </c>
      <c r="E96" s="906"/>
      <c r="F96" s="1789">
        <f>'Revenues 9-14'!C84</f>
        <v>7589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4815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18532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553067</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851</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5668</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11643</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469600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2204</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332039</v>
      </c>
      <c r="G125" s="930"/>
    </row>
    <row r="126" spans="1:7" x14ac:dyDescent="0.2">
      <c r="A126" s="927" t="s">
        <v>668</v>
      </c>
      <c r="B126" s="927" t="s">
        <v>2019</v>
      </c>
      <c r="C126" s="932">
        <v>4300</v>
      </c>
      <c r="D126" s="933" t="str">
        <f>'Revenues 9-14'!A204</f>
        <v>Total Title I</v>
      </c>
      <c r="E126" s="906"/>
      <c r="F126" s="1789">
        <f>SUM('Revenues 9-14'!C204,'Revenues 9-14'!D204,'Revenues 9-14'!F204,'Revenues 9-14'!G204)</f>
        <v>434963</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271121</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181274</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16841</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25610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14887</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35372</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444861</v>
      </c>
      <c r="G171" s="927"/>
    </row>
    <row r="172" spans="1:7" x14ac:dyDescent="0.2">
      <c r="A172" s="1918" t="s">
        <v>664</v>
      </c>
      <c r="B172" s="1919" t="s">
        <v>1916</v>
      </c>
      <c r="C172" s="1920">
        <v>3300</v>
      </c>
      <c r="D172" s="1921" t="s">
        <v>1919</v>
      </c>
      <c r="E172" s="906"/>
      <c r="F172" s="1906">
        <v>52800</v>
      </c>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3138684</v>
      </c>
    </row>
    <row r="175" spans="1:7" ht="12" customHeight="1" x14ac:dyDescent="0.2">
      <c r="A175" s="1770"/>
      <c r="B175" s="1784"/>
      <c r="C175" s="1785"/>
      <c r="D175" s="1786" t="s">
        <v>2052</v>
      </c>
      <c r="E175" s="1787"/>
      <c r="F175" s="1789">
        <f>'PCTC-OEPP 27-28'!F77-F174</f>
        <v>7382091</v>
      </c>
    </row>
    <row r="176" spans="1:7" ht="12" customHeight="1" x14ac:dyDescent="0.2">
      <c r="A176" s="1770"/>
      <c r="B176" s="1784"/>
      <c r="C176" s="1785"/>
      <c r="D176" s="1786" t="s">
        <v>1814</v>
      </c>
      <c r="E176" s="1787"/>
      <c r="F176" s="1789">
        <f>'Cap Outlay Deprec 26'!I18</f>
        <v>695975</v>
      </c>
    </row>
    <row r="177" spans="1:7" ht="12" customHeight="1" x14ac:dyDescent="0.2">
      <c r="A177" s="1770"/>
      <c r="B177" s="1784"/>
      <c r="C177" s="1785"/>
      <c r="D177" s="1786" t="s">
        <v>2053</v>
      </c>
      <c r="E177" s="1787"/>
      <c r="F177" s="1789">
        <f>F175+F176</f>
        <v>8078066</v>
      </c>
    </row>
    <row r="178" spans="1:7" ht="12" customHeight="1" x14ac:dyDescent="0.2">
      <c r="A178" s="1770"/>
      <c r="B178" s="1790"/>
      <c r="C178" s="1785"/>
      <c r="D178" s="1786" t="str">
        <f>D78</f>
        <v>9 Month ADA from District Average Daily Attendance/Prior General State Aid Inquiry 2018-2019</v>
      </c>
      <c r="E178" s="1787"/>
      <c r="F178" s="1791">
        <f>'PCTC-OEPP 27-28'!F78</f>
        <v>1022.86</v>
      </c>
      <c r="G178" s="930"/>
    </row>
    <row r="179" spans="1:7" ht="12" customHeight="1" thickBot="1" x14ac:dyDescent="0.25">
      <c r="A179" s="1770"/>
      <c r="B179" s="1790"/>
      <c r="C179" s="1785"/>
      <c r="D179" s="1786" t="s">
        <v>2054</v>
      </c>
      <c r="E179" s="1787" t="s">
        <v>1545</v>
      </c>
      <c r="F179" s="1792">
        <f>F177/F178</f>
        <v>7897.5284985237467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2"/>
  <sheetViews>
    <sheetView showGridLines="0" topLeftCell="A1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89" t="s">
        <v>1815</v>
      </c>
      <c r="B4" s="2290"/>
      <c r="C4" s="2290"/>
      <c r="D4" s="2290"/>
      <c r="E4" s="2290"/>
      <c r="F4" s="2290"/>
      <c r="G4" s="2291"/>
    </row>
    <row r="5" spans="1:7" x14ac:dyDescent="0.25">
      <c r="A5" s="2292"/>
      <c r="B5" s="2293"/>
      <c r="C5" s="2293"/>
      <c r="D5" s="2293"/>
      <c r="E5" s="2293"/>
      <c r="F5" s="2293"/>
      <c r="G5" s="2294"/>
    </row>
    <row r="6" spans="1:7" ht="18.75" x14ac:dyDescent="0.25">
      <c r="A6" s="1936" t="s">
        <v>2085</v>
      </c>
      <c r="B6" s="1937"/>
      <c r="C6" s="1937"/>
      <c r="D6" s="1937"/>
      <c r="E6" s="1937"/>
      <c r="F6" s="1937"/>
      <c r="G6" s="1938"/>
    </row>
    <row r="7" spans="1:7" ht="18.75" x14ac:dyDescent="0.25">
      <c r="A7" s="1534" t="s">
        <v>1816</v>
      </c>
      <c r="B7" s="1535"/>
      <c r="C7" s="1535"/>
      <c r="D7" s="1535"/>
      <c r="E7" s="1535"/>
      <c r="F7" s="1535"/>
      <c r="G7" s="1536"/>
    </row>
    <row r="8" spans="1:7" ht="30.75" customHeight="1" x14ac:dyDescent="0.25">
      <c r="A8" s="2295" t="s">
        <v>1928</v>
      </c>
      <c r="B8" s="2296"/>
      <c r="C8" s="2296"/>
      <c r="D8" s="2296"/>
      <c r="E8" s="2296"/>
      <c r="F8" s="2296"/>
      <c r="G8" s="2297"/>
    </row>
    <row r="9" spans="1:7" ht="15.75" customHeight="1" x14ac:dyDescent="0.25">
      <c r="A9" s="2298" t="s">
        <v>1903</v>
      </c>
      <c r="B9" s="2299"/>
      <c r="C9" s="2299"/>
      <c r="D9" s="2299"/>
      <c r="E9" s="2299"/>
      <c r="F9" s="2299"/>
      <c r="G9" s="2300"/>
    </row>
    <row r="10" spans="1:7" ht="35.25" customHeight="1" x14ac:dyDescent="0.25">
      <c r="A10" s="2295" t="s">
        <v>2086</v>
      </c>
      <c r="B10" s="2296"/>
      <c r="C10" s="2296"/>
      <c r="D10" s="2296"/>
      <c r="E10" s="2296"/>
      <c r="F10" s="2296"/>
      <c r="G10" s="2297"/>
    </row>
    <row r="11" spans="1:7" ht="15" customHeight="1" x14ac:dyDescent="0.25">
      <c r="A11" s="1537" t="s">
        <v>1817</v>
      </c>
      <c r="B11" s="1538"/>
      <c r="C11" s="1538"/>
      <c r="D11" s="1538"/>
      <c r="E11" s="1538"/>
      <c r="F11" s="1538"/>
      <c r="G11" s="1539"/>
    </row>
    <row r="12" spans="1:7" ht="17.25" customHeight="1" x14ac:dyDescent="0.25">
      <c r="A12" s="2295" t="s">
        <v>1930</v>
      </c>
      <c r="B12" s="2296"/>
      <c r="C12" s="2296"/>
      <c r="D12" s="2296"/>
      <c r="E12" s="2296"/>
      <c r="F12" s="2296"/>
      <c r="G12" s="2297"/>
    </row>
    <row r="13" spans="1:7" ht="15" customHeight="1" x14ac:dyDescent="0.25">
      <c r="A13" s="1537" t="s">
        <v>1822</v>
      </c>
      <c r="B13" s="1538"/>
      <c r="C13" s="1538"/>
      <c r="D13" s="1538"/>
      <c r="E13" s="1538"/>
      <c r="F13" s="1538"/>
      <c r="G13" s="1539"/>
    </row>
    <row r="14" spans="1:7" ht="32.25" customHeight="1" x14ac:dyDescent="0.25">
      <c r="A14" s="2286" t="s">
        <v>1971</v>
      </c>
      <c r="B14" s="2287"/>
      <c r="C14" s="2287"/>
      <c r="D14" s="2287"/>
      <c r="E14" s="2287"/>
      <c r="F14" s="2287"/>
      <c r="G14" s="2288"/>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 t="shared" ref="E17:E37" si="0">IF(D17&lt;=25000,D17,IF(D17&gt;25000,25000,0))</f>
        <v>25000</v>
      </c>
      <c r="F17" s="1651">
        <f t="shared" ref="F17:F37"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55" t="s">
        <v>2155</v>
      </c>
      <c r="B18" s="1956" t="s">
        <v>2175</v>
      </c>
      <c r="C18" s="1954" t="s">
        <v>2180</v>
      </c>
      <c r="D18" s="1844">
        <v>30090</v>
      </c>
      <c r="E18" s="1540">
        <f t="shared" si="0"/>
        <v>25000</v>
      </c>
      <c r="F18" s="1939">
        <f t="shared" si="1"/>
        <v>25000</v>
      </c>
      <c r="G18" s="1793">
        <f t="shared" ref="G18:G37" si="2">IF(F18=0,0,D18-F18)</f>
        <v>5090</v>
      </c>
      <c r="H18" s="1647"/>
    </row>
    <row r="19" spans="1:8" x14ac:dyDescent="0.25">
      <c r="A19" s="1955" t="s">
        <v>2160</v>
      </c>
      <c r="B19" s="1956" t="s">
        <v>2159</v>
      </c>
      <c r="C19" s="1954" t="s">
        <v>2179</v>
      </c>
      <c r="D19" s="1844">
        <v>2120</v>
      </c>
      <c r="E19" s="1540">
        <f t="shared" si="0"/>
        <v>2120</v>
      </c>
      <c r="F19" s="1939">
        <f t="shared" si="1"/>
        <v>2120</v>
      </c>
      <c r="G19" s="1793">
        <f t="shared" si="2"/>
        <v>0</v>
      </c>
    </row>
    <row r="20" spans="1:8" x14ac:dyDescent="0.25">
      <c r="A20" s="1955" t="s">
        <v>2176</v>
      </c>
      <c r="B20" s="1956" t="s">
        <v>2175</v>
      </c>
      <c r="C20" s="1954" t="s">
        <v>2178</v>
      </c>
      <c r="D20" s="1844">
        <v>11048</v>
      </c>
      <c r="E20" s="1540">
        <f t="shared" si="0"/>
        <v>11048</v>
      </c>
      <c r="F20" s="1939">
        <f t="shared" si="1"/>
        <v>11048</v>
      </c>
      <c r="G20" s="1793">
        <f t="shared" si="2"/>
        <v>0</v>
      </c>
    </row>
    <row r="21" spans="1:8" x14ac:dyDescent="0.25">
      <c r="A21" s="1955" t="s">
        <v>2176</v>
      </c>
      <c r="B21" s="1956" t="s">
        <v>2175</v>
      </c>
      <c r="C21" s="1954" t="s">
        <v>2177</v>
      </c>
      <c r="D21" s="1844">
        <v>12500</v>
      </c>
      <c r="E21" s="1540">
        <f t="shared" si="0"/>
        <v>12500</v>
      </c>
      <c r="F21" s="1939">
        <f t="shared" si="1"/>
        <v>12500</v>
      </c>
      <c r="G21" s="1793">
        <f t="shared" si="2"/>
        <v>0</v>
      </c>
    </row>
    <row r="22" spans="1:8" x14ac:dyDescent="0.25">
      <c r="A22" s="1955" t="s">
        <v>2176</v>
      </c>
      <c r="B22" s="1956" t="s">
        <v>2175</v>
      </c>
      <c r="C22" s="1958" t="s">
        <v>2193</v>
      </c>
      <c r="D22" s="1844">
        <v>3324</v>
      </c>
      <c r="E22" s="1540">
        <f t="shared" si="0"/>
        <v>3324</v>
      </c>
      <c r="F22" s="1939">
        <f t="shared" si="1"/>
        <v>3324</v>
      </c>
      <c r="G22" s="1793">
        <f t="shared" si="2"/>
        <v>0</v>
      </c>
    </row>
    <row r="23" spans="1:8" x14ac:dyDescent="0.25">
      <c r="A23" s="1955" t="s">
        <v>2176</v>
      </c>
      <c r="B23" s="1956" t="s">
        <v>2175</v>
      </c>
      <c r="C23" s="1954" t="s">
        <v>2174</v>
      </c>
      <c r="D23" s="1844">
        <v>6783</v>
      </c>
      <c r="E23" s="1540">
        <f t="shared" si="0"/>
        <v>6783</v>
      </c>
      <c r="F23" s="1939">
        <f t="shared" si="1"/>
        <v>6783</v>
      </c>
      <c r="G23" s="1793">
        <f t="shared" si="2"/>
        <v>0</v>
      </c>
    </row>
    <row r="24" spans="1:8" x14ac:dyDescent="0.25">
      <c r="A24" s="1955" t="s">
        <v>2171</v>
      </c>
      <c r="B24" s="1956" t="s">
        <v>1821</v>
      </c>
      <c r="C24" s="1954" t="s">
        <v>2173</v>
      </c>
      <c r="D24" s="1844">
        <v>90119</v>
      </c>
      <c r="E24" s="1540">
        <f t="shared" si="0"/>
        <v>25000</v>
      </c>
      <c r="F24" s="1939">
        <f t="shared" si="1"/>
        <v>25000</v>
      </c>
      <c r="G24" s="1793">
        <f t="shared" si="2"/>
        <v>65119</v>
      </c>
    </row>
    <row r="25" spans="1:8" x14ac:dyDescent="0.25">
      <c r="A25" s="1955" t="s">
        <v>2171</v>
      </c>
      <c r="B25" s="1956" t="s">
        <v>1821</v>
      </c>
      <c r="C25" s="1954" t="s">
        <v>2172</v>
      </c>
      <c r="D25" s="1844">
        <v>506909</v>
      </c>
      <c r="E25" s="1540">
        <f t="shared" si="0"/>
        <v>25000</v>
      </c>
      <c r="F25" s="1939">
        <f t="shared" si="1"/>
        <v>25000</v>
      </c>
      <c r="G25" s="1793">
        <f t="shared" si="2"/>
        <v>481909</v>
      </c>
    </row>
    <row r="26" spans="1:8" x14ac:dyDescent="0.25">
      <c r="A26" s="1955" t="s">
        <v>2171</v>
      </c>
      <c r="B26" s="1956" t="s">
        <v>1821</v>
      </c>
      <c r="C26" s="1954" t="s">
        <v>2170</v>
      </c>
      <c r="D26" s="1844">
        <v>167542</v>
      </c>
      <c r="E26" s="1540">
        <f t="shared" si="0"/>
        <v>25000</v>
      </c>
      <c r="F26" s="1939">
        <f t="shared" si="1"/>
        <v>25000</v>
      </c>
      <c r="G26" s="1793">
        <f t="shared" si="2"/>
        <v>142542</v>
      </c>
    </row>
    <row r="27" spans="1:8" x14ac:dyDescent="0.25">
      <c r="A27" s="1955" t="s">
        <v>2166</v>
      </c>
      <c r="B27" s="1956" t="s">
        <v>2165</v>
      </c>
      <c r="C27" s="1954" t="s">
        <v>2169</v>
      </c>
      <c r="D27" s="1844">
        <v>2899</v>
      </c>
      <c r="E27" s="1540">
        <f t="shared" si="0"/>
        <v>2899</v>
      </c>
      <c r="F27" s="1939">
        <f t="shared" si="1"/>
        <v>2899</v>
      </c>
      <c r="G27" s="1793">
        <f t="shared" si="2"/>
        <v>0</v>
      </c>
    </row>
    <row r="28" spans="1:8" x14ac:dyDescent="0.25">
      <c r="A28" s="1955" t="s">
        <v>2166</v>
      </c>
      <c r="B28" s="1956" t="s">
        <v>2165</v>
      </c>
      <c r="C28" s="1954" t="s">
        <v>2168</v>
      </c>
      <c r="D28" s="1844">
        <v>2448</v>
      </c>
      <c r="E28" s="1540">
        <f t="shared" si="0"/>
        <v>2448</v>
      </c>
      <c r="F28" s="1939">
        <f t="shared" si="1"/>
        <v>2448</v>
      </c>
      <c r="G28" s="1793">
        <f t="shared" si="2"/>
        <v>0</v>
      </c>
    </row>
    <row r="29" spans="1:8" x14ac:dyDescent="0.25">
      <c r="A29" s="1955" t="s">
        <v>2155</v>
      </c>
      <c r="B29" s="1956" t="s">
        <v>2151</v>
      </c>
      <c r="C29" s="1954" t="s">
        <v>2167</v>
      </c>
      <c r="D29" s="1844">
        <v>12452</v>
      </c>
      <c r="E29" s="1540">
        <f t="shared" si="0"/>
        <v>12452</v>
      </c>
      <c r="F29" s="1939">
        <f t="shared" si="1"/>
        <v>12452</v>
      </c>
      <c r="G29" s="1793">
        <f t="shared" si="2"/>
        <v>0</v>
      </c>
    </row>
    <row r="30" spans="1:8" x14ac:dyDescent="0.25">
      <c r="A30" s="1955" t="s">
        <v>2166</v>
      </c>
      <c r="B30" s="1956" t="s">
        <v>2165</v>
      </c>
      <c r="C30" s="1954" t="s">
        <v>2164</v>
      </c>
      <c r="D30" s="1844">
        <v>2520</v>
      </c>
      <c r="E30" s="1540">
        <f t="shared" si="0"/>
        <v>2520</v>
      </c>
      <c r="F30" s="1939">
        <f t="shared" si="1"/>
        <v>2520</v>
      </c>
      <c r="G30" s="1793">
        <f t="shared" si="2"/>
        <v>0</v>
      </c>
    </row>
    <row r="31" spans="1:8" x14ac:dyDescent="0.25">
      <c r="A31" s="1955" t="s">
        <v>2160</v>
      </c>
      <c r="B31" s="1956" t="s">
        <v>1821</v>
      </c>
      <c r="C31" s="1954" t="s">
        <v>2163</v>
      </c>
      <c r="D31" s="1844">
        <v>17000</v>
      </c>
      <c r="E31" s="1540">
        <f t="shared" si="0"/>
        <v>17000</v>
      </c>
      <c r="F31" s="1939">
        <f t="shared" si="1"/>
        <v>17000</v>
      </c>
      <c r="G31" s="1793">
        <f t="shared" si="2"/>
        <v>0</v>
      </c>
    </row>
    <row r="32" spans="1:8" x14ac:dyDescent="0.25">
      <c r="A32" s="1957" t="s">
        <v>2190</v>
      </c>
      <c r="B32" s="1956" t="s">
        <v>2162</v>
      </c>
      <c r="C32" s="1954" t="s">
        <v>2161</v>
      </c>
      <c r="D32" s="1844">
        <v>888892</v>
      </c>
      <c r="E32" s="1540">
        <f t="shared" si="0"/>
        <v>25000</v>
      </c>
      <c r="F32" s="1939">
        <f t="shared" si="1"/>
        <v>25000</v>
      </c>
      <c r="G32" s="1793">
        <f t="shared" si="2"/>
        <v>863892</v>
      </c>
    </row>
    <row r="33" spans="1:7" x14ac:dyDescent="0.25">
      <c r="A33" s="1955" t="s">
        <v>2160</v>
      </c>
      <c r="B33" s="1956" t="s">
        <v>2159</v>
      </c>
      <c r="C33" s="1954" t="s">
        <v>2158</v>
      </c>
      <c r="D33" s="1844">
        <v>1560</v>
      </c>
      <c r="E33" s="1540">
        <f t="shared" si="0"/>
        <v>1560</v>
      </c>
      <c r="F33" s="1939">
        <f t="shared" si="1"/>
        <v>1560</v>
      </c>
      <c r="G33" s="1793">
        <f t="shared" si="2"/>
        <v>0</v>
      </c>
    </row>
    <row r="34" spans="1:7" x14ac:dyDescent="0.25">
      <c r="A34" s="1957" t="s">
        <v>2191</v>
      </c>
      <c r="B34" s="1956" t="s">
        <v>2157</v>
      </c>
      <c r="C34" s="1954" t="s">
        <v>2156</v>
      </c>
      <c r="D34" s="1844">
        <v>9070</v>
      </c>
      <c r="E34" s="1540">
        <f t="shared" si="0"/>
        <v>9070</v>
      </c>
      <c r="F34" s="1939">
        <f t="shared" si="1"/>
        <v>9070</v>
      </c>
      <c r="G34" s="1793">
        <f t="shared" si="2"/>
        <v>0</v>
      </c>
    </row>
    <row r="35" spans="1:7" x14ac:dyDescent="0.25">
      <c r="A35" s="1955" t="s">
        <v>2155</v>
      </c>
      <c r="B35" s="1956" t="s">
        <v>2154</v>
      </c>
      <c r="C35" s="1954" t="s">
        <v>2153</v>
      </c>
      <c r="D35" s="1844">
        <v>115800</v>
      </c>
      <c r="E35" s="1540">
        <f t="shared" si="0"/>
        <v>25000</v>
      </c>
      <c r="F35" s="1939">
        <f t="shared" si="1"/>
        <v>25000</v>
      </c>
      <c r="G35" s="1793">
        <f t="shared" si="2"/>
        <v>90800</v>
      </c>
    </row>
    <row r="36" spans="1:7" x14ac:dyDescent="0.25">
      <c r="A36" s="1957" t="s">
        <v>2192</v>
      </c>
      <c r="B36" s="1956" t="s">
        <v>2151</v>
      </c>
      <c r="C36" s="1954" t="s">
        <v>2152</v>
      </c>
      <c r="D36" s="1844">
        <v>6038</v>
      </c>
      <c r="E36" s="1540">
        <f t="shared" si="0"/>
        <v>6038</v>
      </c>
      <c r="F36" s="1939">
        <f t="shared" si="1"/>
        <v>6038</v>
      </c>
      <c r="G36" s="1793">
        <f t="shared" si="2"/>
        <v>0</v>
      </c>
    </row>
    <row r="37" spans="1:7" x14ac:dyDescent="0.25">
      <c r="A37" s="1957" t="s">
        <v>2192</v>
      </c>
      <c r="B37" s="1956" t="s">
        <v>2151</v>
      </c>
      <c r="C37" s="1954" t="s">
        <v>2150</v>
      </c>
      <c r="D37" s="1844">
        <v>43318</v>
      </c>
      <c r="E37" s="1540">
        <f t="shared" si="0"/>
        <v>25000</v>
      </c>
      <c r="F37" s="1939">
        <f t="shared" si="1"/>
        <v>25000</v>
      </c>
      <c r="G37" s="1793">
        <f t="shared" si="2"/>
        <v>18318</v>
      </c>
    </row>
    <row r="38" spans="1:7" x14ac:dyDescent="0.25">
      <c r="A38" s="1653"/>
      <c r="B38" s="1933"/>
      <c r="C38" s="1654"/>
      <c r="D38" s="1844"/>
      <c r="E38" s="1540">
        <f t="shared" ref="E38:E141" si="3">IF(D38&lt;=25000,D38,IF(D38&gt;25000,25000,0))</f>
        <v>0</v>
      </c>
      <c r="F38" s="1939">
        <f t="shared" ref="F38:F81" si="4">(IF(D38="",0,(IF(OR(B38="10-1000-100",B38="10-1000-200",B38="10-1000-300",B38="10-1000-400",B38="10-1000-600",B38="10-1000-800",B38="50-1000-200",B38="10-2100-100",B38="10-2100-200",B38="10-2100-300",B38="10-2100-400",B38="10-2100-600",B38="10-2100-800",B38="20-2100-100",B38="20-2100-200",B38="20-2100-300",B38="20-2100-400",B38="20-2100-600",B38="20-2100-800",B38="40-2100-100",B38="40-2100-200",B38="40-2100-300",B38="40-2100-400",B38="40-2100-600",B38="40-2100-800",B38="50-2100-200",B38="10-2200-100",B38="10-2200-200",B38="10-2200-300",B38="10-2200-400",B38="10-2200-600",B38="10-2200-800",B38="50-2200-200",B38="10-2300-100",B38="10-2300-200",B38="10-2300-300",B38="10-2300-400",B38="10-2300-600",B38="10-2300-800",B38="50-2300-200",B38="80-2300-100",B38="80-2300-200",B38="80-2300-300",B38="80-2300-400",B38="80-2300-600",B38="80-2300-800",B38="10-2400-100",B38="10-2400-200",B38="10-2400-300",B38="10-2400-400",B38="10-2400-600",B38="10-2400-800",B38="50-2400-200",B38="10-2510-100",B38="10-2510-200",B38="10-2510-300",B38="10-2510-400",B38="10-2510-600",B38="10-2510-800",B38="20-2510-100",B38="20-2510-200",B38="20-2510-300",B38="20-2510-400",B38="20-2510-600",B38="20-2510-800",B38="50-2510-200",B38="10-2520-100",B38="10-2520-200",B38="10-2520-300",B38="10-2520-400",B38="10-2520-600",B38="10-2520-800",B38="50-2520-200",B38="10-2540-100",B38="10-2540-200",B38="10-2540-300",B38="10-2540-400",B38="10-2540-600",B38="10-2540-800",B38="20-2540-100",B38="20-2540-200",B38="20-2540-300",B38="20-2540-400",B38="20-2540-600",B38="20-2540-800",B38="50-2540-200",B38="10-2550-100",B38="10-2550-200",B38="10-2550-300",B38="10-2550-400",B38="10-2550-600",B38="10-2550-800",B38="20-2550-100",B38="20-2550-200",B38="20-2550-300",B38="20-2550-400",B38="20-2550-600",B38="20-2550-800",B38="40-2550-100",B38="40-2550-200",B38="40-2550-300",B38="40-2550-400",B38="40-2550-600",B38="40-2550-800",B38="50-2550-200",B38="10-2560-100",B38="10-2560-200",B38="10-2560-300",B38="10-2560-400",B38="10-2560-600",B38="10-2560-800",B38="50-2560-200",B38="10-2570-100",B38="10-2570-200",B38="10-2570-300",B38="10-2570-400",B38="10-2570-600",B38="10-2570-800",B38="50-2570-200",B38="10-2610-100",B38="10-2610-200",B38="10-2610-300",B38="10-2610-400",B38="10-2610-600",B38="10-2610-800",B38="50-2610-200",B38="10-2620-100",B38="10-2620-200",B38="10-2620-300",B38="10-2620-400",B38="10-2620-600",B38="10-2620-800",B38="50-2620-200",B38="10-2630-100",B38="10-2630-200",B38="10-2630-300",B38="10-2630-400",B38="10-2630-600",B38="10-2630-800",B38="50-2630-200",B38="10-2640-100",B38="10-2640-200",B38="10-2640-300",B38="10-2640-400",B38="10-2640-600",B38="10-2640-800",B38="50-2640-200",B38="10-2660-100",B38="10-2660-200",B38="10-2660-300",B38="10-2660-400",B38="10-2660-600",B38="10-2660-800",B38="50-2660-200",B38="10-2900-100",B38="10-2900-200",B38="10-2900-300",B38="10-2900-400",B38="10-2900-600",B38="10-2900-800",B38="20-2900-100",B38="20-2900-200",B38="20-2900-300",B38="20-2900-400",B38="20-2900-600",B38="20-2900-800",B38="40-2900-100",B38="40-2900-200",B38="40-2900-300",B38="40-2900-400",B38="40-2900-600",B38="40-2900-800",B38="50-2900-200",B38="10-3000-100",B38="10-3000-200",B38="10-3000-300",B38="10-3000-400",B38="10-3000-600",B38="10-3000-800",B38="20-3000-100",B38="20-3000-200",B38="20-3000-300",B38="20-3000-400",B38="20-3000-600",B38="20-3000-800",B38="40-3000-100",B38="40-3000-200",B38="40-3000-300",B38="40-3000-400",B38="40-3000-600",B38="40-3000-800",B38="50-3000-200"),E38,"Check func/obj # in Colm B"))))</f>
        <v>0</v>
      </c>
      <c r="G38" s="1793">
        <f t="shared" ref="G38:G141" si="5">IF(F38=0,0,D38-F38)</f>
        <v>0</v>
      </c>
    </row>
    <row r="39" spans="1:7" hidden="1" x14ac:dyDescent="0.25">
      <c r="A39" s="1653"/>
      <c r="B39" s="1934"/>
      <c r="C39" s="1654"/>
      <c r="D39" s="1844"/>
      <c r="E39" s="1540">
        <f t="shared" si="3"/>
        <v>0</v>
      </c>
      <c r="F39" s="1939">
        <f t="shared" si="4"/>
        <v>0</v>
      </c>
      <c r="G39" s="1793">
        <f t="shared" si="5"/>
        <v>0</v>
      </c>
    </row>
    <row r="40" spans="1:7" hidden="1" x14ac:dyDescent="0.25">
      <c r="A40" s="1653"/>
      <c r="B40" s="1934"/>
      <c r="C40" s="1654"/>
      <c r="D40" s="1844"/>
      <c r="E40" s="1540">
        <f t="shared" si="3"/>
        <v>0</v>
      </c>
      <c r="F40" s="1939">
        <f t="shared" si="4"/>
        <v>0</v>
      </c>
      <c r="G40" s="1793">
        <f t="shared" si="5"/>
        <v>0</v>
      </c>
    </row>
    <row r="41" spans="1:7" hidden="1" x14ac:dyDescent="0.25">
      <c r="A41" s="1653"/>
      <c r="B41" s="1934"/>
      <c r="C41" s="1654"/>
      <c r="D41" s="1844"/>
      <c r="E41" s="1540">
        <f t="shared" si="3"/>
        <v>0</v>
      </c>
      <c r="F41" s="1939">
        <f t="shared" si="4"/>
        <v>0</v>
      </c>
      <c r="G41" s="1793">
        <f t="shared" si="5"/>
        <v>0</v>
      </c>
    </row>
    <row r="42" spans="1:7" hidden="1" x14ac:dyDescent="0.25">
      <c r="A42" s="1653"/>
      <c r="B42" s="1934"/>
      <c r="C42" s="1654"/>
      <c r="D42" s="1844"/>
      <c r="E42" s="1540">
        <f t="shared" si="3"/>
        <v>0</v>
      </c>
      <c r="F42" s="1939">
        <f t="shared" si="4"/>
        <v>0</v>
      </c>
      <c r="G42" s="1793">
        <f t="shared" si="5"/>
        <v>0</v>
      </c>
    </row>
    <row r="43" spans="1:7" hidden="1" x14ac:dyDescent="0.25">
      <c r="A43" s="1653"/>
      <c r="B43" s="1934"/>
      <c r="C43" s="1654"/>
      <c r="D43" s="1844"/>
      <c r="E43" s="1540">
        <f t="shared" si="3"/>
        <v>0</v>
      </c>
      <c r="F43" s="1939">
        <f t="shared" si="4"/>
        <v>0</v>
      </c>
      <c r="G43" s="1793">
        <f t="shared" si="5"/>
        <v>0</v>
      </c>
    </row>
    <row r="44" spans="1:7" hidden="1" x14ac:dyDescent="0.25">
      <c r="A44" s="1653"/>
      <c r="B44" s="1934"/>
      <c r="C44" s="1654"/>
      <c r="D44" s="1844"/>
      <c r="E44" s="1540">
        <f t="shared" si="3"/>
        <v>0</v>
      </c>
      <c r="F44" s="1939">
        <f t="shared" si="4"/>
        <v>0</v>
      </c>
      <c r="G44" s="1793">
        <f t="shared" si="5"/>
        <v>0</v>
      </c>
    </row>
    <row r="45" spans="1:7" hidden="1" x14ac:dyDescent="0.25">
      <c r="A45" s="1653"/>
      <c r="B45" s="1934"/>
      <c r="C45" s="1654"/>
      <c r="D45" s="1844"/>
      <c r="E45" s="1540">
        <f t="shared" si="3"/>
        <v>0</v>
      </c>
      <c r="F45" s="1939">
        <f t="shared" si="4"/>
        <v>0</v>
      </c>
      <c r="G45" s="1793">
        <f t="shared" si="5"/>
        <v>0</v>
      </c>
    </row>
    <row r="46" spans="1:7" hidden="1" x14ac:dyDescent="0.25">
      <c r="A46" s="1653"/>
      <c r="B46" s="1934"/>
      <c r="C46" s="1654"/>
      <c r="D46" s="1844"/>
      <c r="E46" s="1540">
        <f t="shared" si="3"/>
        <v>0</v>
      </c>
      <c r="F46" s="1939">
        <f t="shared" si="4"/>
        <v>0</v>
      </c>
      <c r="G46" s="1793">
        <f t="shared" si="5"/>
        <v>0</v>
      </c>
    </row>
    <row r="47" spans="1:7" hidden="1" x14ac:dyDescent="0.25">
      <c r="A47" s="1653"/>
      <c r="B47" s="1667"/>
      <c r="C47" s="1654"/>
      <c r="D47" s="1844"/>
      <c r="E47" s="1540">
        <f t="shared" si="3"/>
        <v>0</v>
      </c>
      <c r="F47" s="1939">
        <f t="shared" si="4"/>
        <v>0</v>
      </c>
      <c r="G47" s="1793">
        <f t="shared" si="5"/>
        <v>0</v>
      </c>
    </row>
    <row r="48" spans="1:7" hidden="1" x14ac:dyDescent="0.25">
      <c r="A48" s="1653"/>
      <c r="B48" s="1667"/>
      <c r="C48" s="1654"/>
      <c r="D48" s="1844"/>
      <c r="E48" s="1540">
        <f t="shared" si="3"/>
        <v>0</v>
      </c>
      <c r="F48" s="1939">
        <f t="shared" si="4"/>
        <v>0</v>
      </c>
      <c r="G48" s="1793">
        <f t="shared" si="5"/>
        <v>0</v>
      </c>
    </row>
    <row r="49" spans="1:7" hidden="1" x14ac:dyDescent="0.25">
      <c r="A49" s="1653"/>
      <c r="B49" s="1667"/>
      <c r="C49" s="1654"/>
      <c r="D49" s="1844"/>
      <c r="E49" s="1540">
        <f t="shared" si="3"/>
        <v>0</v>
      </c>
      <c r="F49" s="1939">
        <f t="shared" si="4"/>
        <v>0</v>
      </c>
      <c r="G49" s="1793">
        <f t="shared" si="5"/>
        <v>0</v>
      </c>
    </row>
    <row r="50" spans="1:7" hidden="1" x14ac:dyDescent="0.25">
      <c r="A50" s="1653"/>
      <c r="B50" s="1667"/>
      <c r="C50" s="1654"/>
      <c r="D50" s="1844"/>
      <c r="E50" s="1540">
        <f t="shared" si="3"/>
        <v>0</v>
      </c>
      <c r="F50" s="1939">
        <f t="shared" si="4"/>
        <v>0</v>
      </c>
      <c r="G50" s="1793">
        <f t="shared" si="5"/>
        <v>0</v>
      </c>
    </row>
    <row r="51" spans="1:7" hidden="1" x14ac:dyDescent="0.25">
      <c r="A51" s="1653"/>
      <c r="B51" s="1667"/>
      <c r="C51" s="1654"/>
      <c r="D51" s="1844"/>
      <c r="E51" s="1540">
        <f t="shared" si="3"/>
        <v>0</v>
      </c>
      <c r="F51" s="1939">
        <f t="shared" si="4"/>
        <v>0</v>
      </c>
      <c r="G51" s="1793">
        <f t="shared" si="5"/>
        <v>0</v>
      </c>
    </row>
    <row r="52" spans="1:7" hidden="1" x14ac:dyDescent="0.25">
      <c r="A52" s="1653"/>
      <c r="B52" s="1667"/>
      <c r="C52" s="1654"/>
      <c r="D52" s="1844"/>
      <c r="E52" s="1540">
        <f t="shared" si="3"/>
        <v>0</v>
      </c>
      <c r="F52" s="1939">
        <f t="shared" si="4"/>
        <v>0</v>
      </c>
      <c r="G52" s="1793">
        <f t="shared" si="5"/>
        <v>0</v>
      </c>
    </row>
    <row r="53" spans="1:7" hidden="1" x14ac:dyDescent="0.25">
      <c r="A53" s="1653"/>
      <c r="B53" s="1667"/>
      <c r="C53" s="1654"/>
      <c r="D53" s="1844"/>
      <c r="E53" s="1540">
        <f t="shared" si="3"/>
        <v>0</v>
      </c>
      <c r="F53" s="1939">
        <f t="shared" si="4"/>
        <v>0</v>
      </c>
      <c r="G53" s="1793">
        <f t="shared" si="5"/>
        <v>0</v>
      </c>
    </row>
    <row r="54" spans="1:7" hidden="1" x14ac:dyDescent="0.25">
      <c r="A54" s="1653"/>
      <c r="B54" s="1667"/>
      <c r="C54" s="1654"/>
      <c r="D54" s="1844"/>
      <c r="E54" s="1540">
        <f t="shared" si="3"/>
        <v>0</v>
      </c>
      <c r="F54" s="1939">
        <f t="shared" si="4"/>
        <v>0</v>
      </c>
      <c r="G54" s="1793">
        <f t="shared" si="5"/>
        <v>0</v>
      </c>
    </row>
    <row r="55" spans="1:7" hidden="1" x14ac:dyDescent="0.25">
      <c r="A55" s="1653"/>
      <c r="B55" s="1667"/>
      <c r="C55" s="1654"/>
      <c r="D55" s="1844"/>
      <c r="E55" s="1540">
        <f t="shared" si="3"/>
        <v>0</v>
      </c>
      <c r="F55" s="1939">
        <f t="shared" si="4"/>
        <v>0</v>
      </c>
      <c r="G55" s="1793">
        <f t="shared" si="5"/>
        <v>0</v>
      </c>
    </row>
    <row r="56" spans="1:7" hidden="1" x14ac:dyDescent="0.25">
      <c r="A56" s="1653"/>
      <c r="B56" s="1667"/>
      <c r="C56" s="1654"/>
      <c r="D56" s="1844"/>
      <c r="E56" s="1540">
        <f t="shared" si="3"/>
        <v>0</v>
      </c>
      <c r="F56" s="1939">
        <f t="shared" si="4"/>
        <v>0</v>
      </c>
      <c r="G56" s="1793">
        <f t="shared" si="5"/>
        <v>0</v>
      </c>
    </row>
    <row r="57" spans="1:7" hidden="1" x14ac:dyDescent="0.25">
      <c r="A57" s="1653"/>
      <c r="B57" s="1667"/>
      <c r="C57" s="1654"/>
      <c r="D57" s="1844"/>
      <c r="E57" s="1540">
        <f t="shared" si="3"/>
        <v>0</v>
      </c>
      <c r="F57" s="1939">
        <f t="shared" si="4"/>
        <v>0</v>
      </c>
      <c r="G57" s="1793">
        <f t="shared" si="5"/>
        <v>0</v>
      </c>
    </row>
    <row r="58" spans="1:7" hidden="1" x14ac:dyDescent="0.25">
      <c r="A58" s="1653"/>
      <c r="B58" s="1667"/>
      <c r="C58" s="1654"/>
      <c r="D58" s="1844"/>
      <c r="E58" s="1540">
        <f t="shared" si="3"/>
        <v>0</v>
      </c>
      <c r="F58" s="1939">
        <f t="shared" si="4"/>
        <v>0</v>
      </c>
      <c r="G58" s="1793">
        <f t="shared" si="5"/>
        <v>0</v>
      </c>
    </row>
    <row r="59" spans="1:7" hidden="1" x14ac:dyDescent="0.25">
      <c r="A59" s="1653"/>
      <c r="B59" s="1667"/>
      <c r="C59" s="1654"/>
      <c r="D59" s="1844"/>
      <c r="E59" s="1540">
        <f t="shared" si="3"/>
        <v>0</v>
      </c>
      <c r="F59" s="1939">
        <f t="shared" si="4"/>
        <v>0</v>
      </c>
      <c r="G59" s="1793">
        <f t="shared" si="5"/>
        <v>0</v>
      </c>
    </row>
    <row r="60" spans="1:7" hidden="1" x14ac:dyDescent="0.25">
      <c r="A60" s="1653"/>
      <c r="B60" s="1667"/>
      <c r="C60" s="1654"/>
      <c r="D60" s="1844"/>
      <c r="E60" s="1540">
        <f t="shared" si="3"/>
        <v>0</v>
      </c>
      <c r="F60" s="1939">
        <f t="shared" si="4"/>
        <v>0</v>
      </c>
      <c r="G60" s="1793">
        <f t="shared" si="5"/>
        <v>0</v>
      </c>
    </row>
    <row r="61" spans="1:7" hidden="1" x14ac:dyDescent="0.25">
      <c r="A61" s="1653"/>
      <c r="B61" s="1667"/>
      <c r="C61" s="1654"/>
      <c r="D61" s="1844"/>
      <c r="E61" s="1540">
        <f t="shared" si="3"/>
        <v>0</v>
      </c>
      <c r="F61" s="1939">
        <f t="shared" si="4"/>
        <v>0</v>
      </c>
      <c r="G61" s="1793">
        <f t="shared" si="5"/>
        <v>0</v>
      </c>
    </row>
    <row r="62" spans="1:7" hidden="1" x14ac:dyDescent="0.25">
      <c r="A62" s="1653"/>
      <c r="B62" s="1667"/>
      <c r="C62" s="1654"/>
      <c r="D62" s="1844"/>
      <c r="E62" s="1540">
        <f t="shared" si="3"/>
        <v>0</v>
      </c>
      <c r="F62" s="1939">
        <f t="shared" si="4"/>
        <v>0</v>
      </c>
      <c r="G62" s="1793">
        <f t="shared" si="5"/>
        <v>0</v>
      </c>
    </row>
    <row r="63" spans="1:7" hidden="1" x14ac:dyDescent="0.25">
      <c r="A63" s="1653"/>
      <c r="B63" s="1667"/>
      <c r="C63" s="1654"/>
      <c r="D63" s="1844"/>
      <c r="E63" s="1540">
        <f t="shared" si="3"/>
        <v>0</v>
      </c>
      <c r="F63" s="1939">
        <f t="shared" si="4"/>
        <v>0</v>
      </c>
      <c r="G63" s="1793">
        <f t="shared" si="5"/>
        <v>0</v>
      </c>
    </row>
    <row r="64" spans="1:7" hidden="1" x14ac:dyDescent="0.25">
      <c r="A64" s="1653"/>
      <c r="B64" s="1667"/>
      <c r="C64" s="1654"/>
      <c r="D64" s="1844"/>
      <c r="E64" s="1540">
        <f t="shared" si="3"/>
        <v>0</v>
      </c>
      <c r="F64" s="1939">
        <f t="shared" si="4"/>
        <v>0</v>
      </c>
      <c r="G64" s="1793">
        <f t="shared" si="5"/>
        <v>0</v>
      </c>
    </row>
    <row r="65" spans="1:7" hidden="1" x14ac:dyDescent="0.25">
      <c r="A65" s="1655"/>
      <c r="B65" s="1667"/>
      <c r="C65" s="1656"/>
      <c r="D65" s="1844"/>
      <c r="E65" s="1540">
        <f t="shared" si="3"/>
        <v>0</v>
      </c>
      <c r="F65" s="1939">
        <f t="shared" si="4"/>
        <v>0</v>
      </c>
      <c r="G65" s="1793">
        <f t="shared" si="5"/>
        <v>0</v>
      </c>
    </row>
    <row r="66" spans="1:7" hidden="1" x14ac:dyDescent="0.25">
      <c r="A66" s="1653"/>
      <c r="B66" s="1667"/>
      <c r="C66" s="1654"/>
      <c r="D66" s="1844"/>
      <c r="E66" s="1540">
        <f t="shared" si="3"/>
        <v>0</v>
      </c>
      <c r="F66" s="1939">
        <f t="shared" si="4"/>
        <v>0</v>
      </c>
      <c r="G66" s="1793">
        <f t="shared" si="5"/>
        <v>0</v>
      </c>
    </row>
    <row r="67" spans="1:7" hidden="1" x14ac:dyDescent="0.25">
      <c r="A67" s="1653"/>
      <c r="B67" s="1667"/>
      <c r="C67" s="1654"/>
      <c r="D67" s="1844"/>
      <c r="E67" s="1540">
        <f t="shared" si="3"/>
        <v>0</v>
      </c>
      <c r="F67" s="1939">
        <f t="shared" si="4"/>
        <v>0</v>
      </c>
      <c r="G67" s="1793">
        <f t="shared" si="5"/>
        <v>0</v>
      </c>
    </row>
    <row r="68" spans="1:7" hidden="1" x14ac:dyDescent="0.25">
      <c r="A68" s="1653"/>
      <c r="B68" s="1667"/>
      <c r="C68" s="1654"/>
      <c r="D68" s="1844"/>
      <c r="E68" s="1540">
        <f t="shared" si="3"/>
        <v>0</v>
      </c>
      <c r="F68" s="1939">
        <f t="shared" si="4"/>
        <v>0</v>
      </c>
      <c r="G68" s="1793">
        <f t="shared" si="5"/>
        <v>0</v>
      </c>
    </row>
    <row r="69" spans="1:7" hidden="1" x14ac:dyDescent="0.25">
      <c r="A69" s="1653"/>
      <c r="B69" s="1667"/>
      <c r="C69" s="1654"/>
      <c r="D69" s="1844"/>
      <c r="E69" s="1540">
        <f t="shared" si="3"/>
        <v>0</v>
      </c>
      <c r="F69" s="1939">
        <f t="shared" si="4"/>
        <v>0</v>
      </c>
      <c r="G69" s="1793">
        <f t="shared" si="5"/>
        <v>0</v>
      </c>
    </row>
    <row r="70" spans="1:7" hidden="1" x14ac:dyDescent="0.25">
      <c r="A70" s="1653"/>
      <c r="B70" s="1667"/>
      <c r="C70" s="1654"/>
      <c r="D70" s="1844"/>
      <c r="E70" s="1540">
        <f t="shared" si="3"/>
        <v>0</v>
      </c>
      <c r="F70" s="1939">
        <f t="shared" si="4"/>
        <v>0</v>
      </c>
      <c r="G70" s="1793">
        <f t="shared" si="5"/>
        <v>0</v>
      </c>
    </row>
    <row r="71" spans="1:7" hidden="1" x14ac:dyDescent="0.25">
      <c r="A71" s="1653"/>
      <c r="B71" s="1667"/>
      <c r="C71" s="1654"/>
      <c r="D71" s="1844"/>
      <c r="E71" s="1540">
        <f t="shared" si="3"/>
        <v>0</v>
      </c>
      <c r="F71" s="1939">
        <f t="shared" si="4"/>
        <v>0</v>
      </c>
      <c r="G71" s="1793">
        <f t="shared" si="5"/>
        <v>0</v>
      </c>
    </row>
    <row r="72" spans="1:7" hidden="1" x14ac:dyDescent="0.25">
      <c r="A72" s="1653"/>
      <c r="B72" s="1667"/>
      <c r="C72" s="1654"/>
      <c r="D72" s="1844"/>
      <c r="E72" s="1540">
        <f t="shared" si="3"/>
        <v>0</v>
      </c>
      <c r="F72" s="1939">
        <f t="shared" si="4"/>
        <v>0</v>
      </c>
      <c r="G72" s="1793">
        <f t="shared" si="5"/>
        <v>0</v>
      </c>
    </row>
    <row r="73" spans="1:7" hidden="1" x14ac:dyDescent="0.25">
      <c r="A73" s="1653"/>
      <c r="B73" s="1667"/>
      <c r="C73" s="1654"/>
      <c r="D73" s="1844"/>
      <c r="E73" s="1540">
        <f t="shared" si="3"/>
        <v>0</v>
      </c>
      <c r="F73" s="1939">
        <f t="shared" si="4"/>
        <v>0</v>
      </c>
      <c r="G73" s="1793">
        <f t="shared" si="5"/>
        <v>0</v>
      </c>
    </row>
    <row r="74" spans="1:7" hidden="1" x14ac:dyDescent="0.25">
      <c r="A74" s="1653"/>
      <c r="B74" s="1667"/>
      <c r="C74" s="1654"/>
      <c r="D74" s="1844"/>
      <c r="E74" s="1540">
        <f t="shared" ref="E74:E85" si="6">IF(D74&lt;=25000,D74,IF(D74&gt;25000,25000,0))</f>
        <v>0</v>
      </c>
      <c r="F74" s="1939">
        <f t="shared" si="4"/>
        <v>0</v>
      </c>
      <c r="G74" s="1793">
        <f t="shared" ref="G74:G85" si="7">IF(F74=0,0,D74-F74)</f>
        <v>0</v>
      </c>
    </row>
    <row r="75" spans="1:7" hidden="1" x14ac:dyDescent="0.25">
      <c r="A75" s="1653"/>
      <c r="B75" s="1667"/>
      <c r="C75" s="1654"/>
      <c r="D75" s="1844"/>
      <c r="E75" s="1540">
        <f t="shared" si="6"/>
        <v>0</v>
      </c>
      <c r="F75" s="1939">
        <f t="shared" si="4"/>
        <v>0</v>
      </c>
      <c r="G75" s="1793">
        <f t="shared" si="7"/>
        <v>0</v>
      </c>
    </row>
    <row r="76" spans="1:7" hidden="1" x14ac:dyDescent="0.25">
      <c r="A76" s="1653"/>
      <c r="B76" s="1667"/>
      <c r="C76" s="1654"/>
      <c r="D76" s="1844"/>
      <c r="E76" s="1540">
        <f t="shared" si="6"/>
        <v>0</v>
      </c>
      <c r="F76" s="1939">
        <f t="shared" si="4"/>
        <v>0</v>
      </c>
      <c r="G76" s="1793">
        <f t="shared" si="7"/>
        <v>0</v>
      </c>
    </row>
    <row r="77" spans="1:7" hidden="1" x14ac:dyDescent="0.25">
      <c r="A77" s="1653"/>
      <c r="B77" s="1667"/>
      <c r="C77" s="1654"/>
      <c r="D77" s="1844"/>
      <c r="E77" s="1540">
        <f t="shared" si="6"/>
        <v>0</v>
      </c>
      <c r="F77" s="1939">
        <f t="shared" si="4"/>
        <v>0</v>
      </c>
      <c r="G77" s="1793">
        <f t="shared" si="7"/>
        <v>0</v>
      </c>
    </row>
    <row r="78" spans="1:7" hidden="1" x14ac:dyDescent="0.25">
      <c r="A78" s="1653"/>
      <c r="B78" s="1667"/>
      <c r="C78" s="1654"/>
      <c r="D78" s="1844"/>
      <c r="E78" s="1540">
        <f t="shared" si="6"/>
        <v>0</v>
      </c>
      <c r="F78" s="1939">
        <f t="shared" si="4"/>
        <v>0</v>
      </c>
      <c r="G78" s="1793">
        <f t="shared" si="7"/>
        <v>0</v>
      </c>
    </row>
    <row r="79" spans="1:7" hidden="1" x14ac:dyDescent="0.25">
      <c r="A79" s="1653"/>
      <c r="B79" s="1667"/>
      <c r="C79" s="1654"/>
      <c r="D79" s="1844"/>
      <c r="E79" s="1540">
        <f t="shared" si="6"/>
        <v>0</v>
      </c>
      <c r="F79" s="1939">
        <f t="shared" si="4"/>
        <v>0</v>
      </c>
      <c r="G79" s="1793">
        <f t="shared" si="7"/>
        <v>0</v>
      </c>
    </row>
    <row r="80" spans="1:7" hidden="1" x14ac:dyDescent="0.25">
      <c r="A80" s="1653"/>
      <c r="B80" s="1667"/>
      <c r="C80" s="1654"/>
      <c r="D80" s="1844"/>
      <c r="E80" s="1540">
        <f t="shared" si="6"/>
        <v>0</v>
      </c>
      <c r="F80" s="1939">
        <f t="shared" si="4"/>
        <v>0</v>
      </c>
      <c r="G80" s="1793">
        <f t="shared" si="7"/>
        <v>0</v>
      </c>
    </row>
    <row r="81" spans="1:7" hidden="1" x14ac:dyDescent="0.25">
      <c r="A81" s="1653"/>
      <c r="B81" s="1667"/>
      <c r="C81" s="1654"/>
      <c r="D81" s="1844"/>
      <c r="E81" s="1540">
        <f t="shared" si="6"/>
        <v>0</v>
      </c>
      <c r="F81" s="1939">
        <f t="shared" si="4"/>
        <v>0</v>
      </c>
      <c r="G81" s="1793">
        <f t="shared" si="7"/>
        <v>0</v>
      </c>
    </row>
    <row r="82" spans="1:7" hidden="1" x14ac:dyDescent="0.25">
      <c r="A82" s="1653"/>
      <c r="B82" s="1667"/>
      <c r="C82" s="1654"/>
      <c r="D82" s="1844"/>
      <c r="E82" s="1540">
        <f t="shared" si="6"/>
        <v>0</v>
      </c>
      <c r="F82" s="1939">
        <f t="shared" ref="F82:F141" si="8">(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7"/>
        <v>0</v>
      </c>
    </row>
    <row r="83" spans="1:7" hidden="1" x14ac:dyDescent="0.25">
      <c r="A83" s="1653"/>
      <c r="B83" s="1667"/>
      <c r="C83" s="1654"/>
      <c r="D83" s="1844"/>
      <c r="E83" s="1540">
        <f t="shared" si="6"/>
        <v>0</v>
      </c>
      <c r="F83" s="1939">
        <f t="shared" si="8"/>
        <v>0</v>
      </c>
      <c r="G83" s="1793">
        <f t="shared" si="7"/>
        <v>0</v>
      </c>
    </row>
    <row r="84" spans="1:7" hidden="1" x14ac:dyDescent="0.25">
      <c r="A84" s="1653"/>
      <c r="B84" s="1667"/>
      <c r="C84" s="1654"/>
      <c r="D84" s="1844"/>
      <c r="E84" s="1540">
        <f t="shared" si="6"/>
        <v>0</v>
      </c>
      <c r="F84" s="1939">
        <f t="shared" si="8"/>
        <v>0</v>
      </c>
      <c r="G84" s="1793">
        <f t="shared" si="7"/>
        <v>0</v>
      </c>
    </row>
    <row r="85" spans="1:7" hidden="1" x14ac:dyDescent="0.25">
      <c r="A85" s="1653"/>
      <c r="B85" s="1667"/>
      <c r="C85" s="1654"/>
      <c r="D85" s="1844"/>
      <c r="E85" s="1540">
        <f t="shared" si="6"/>
        <v>0</v>
      </c>
      <c r="F85" s="1939">
        <f t="shared" si="8"/>
        <v>0</v>
      </c>
      <c r="G85" s="1793">
        <f t="shared" si="7"/>
        <v>0</v>
      </c>
    </row>
    <row r="86" spans="1:7" hidden="1" x14ac:dyDescent="0.25">
      <c r="A86" s="1653"/>
      <c r="B86" s="1667"/>
      <c r="C86" s="1654"/>
      <c r="D86" s="1844"/>
      <c r="E86" s="1540">
        <f t="shared" si="3"/>
        <v>0</v>
      </c>
      <c r="F86" s="1939">
        <f t="shared" si="8"/>
        <v>0</v>
      </c>
      <c r="G86" s="1793">
        <f t="shared" si="5"/>
        <v>0</v>
      </c>
    </row>
    <row r="87" spans="1:7" hidden="1" x14ac:dyDescent="0.25">
      <c r="A87" s="1653"/>
      <c r="B87" s="1667"/>
      <c r="C87" s="1654"/>
      <c r="D87" s="1844"/>
      <c r="E87" s="1540">
        <f t="shared" si="3"/>
        <v>0</v>
      </c>
      <c r="F87" s="1939">
        <f t="shared" si="8"/>
        <v>0</v>
      </c>
      <c r="G87" s="1793">
        <f t="shared" si="5"/>
        <v>0</v>
      </c>
    </row>
    <row r="88" spans="1:7" hidden="1" x14ac:dyDescent="0.25">
      <c r="A88" s="1653"/>
      <c r="B88" s="1667"/>
      <c r="C88" s="1654"/>
      <c r="D88" s="1844"/>
      <c r="E88" s="1540">
        <f t="shared" si="3"/>
        <v>0</v>
      </c>
      <c r="F88" s="1939">
        <f t="shared" si="8"/>
        <v>0</v>
      </c>
      <c r="G88" s="1793">
        <f t="shared" si="5"/>
        <v>0</v>
      </c>
    </row>
    <row r="89" spans="1:7" hidden="1" x14ac:dyDescent="0.25">
      <c r="A89" s="1653"/>
      <c r="B89" s="1667"/>
      <c r="C89" s="1654"/>
      <c r="D89" s="1844"/>
      <c r="E89" s="1540">
        <f t="shared" si="3"/>
        <v>0</v>
      </c>
      <c r="F89" s="1939">
        <f t="shared" si="8"/>
        <v>0</v>
      </c>
      <c r="G89" s="1793">
        <f t="shared" si="5"/>
        <v>0</v>
      </c>
    </row>
    <row r="90" spans="1:7" hidden="1" x14ac:dyDescent="0.25">
      <c r="A90" s="1653"/>
      <c r="B90" s="1667"/>
      <c r="C90" s="1654"/>
      <c r="D90" s="1844"/>
      <c r="E90" s="1540">
        <f t="shared" si="3"/>
        <v>0</v>
      </c>
      <c r="F90" s="1939">
        <f t="shared" si="8"/>
        <v>0</v>
      </c>
      <c r="G90" s="1793">
        <f t="shared" si="5"/>
        <v>0</v>
      </c>
    </row>
    <row r="91" spans="1:7" hidden="1" x14ac:dyDescent="0.25">
      <c r="A91" s="1653"/>
      <c r="B91" s="1667"/>
      <c r="C91" s="1654"/>
      <c r="D91" s="1844"/>
      <c r="E91" s="1540">
        <f t="shared" si="3"/>
        <v>0</v>
      </c>
      <c r="F91" s="1939">
        <f t="shared" si="8"/>
        <v>0</v>
      </c>
      <c r="G91" s="1793">
        <f t="shared" si="5"/>
        <v>0</v>
      </c>
    </row>
    <row r="92" spans="1:7" hidden="1" x14ac:dyDescent="0.25">
      <c r="A92" s="1653"/>
      <c r="B92" s="1667"/>
      <c r="C92" s="1654"/>
      <c r="D92" s="1844"/>
      <c r="E92" s="1540">
        <f t="shared" si="3"/>
        <v>0</v>
      </c>
      <c r="F92" s="1939">
        <f t="shared" si="8"/>
        <v>0</v>
      </c>
      <c r="G92" s="1793">
        <f t="shared" si="5"/>
        <v>0</v>
      </c>
    </row>
    <row r="93" spans="1:7" hidden="1" x14ac:dyDescent="0.25">
      <c r="A93" s="1653"/>
      <c r="B93" s="1667"/>
      <c r="C93" s="1654"/>
      <c r="D93" s="1844"/>
      <c r="E93" s="1540">
        <f t="shared" si="3"/>
        <v>0</v>
      </c>
      <c r="F93" s="1939">
        <f t="shared" si="8"/>
        <v>0</v>
      </c>
      <c r="G93" s="1793">
        <f t="shared" si="5"/>
        <v>0</v>
      </c>
    </row>
    <row r="94" spans="1:7" hidden="1" x14ac:dyDescent="0.25">
      <c r="A94" s="1653"/>
      <c r="B94" s="1667"/>
      <c r="C94" s="1654"/>
      <c r="D94" s="1844"/>
      <c r="E94" s="1540">
        <f t="shared" ref="E94" si="9">IF(D94&lt;=25000,D94,IF(D94&gt;25000,25000,0))</f>
        <v>0</v>
      </c>
      <c r="F94" s="1939">
        <f t="shared" si="8"/>
        <v>0</v>
      </c>
      <c r="G94" s="1793">
        <f t="shared" ref="G94" si="10">IF(F94=0,0,D94-F94)</f>
        <v>0</v>
      </c>
    </row>
    <row r="95" spans="1:7" hidden="1" x14ac:dyDescent="0.25">
      <c r="A95" s="1653"/>
      <c r="B95" s="1667"/>
      <c r="C95" s="1654"/>
      <c r="D95" s="1844"/>
      <c r="E95" s="1540">
        <f t="shared" si="3"/>
        <v>0</v>
      </c>
      <c r="F95" s="1939">
        <f t="shared" si="8"/>
        <v>0</v>
      </c>
      <c r="G95" s="1793">
        <f t="shared" si="5"/>
        <v>0</v>
      </c>
    </row>
    <row r="96" spans="1:7" hidden="1" x14ac:dyDescent="0.25">
      <c r="A96" s="1653"/>
      <c r="B96" s="1667"/>
      <c r="C96" s="1654"/>
      <c r="D96" s="1844"/>
      <c r="E96" s="1540">
        <f t="shared" ref="E96:E99" si="11">IF(D96&lt;=25000,D96,IF(D96&gt;25000,25000,0))</f>
        <v>0</v>
      </c>
      <c r="F96" s="1939">
        <f t="shared" si="8"/>
        <v>0</v>
      </c>
      <c r="G96" s="1793">
        <f t="shared" ref="G96:G99" si="12">IF(F96=0,0,D96-F96)</f>
        <v>0</v>
      </c>
    </row>
    <row r="97" spans="1:7" hidden="1" x14ac:dyDescent="0.25">
      <c r="A97" s="1653"/>
      <c r="B97" s="1667"/>
      <c r="C97" s="1654"/>
      <c r="D97" s="1844"/>
      <c r="E97" s="1540">
        <f t="shared" si="11"/>
        <v>0</v>
      </c>
      <c r="F97" s="1939">
        <f t="shared" si="8"/>
        <v>0</v>
      </c>
      <c r="G97" s="1793">
        <f t="shared" si="12"/>
        <v>0</v>
      </c>
    </row>
    <row r="98" spans="1:7" hidden="1" x14ac:dyDescent="0.25">
      <c r="A98" s="1653"/>
      <c r="B98" s="1667"/>
      <c r="C98" s="1654"/>
      <c r="D98" s="1844"/>
      <c r="E98" s="1540">
        <f t="shared" si="11"/>
        <v>0</v>
      </c>
      <c r="F98" s="1939">
        <f t="shared" si="8"/>
        <v>0</v>
      </c>
      <c r="G98" s="1793">
        <f t="shared" si="12"/>
        <v>0</v>
      </c>
    </row>
    <row r="99" spans="1:7" hidden="1" x14ac:dyDescent="0.25">
      <c r="A99" s="1653"/>
      <c r="B99" s="1667"/>
      <c r="C99" s="1654"/>
      <c r="D99" s="1844"/>
      <c r="E99" s="1540">
        <f t="shared" si="11"/>
        <v>0</v>
      </c>
      <c r="F99" s="1939">
        <f t="shared" si="8"/>
        <v>0</v>
      </c>
      <c r="G99" s="1793">
        <f t="shared" si="12"/>
        <v>0</v>
      </c>
    </row>
    <row r="100" spans="1:7" hidden="1" x14ac:dyDescent="0.25">
      <c r="A100" s="1653"/>
      <c r="B100" s="1667"/>
      <c r="C100" s="1654"/>
      <c r="D100" s="1844"/>
      <c r="E100" s="1540">
        <f t="shared" ref="E100" si="13">IF(D100&lt;=25000,D100,IF(D100&gt;25000,25000,0))</f>
        <v>0</v>
      </c>
      <c r="F100" s="1939">
        <f t="shared" si="8"/>
        <v>0</v>
      </c>
      <c r="G100" s="1793">
        <f t="shared" ref="G100" si="14">IF(F100=0,0,D100-F100)</f>
        <v>0</v>
      </c>
    </row>
    <row r="101" spans="1:7" hidden="1" x14ac:dyDescent="0.25">
      <c r="A101" s="1653"/>
      <c r="B101" s="1667"/>
      <c r="C101" s="1654"/>
      <c r="D101" s="1844"/>
      <c r="E101" s="1540">
        <f t="shared" ref="E101:E113" si="15">IF(D101&lt;=25000,D101,IF(D101&gt;25000,25000,0))</f>
        <v>0</v>
      </c>
      <c r="F101" s="1939">
        <f t="shared" si="8"/>
        <v>0</v>
      </c>
      <c r="G101" s="1793">
        <f t="shared" ref="G101:G113" si="16">IF(F101=0,0,D101-F101)</f>
        <v>0</v>
      </c>
    </row>
    <row r="102" spans="1:7" hidden="1" x14ac:dyDescent="0.25">
      <c r="A102" s="1653"/>
      <c r="B102" s="1667"/>
      <c r="C102" s="1654"/>
      <c r="D102" s="1844"/>
      <c r="E102" s="1540">
        <f t="shared" si="15"/>
        <v>0</v>
      </c>
      <c r="F102" s="1939">
        <f t="shared" si="8"/>
        <v>0</v>
      </c>
      <c r="G102" s="1793">
        <f t="shared" si="16"/>
        <v>0</v>
      </c>
    </row>
    <row r="103" spans="1:7" hidden="1" x14ac:dyDescent="0.25">
      <c r="A103" s="1653"/>
      <c r="B103" s="1667"/>
      <c r="C103" s="1654"/>
      <c r="D103" s="1844"/>
      <c r="E103" s="1540">
        <f t="shared" si="15"/>
        <v>0</v>
      </c>
      <c r="F103" s="1939">
        <f t="shared" si="8"/>
        <v>0</v>
      </c>
      <c r="G103" s="1793">
        <f t="shared" si="16"/>
        <v>0</v>
      </c>
    </row>
    <row r="104" spans="1:7" hidden="1" x14ac:dyDescent="0.25">
      <c r="A104" s="1653"/>
      <c r="B104" s="1667"/>
      <c r="C104" s="1654"/>
      <c r="D104" s="1844"/>
      <c r="E104" s="1540">
        <f t="shared" si="15"/>
        <v>0</v>
      </c>
      <c r="F104" s="1939">
        <f t="shared" si="8"/>
        <v>0</v>
      </c>
      <c r="G104" s="1793">
        <f t="shared" si="16"/>
        <v>0</v>
      </c>
    </row>
    <row r="105" spans="1:7" hidden="1" x14ac:dyDescent="0.25">
      <c r="A105" s="1653"/>
      <c r="B105" s="1667"/>
      <c r="C105" s="1654"/>
      <c r="D105" s="1844"/>
      <c r="E105" s="1540">
        <f t="shared" si="15"/>
        <v>0</v>
      </c>
      <c r="F105" s="1939">
        <f t="shared" si="8"/>
        <v>0</v>
      </c>
      <c r="G105" s="1793">
        <f t="shared" si="16"/>
        <v>0</v>
      </c>
    </row>
    <row r="106" spans="1:7" hidden="1" x14ac:dyDescent="0.25">
      <c r="A106" s="1653"/>
      <c r="B106" s="1667"/>
      <c r="C106" s="1654"/>
      <c r="D106" s="1844"/>
      <c r="E106" s="1540">
        <f t="shared" si="15"/>
        <v>0</v>
      </c>
      <c r="F106" s="1939">
        <f t="shared" si="8"/>
        <v>0</v>
      </c>
      <c r="G106" s="1793">
        <f t="shared" si="16"/>
        <v>0</v>
      </c>
    </row>
    <row r="107" spans="1:7" hidden="1" x14ac:dyDescent="0.25">
      <c r="A107" s="1653"/>
      <c r="B107" s="1667"/>
      <c r="C107" s="1654"/>
      <c r="D107" s="1844"/>
      <c r="E107" s="1540">
        <f t="shared" si="15"/>
        <v>0</v>
      </c>
      <c r="F107" s="1939">
        <f t="shared" si="8"/>
        <v>0</v>
      </c>
      <c r="G107" s="1793">
        <f t="shared" si="16"/>
        <v>0</v>
      </c>
    </row>
    <row r="108" spans="1:7" hidden="1" x14ac:dyDescent="0.25">
      <c r="A108" s="1653"/>
      <c r="B108" s="1667"/>
      <c r="C108" s="1654"/>
      <c r="D108" s="1844"/>
      <c r="E108" s="1540">
        <f t="shared" si="15"/>
        <v>0</v>
      </c>
      <c r="F108" s="1939">
        <f t="shared" si="8"/>
        <v>0</v>
      </c>
      <c r="G108" s="1793">
        <f t="shared" si="16"/>
        <v>0</v>
      </c>
    </row>
    <row r="109" spans="1:7" hidden="1" x14ac:dyDescent="0.25">
      <c r="A109" s="1653"/>
      <c r="B109" s="1667"/>
      <c r="C109" s="1654"/>
      <c r="D109" s="1844"/>
      <c r="E109" s="1540">
        <f t="shared" si="15"/>
        <v>0</v>
      </c>
      <c r="F109" s="1939">
        <f t="shared" si="8"/>
        <v>0</v>
      </c>
      <c r="G109" s="1793">
        <f t="shared" si="16"/>
        <v>0</v>
      </c>
    </row>
    <row r="110" spans="1:7" hidden="1" x14ac:dyDescent="0.25">
      <c r="A110" s="1653"/>
      <c r="B110" s="1667"/>
      <c r="C110" s="1654"/>
      <c r="D110" s="1844"/>
      <c r="E110" s="1540">
        <f t="shared" si="15"/>
        <v>0</v>
      </c>
      <c r="F110" s="1939">
        <f t="shared" si="8"/>
        <v>0</v>
      </c>
      <c r="G110" s="1793">
        <f t="shared" si="16"/>
        <v>0</v>
      </c>
    </row>
    <row r="111" spans="1:7" hidden="1" x14ac:dyDescent="0.25">
      <c r="A111" s="1653"/>
      <c r="B111" s="1667"/>
      <c r="C111" s="1654"/>
      <c r="D111" s="1844"/>
      <c r="E111" s="1540">
        <f t="shared" si="15"/>
        <v>0</v>
      </c>
      <c r="F111" s="1939">
        <f t="shared" si="8"/>
        <v>0</v>
      </c>
      <c r="G111" s="1793">
        <f t="shared" si="16"/>
        <v>0</v>
      </c>
    </row>
    <row r="112" spans="1:7" hidden="1" x14ac:dyDescent="0.25">
      <c r="A112" s="1653"/>
      <c r="B112" s="1667"/>
      <c r="C112" s="1654"/>
      <c r="D112" s="1844"/>
      <c r="E112" s="1540">
        <f t="shared" si="15"/>
        <v>0</v>
      </c>
      <c r="F112" s="1939">
        <f t="shared" si="8"/>
        <v>0</v>
      </c>
      <c r="G112" s="1793">
        <f t="shared" si="16"/>
        <v>0</v>
      </c>
    </row>
    <row r="113" spans="1:7" hidden="1" x14ac:dyDescent="0.25">
      <c r="A113" s="1653"/>
      <c r="B113" s="1667"/>
      <c r="C113" s="1654"/>
      <c r="D113" s="1844"/>
      <c r="E113" s="1540">
        <f t="shared" si="15"/>
        <v>0</v>
      </c>
      <c r="F113" s="1939">
        <f t="shared" si="8"/>
        <v>0</v>
      </c>
      <c r="G113" s="1793">
        <f t="shared" si="16"/>
        <v>0</v>
      </c>
    </row>
    <row r="114" spans="1:7" hidden="1" x14ac:dyDescent="0.25">
      <c r="A114" s="1653"/>
      <c r="B114" s="1667"/>
      <c r="C114" s="1654"/>
      <c r="D114" s="1844"/>
      <c r="E114" s="1540">
        <f t="shared" ref="E114:E126" si="17">IF(D114&lt;=25000,D114,IF(D114&gt;25000,25000,0))</f>
        <v>0</v>
      </c>
      <c r="F114" s="1939">
        <f t="shared" si="8"/>
        <v>0</v>
      </c>
      <c r="G114" s="1793">
        <f t="shared" ref="G114:G126" si="18">IF(F114=0,0,D114-F114)</f>
        <v>0</v>
      </c>
    </row>
    <row r="115" spans="1:7" hidden="1" x14ac:dyDescent="0.25">
      <c r="A115" s="1653"/>
      <c r="B115" s="1667"/>
      <c r="C115" s="1654"/>
      <c r="D115" s="1844"/>
      <c r="E115" s="1540">
        <f t="shared" si="17"/>
        <v>0</v>
      </c>
      <c r="F115" s="1939">
        <f t="shared" si="8"/>
        <v>0</v>
      </c>
      <c r="G115" s="1793">
        <f t="shared" si="18"/>
        <v>0</v>
      </c>
    </row>
    <row r="116" spans="1:7" hidden="1" x14ac:dyDescent="0.25">
      <c r="A116" s="1653"/>
      <c r="B116" s="1667"/>
      <c r="C116" s="1654"/>
      <c r="D116" s="1844"/>
      <c r="E116" s="1540">
        <f t="shared" si="17"/>
        <v>0</v>
      </c>
      <c r="F116" s="1939">
        <f t="shared" si="8"/>
        <v>0</v>
      </c>
      <c r="G116" s="1793">
        <f t="shared" si="18"/>
        <v>0</v>
      </c>
    </row>
    <row r="117" spans="1:7" hidden="1" x14ac:dyDescent="0.25">
      <c r="A117" s="1653"/>
      <c r="B117" s="1667"/>
      <c r="C117" s="1654"/>
      <c r="D117" s="1844"/>
      <c r="E117" s="1540">
        <f t="shared" si="17"/>
        <v>0</v>
      </c>
      <c r="F117" s="1939">
        <f t="shared" si="8"/>
        <v>0</v>
      </c>
      <c r="G117" s="1793">
        <f t="shared" si="18"/>
        <v>0</v>
      </c>
    </row>
    <row r="118" spans="1:7" hidden="1" x14ac:dyDescent="0.25">
      <c r="A118" s="1653"/>
      <c r="B118" s="1667"/>
      <c r="C118" s="1654"/>
      <c r="D118" s="1844"/>
      <c r="E118" s="1540">
        <f t="shared" si="17"/>
        <v>0</v>
      </c>
      <c r="F118" s="1939">
        <f t="shared" si="8"/>
        <v>0</v>
      </c>
      <c r="G118" s="1793">
        <f t="shared" si="18"/>
        <v>0</v>
      </c>
    </row>
    <row r="119" spans="1:7" hidden="1" x14ac:dyDescent="0.25">
      <c r="A119" s="1653"/>
      <c r="B119" s="1667"/>
      <c r="C119" s="1654"/>
      <c r="D119" s="1844"/>
      <c r="E119" s="1540">
        <f t="shared" si="17"/>
        <v>0</v>
      </c>
      <c r="F119" s="1939">
        <f t="shared" si="8"/>
        <v>0</v>
      </c>
      <c r="G119" s="1793">
        <f t="shared" si="18"/>
        <v>0</v>
      </c>
    </row>
    <row r="120" spans="1:7" hidden="1" x14ac:dyDescent="0.25">
      <c r="A120" s="1653"/>
      <c r="B120" s="1667"/>
      <c r="C120" s="1654"/>
      <c r="D120" s="1844"/>
      <c r="E120" s="1540">
        <f t="shared" si="17"/>
        <v>0</v>
      </c>
      <c r="F120" s="1939">
        <f t="shared" si="8"/>
        <v>0</v>
      </c>
      <c r="G120" s="1793">
        <f t="shared" si="18"/>
        <v>0</v>
      </c>
    </row>
    <row r="121" spans="1:7" hidden="1" x14ac:dyDescent="0.25">
      <c r="A121" s="1653"/>
      <c r="B121" s="1667"/>
      <c r="C121" s="1654"/>
      <c r="D121" s="1844"/>
      <c r="E121" s="1540">
        <f t="shared" si="17"/>
        <v>0</v>
      </c>
      <c r="F121" s="1939">
        <f t="shared" si="8"/>
        <v>0</v>
      </c>
      <c r="G121" s="1793">
        <f t="shared" si="18"/>
        <v>0</v>
      </c>
    </row>
    <row r="122" spans="1:7" hidden="1" x14ac:dyDescent="0.25">
      <c r="A122" s="1653"/>
      <c r="B122" s="1667"/>
      <c r="C122" s="1654"/>
      <c r="D122" s="1844"/>
      <c r="E122" s="1540">
        <f t="shared" si="17"/>
        <v>0</v>
      </c>
      <c r="F122" s="1939">
        <f t="shared" si="8"/>
        <v>0</v>
      </c>
      <c r="G122" s="1793">
        <f t="shared" si="18"/>
        <v>0</v>
      </c>
    </row>
    <row r="123" spans="1:7" hidden="1" x14ac:dyDescent="0.25">
      <c r="A123" s="1653"/>
      <c r="B123" s="1667"/>
      <c r="C123" s="1654"/>
      <c r="D123" s="1844"/>
      <c r="E123" s="1540">
        <f t="shared" si="17"/>
        <v>0</v>
      </c>
      <c r="F123" s="1939">
        <f t="shared" si="8"/>
        <v>0</v>
      </c>
      <c r="G123" s="1793">
        <f t="shared" si="18"/>
        <v>0</v>
      </c>
    </row>
    <row r="124" spans="1:7" hidden="1" x14ac:dyDescent="0.25">
      <c r="A124" s="1653"/>
      <c r="B124" s="1667"/>
      <c r="C124" s="1654"/>
      <c r="D124" s="1844"/>
      <c r="E124" s="1540">
        <f t="shared" si="17"/>
        <v>0</v>
      </c>
      <c r="F124" s="1939">
        <f t="shared" si="8"/>
        <v>0</v>
      </c>
      <c r="G124" s="1793">
        <f t="shared" si="18"/>
        <v>0</v>
      </c>
    </row>
    <row r="125" spans="1:7" hidden="1" x14ac:dyDescent="0.25">
      <c r="A125" s="1653"/>
      <c r="B125" s="1667"/>
      <c r="C125" s="1654"/>
      <c r="D125" s="1844"/>
      <c r="E125" s="1540">
        <f t="shared" si="17"/>
        <v>0</v>
      </c>
      <c r="F125" s="1939">
        <f t="shared" si="8"/>
        <v>0</v>
      </c>
      <c r="G125" s="1793">
        <f t="shared" si="18"/>
        <v>0</v>
      </c>
    </row>
    <row r="126" spans="1:7" hidden="1" x14ac:dyDescent="0.25">
      <c r="A126" s="1653"/>
      <c r="B126" s="1667"/>
      <c r="C126" s="1654"/>
      <c r="D126" s="1844"/>
      <c r="E126" s="1540">
        <f t="shared" si="17"/>
        <v>0</v>
      </c>
      <c r="F126" s="1939">
        <f t="shared" si="8"/>
        <v>0</v>
      </c>
      <c r="G126" s="1793">
        <f t="shared" si="18"/>
        <v>0</v>
      </c>
    </row>
    <row r="127" spans="1:7" hidden="1" x14ac:dyDescent="0.25">
      <c r="A127" s="1653"/>
      <c r="B127" s="1667"/>
      <c r="C127" s="1654"/>
      <c r="D127" s="1844"/>
      <c r="E127" s="1540">
        <f t="shared" ref="E127:E135" si="19">IF(D127&lt;=25000,D127,IF(D127&gt;25000,25000,0))</f>
        <v>0</v>
      </c>
      <c r="F127" s="1939">
        <f t="shared" si="8"/>
        <v>0</v>
      </c>
      <c r="G127" s="1793">
        <f t="shared" ref="G127:G135" si="20">IF(F127=0,0,D127-F127)</f>
        <v>0</v>
      </c>
    </row>
    <row r="128" spans="1:7" hidden="1" x14ac:dyDescent="0.25">
      <c r="A128" s="1653"/>
      <c r="B128" s="1667"/>
      <c r="C128" s="1654"/>
      <c r="D128" s="1844"/>
      <c r="E128" s="1540">
        <f t="shared" si="19"/>
        <v>0</v>
      </c>
      <c r="F128" s="1939">
        <f t="shared" si="8"/>
        <v>0</v>
      </c>
      <c r="G128" s="1793">
        <f t="shared" si="20"/>
        <v>0</v>
      </c>
    </row>
    <row r="129" spans="1:7" hidden="1" x14ac:dyDescent="0.25">
      <c r="A129" s="1653"/>
      <c r="B129" s="1667"/>
      <c r="C129" s="1654"/>
      <c r="D129" s="1844"/>
      <c r="E129" s="1540">
        <f t="shared" si="19"/>
        <v>0</v>
      </c>
      <c r="F129" s="1939">
        <f t="shared" si="8"/>
        <v>0</v>
      </c>
      <c r="G129" s="1793">
        <f t="shared" si="20"/>
        <v>0</v>
      </c>
    </row>
    <row r="130" spans="1:7" hidden="1" x14ac:dyDescent="0.25">
      <c r="A130" s="1653"/>
      <c r="B130" s="1667"/>
      <c r="C130" s="1654"/>
      <c r="D130" s="1844"/>
      <c r="E130" s="1540">
        <f t="shared" si="19"/>
        <v>0</v>
      </c>
      <c r="F130" s="1939">
        <f t="shared" si="8"/>
        <v>0</v>
      </c>
      <c r="G130" s="1793">
        <f t="shared" si="20"/>
        <v>0</v>
      </c>
    </row>
    <row r="131" spans="1:7" hidden="1" x14ac:dyDescent="0.25">
      <c r="A131" s="1653"/>
      <c r="B131" s="1667"/>
      <c r="C131" s="1654"/>
      <c r="D131" s="1844"/>
      <c r="E131" s="1540">
        <f t="shared" si="19"/>
        <v>0</v>
      </c>
      <c r="F131" s="1939">
        <f t="shared" si="8"/>
        <v>0</v>
      </c>
      <c r="G131" s="1793">
        <f t="shared" si="20"/>
        <v>0</v>
      </c>
    </row>
    <row r="132" spans="1:7" hidden="1" x14ac:dyDescent="0.25">
      <c r="A132" s="1653"/>
      <c r="B132" s="1837"/>
      <c r="C132" s="1654"/>
      <c r="D132" s="1844"/>
      <c r="E132" s="1540">
        <f t="shared" si="19"/>
        <v>0</v>
      </c>
      <c r="F132" s="1939">
        <f t="shared" si="8"/>
        <v>0</v>
      </c>
      <c r="G132" s="1793">
        <f t="shared" si="20"/>
        <v>0</v>
      </c>
    </row>
    <row r="133" spans="1:7" hidden="1" x14ac:dyDescent="0.25">
      <c r="A133" s="1653"/>
      <c r="B133" s="1837"/>
      <c r="C133" s="1654"/>
      <c r="D133" s="1844"/>
      <c r="E133" s="1540">
        <f t="shared" si="19"/>
        <v>0</v>
      </c>
      <c r="F133" s="1939">
        <f t="shared" si="8"/>
        <v>0</v>
      </c>
      <c r="G133" s="1793">
        <f t="shared" si="20"/>
        <v>0</v>
      </c>
    </row>
    <row r="134" spans="1:7" hidden="1" x14ac:dyDescent="0.25">
      <c r="A134" s="1653"/>
      <c r="B134" s="1667"/>
      <c r="C134" s="1654"/>
      <c r="D134" s="1844"/>
      <c r="E134" s="1540">
        <f t="shared" si="19"/>
        <v>0</v>
      </c>
      <c r="F134" s="1939">
        <f t="shared" si="8"/>
        <v>0</v>
      </c>
      <c r="G134" s="1793">
        <f t="shared" si="20"/>
        <v>0</v>
      </c>
    </row>
    <row r="135" spans="1:7" hidden="1" x14ac:dyDescent="0.25">
      <c r="A135" s="1653"/>
      <c r="B135" s="1667"/>
      <c r="C135" s="1654"/>
      <c r="D135" s="1844"/>
      <c r="E135" s="1540">
        <f t="shared" si="19"/>
        <v>0</v>
      </c>
      <c r="F135" s="1939">
        <f t="shared" si="8"/>
        <v>0</v>
      </c>
      <c r="G135" s="1793">
        <f t="shared" si="20"/>
        <v>0</v>
      </c>
    </row>
    <row r="136" spans="1:7" hidden="1" x14ac:dyDescent="0.25">
      <c r="A136" s="1653"/>
      <c r="B136" s="1667"/>
      <c r="C136" s="1654"/>
      <c r="D136" s="1844"/>
      <c r="E136" s="1540">
        <f t="shared" ref="E136:E140" si="21">IF(D136&lt;=25000,D136,IF(D136&gt;25000,25000,0))</f>
        <v>0</v>
      </c>
      <c r="F136" s="1939">
        <f t="shared" si="8"/>
        <v>0</v>
      </c>
      <c r="G136" s="1793">
        <f t="shared" ref="G136:G140" si="22">IF(F136=0,0,D136-F136)</f>
        <v>0</v>
      </c>
    </row>
    <row r="137" spans="1:7" hidden="1" x14ac:dyDescent="0.25">
      <c r="A137" s="1653"/>
      <c r="B137" s="1667"/>
      <c r="C137" s="1654"/>
      <c r="D137" s="1844"/>
      <c r="E137" s="1540">
        <f t="shared" si="21"/>
        <v>0</v>
      </c>
      <c r="F137" s="1939">
        <f t="shared" si="8"/>
        <v>0</v>
      </c>
      <c r="G137" s="1793">
        <f t="shared" si="22"/>
        <v>0</v>
      </c>
    </row>
    <row r="138" spans="1:7" hidden="1" x14ac:dyDescent="0.25">
      <c r="A138" s="1653"/>
      <c r="B138" s="1667"/>
      <c r="C138" s="1654"/>
      <c r="D138" s="1844"/>
      <c r="E138" s="1540">
        <f t="shared" si="21"/>
        <v>0</v>
      </c>
      <c r="F138" s="1939">
        <f t="shared" si="8"/>
        <v>0</v>
      </c>
      <c r="G138" s="1793">
        <f t="shared" si="22"/>
        <v>0</v>
      </c>
    </row>
    <row r="139" spans="1:7" hidden="1" x14ac:dyDescent="0.25">
      <c r="A139" s="1653"/>
      <c r="B139" s="1667"/>
      <c r="C139" s="1654"/>
      <c r="D139" s="1844"/>
      <c r="E139" s="1540">
        <f t="shared" si="21"/>
        <v>0</v>
      </c>
      <c r="F139" s="1939">
        <f t="shared" si="8"/>
        <v>0</v>
      </c>
      <c r="G139" s="1793">
        <f t="shared" si="22"/>
        <v>0</v>
      </c>
    </row>
    <row r="140" spans="1:7" hidden="1" x14ac:dyDescent="0.25">
      <c r="A140" s="1653"/>
      <c r="B140" s="1667"/>
      <c r="C140" s="1654"/>
      <c r="D140" s="1844"/>
      <c r="E140" s="1540">
        <f t="shared" si="21"/>
        <v>0</v>
      </c>
      <c r="F140" s="1939">
        <f t="shared" si="8"/>
        <v>0</v>
      </c>
      <c r="G140" s="1793">
        <f t="shared" si="22"/>
        <v>0</v>
      </c>
    </row>
    <row r="141" spans="1:7" hidden="1" x14ac:dyDescent="0.25">
      <c r="A141" s="1653"/>
      <c r="B141" s="1666"/>
      <c r="C141" s="1654"/>
      <c r="D141" s="1844"/>
      <c r="E141" s="1540">
        <f t="shared" si="3"/>
        <v>0</v>
      </c>
      <c r="F141" s="1939">
        <f t="shared" si="8"/>
        <v>0</v>
      </c>
      <c r="G141" s="1793">
        <f t="shared" si="5"/>
        <v>0</v>
      </c>
    </row>
    <row r="142" spans="1:7" x14ac:dyDescent="0.25">
      <c r="A142" s="1796" t="s">
        <v>156</v>
      </c>
      <c r="B142" s="1797"/>
      <c r="C142" s="1798"/>
      <c r="D142" s="1794">
        <f>SUM(D18:D141)</f>
        <v>1932432</v>
      </c>
      <c r="E142" s="1541">
        <f t="shared" ref="E142" si="23">IF(D142&lt;=25000,D142,IF(D142&gt;25000,25000,0))</f>
        <v>25000</v>
      </c>
      <c r="F142" s="1932">
        <f>SUM(F18:F141)</f>
        <v>264762</v>
      </c>
      <c r="G142" s="1795">
        <f>SUM(G18:G141)</f>
        <v>1667670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G33" sqref="G3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1" t="s">
        <v>1679</v>
      </c>
      <c r="B5" s="2302"/>
      <c r="C5" s="2302"/>
      <c r="D5" s="2302"/>
      <c r="E5" s="2302"/>
      <c r="F5" s="2302"/>
      <c r="G5" s="230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f>+'Expenditures 15-22'!E63+'Expenditures 15-22'!F63</f>
        <v>234179</v>
      </c>
      <c r="F10" s="974"/>
      <c r="G10" s="975"/>
      <c r="H10" s="162"/>
      <c r="I10" s="162"/>
    </row>
    <row r="11" spans="1:9" s="668" customFormat="1" ht="22.5" customHeight="1" x14ac:dyDescent="0.2">
      <c r="A11" s="2306" t="s">
        <v>1972</v>
      </c>
      <c r="B11" s="2307"/>
      <c r="C11" s="2307"/>
      <c r="D11" s="2308"/>
      <c r="E11" s="977">
        <v>33339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5447673</v>
      </c>
      <c r="F19" s="1799"/>
      <c r="G19" s="1801">
        <f>'Expenditures 15-22'!K33-SUM('Expenditures 15-22'!G33,'Expenditures 15-22'!I33)+'Expenditures 15-22'!D229</f>
        <v>5447673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540938</v>
      </c>
      <c r="F21" s="1802"/>
      <c r="G21" s="1805">
        <f>'Expenditures 15-22'!K42-SUM('Expenditures 15-22'!G42,'Expenditures 15-22'!I42)+'Expenditures 15-22'!K120-SUM('Expenditures 15-22'!G120,'Expenditures 15-22'!I120)+'Expenditures 15-22'!K180-SUM('Expenditures 15-22'!G180,'Expenditures 15-22'!I180)+'Expenditures 15-22'!D238</f>
        <v>540938</v>
      </c>
      <c r="H21" s="987"/>
      <c r="I21" s="162"/>
    </row>
    <row r="22" spans="1:9" s="668" customFormat="1" ht="12" customHeight="1" x14ac:dyDescent="0.2">
      <c r="A22" s="994" t="s">
        <v>564</v>
      </c>
      <c r="B22" s="995"/>
      <c r="C22" s="993">
        <v>2200</v>
      </c>
      <c r="D22" s="1802"/>
      <c r="E22" s="1804">
        <f>'Expenditures 15-22'!K47-SUM('Expenditures 15-22'!G47,'Expenditures 15-22'!I47)+'Expenditures 15-22'!D243</f>
        <v>332106</v>
      </c>
      <c r="F22" s="1802"/>
      <c r="G22" s="1805">
        <f>'Expenditures 15-22'!K47-SUM('Expenditures 15-22'!G47,'Expenditures 15-22'!I47)+'Expenditures 15-22'!D243</f>
        <v>332106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450433</v>
      </c>
      <c r="F23" s="1802"/>
      <c r="G23" s="1804">
        <f>'Expenditures 15-22'!K53-SUM('Expenditures 15-22'!G53,'Expenditures 15-22'!I53)+'Expenditures 15-22'!D257+'Expenditures 15-22'!K330-SUM('Expenditures 15-22'!G330,'Expenditures 15-22'!I330)</f>
        <v>450433</v>
      </c>
      <c r="H23" s="987"/>
      <c r="I23" s="162"/>
    </row>
    <row r="24" spans="1:9" s="668" customFormat="1" ht="12" customHeight="1" x14ac:dyDescent="0.2">
      <c r="A24" s="994" t="s">
        <v>566</v>
      </c>
      <c r="B24" s="995"/>
      <c r="C24" s="993">
        <v>2400</v>
      </c>
      <c r="D24" s="1802"/>
      <c r="E24" s="1804">
        <f>'Expenditures 15-22'!K57-SUM('Expenditures 15-22'!G57,'Expenditures 15-22'!I57)+'Expenditures 15-22'!D261</f>
        <v>542245</v>
      </c>
      <c r="F24" s="1802"/>
      <c r="G24" s="1805">
        <f>'Expenditures 15-22'!K57-SUM('Expenditures 15-22'!G57,'Expenditures 15-22'!I57)+'Expenditures 15-22'!D261</f>
        <v>542245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704900</v>
      </c>
      <c r="E27" s="1804">
        <f>E8</f>
        <v>0</v>
      </c>
      <c r="F27" s="1804">
        <f>'Expenditures 15-22'!K60-SUM('Expenditures 15-22'!G60,'Expenditures 15-22'!I60)+'Expenditures 15-22'!D264-E8</f>
        <v>704900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826120</v>
      </c>
      <c r="F28" s="1806">
        <f>'Expenditures 15-22'!K61-SUM('Expenditures 15-22'!G61,'Expenditures 15-22'!I61)+'Expenditures 15-22'!K124-SUM('Expenditures 15-22'!G124,'Expenditures 15-22'!I124)+'Expenditures 15-22'!D266-E9</f>
        <v>826120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976929</v>
      </c>
      <c r="F29" s="1802"/>
      <c r="G29" s="1805">
        <f>'Expenditures 15-22'!K62-SUM('Expenditures 15-22'!G62,'Expenditures 15-22'!I62)+'Expenditures 15-22'!K125-SUM('Expenditures 15-22'!G125,'Expenditures 15-22'!I125)+'Expenditures 15-22'!K182-SUM('Expenditures 15-22'!G182,'Expenditures 15-22'!I182)+'Expenditures 15-22'!D267</f>
        <v>976929</v>
      </c>
      <c r="H29" s="985"/>
    </row>
    <row r="30" spans="1:9" ht="12" customHeight="1" x14ac:dyDescent="0.2">
      <c r="A30" s="994" t="s">
        <v>100</v>
      </c>
      <c r="B30" s="997"/>
      <c r="C30" s="993">
        <v>2560</v>
      </c>
      <c r="D30" s="1802"/>
      <c r="E30" s="1804">
        <f>'Expenditures 15-22'!K63-SUM('Expenditures 15-22'!G63,'Expenditures 15-22'!I63)+'Expenditures 15-22'!D268-E10</f>
        <v>189017</v>
      </c>
      <c r="F30" s="1802"/>
      <c r="G30" s="1804">
        <f>'Expenditures 15-22'!K63-SUM('Expenditures 15-22'!G63,'Expenditures 15-22'!I63)+'Expenditures 15-22'!D268-E10</f>
        <v>189017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66256</v>
      </c>
      <c r="F35" s="1802"/>
      <c r="G35" s="1804">
        <f>'Expenditures 15-22'!K69-SUM('Expenditures 15-22'!G69,'Expenditures 15-22'!I69)+'Expenditures 15-22'!D274</f>
        <v>66256</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-1667670</v>
      </c>
      <c r="F40" s="1802"/>
      <c r="G40" s="1806">
        <f>-'Contracts Paid in CY 29'!G142</f>
        <v>-1667670</v>
      </c>
    </row>
    <row r="41" spans="1:7" ht="12" customHeight="1" x14ac:dyDescent="0.2">
      <c r="A41" s="998" t="s">
        <v>156</v>
      </c>
      <c r="B41" s="999"/>
      <c r="C41" s="1000"/>
      <c r="D41" s="1806">
        <f>SUM(D19:D39)</f>
        <v>704900</v>
      </c>
      <c r="E41" s="1806">
        <f>SUM(E19:E40)</f>
        <v>7704047</v>
      </c>
      <c r="F41" s="1806">
        <f>SUM(F19:F39)</f>
        <v>1531020</v>
      </c>
      <c r="G41" s="1806">
        <f>SUM(G19:G40)</f>
        <v>6877927</v>
      </c>
    </row>
    <row r="42" spans="1:7" x14ac:dyDescent="0.2">
      <c r="A42" s="987"/>
      <c r="B42" s="162"/>
      <c r="C42" s="1001"/>
      <c r="D42" s="2304" t="s">
        <v>522</v>
      </c>
      <c r="E42" s="2305"/>
      <c r="F42" s="1002" t="s">
        <v>523</v>
      </c>
      <c r="G42" s="1003"/>
    </row>
    <row r="43" spans="1:7" ht="12" customHeight="1" x14ac:dyDescent="0.2">
      <c r="A43" s="987"/>
      <c r="B43" s="162"/>
      <c r="C43" s="1001"/>
      <c r="D43" s="1807" t="s">
        <v>473</v>
      </c>
      <c r="E43" s="1808">
        <f>D41</f>
        <v>704900</v>
      </c>
      <c r="F43" s="1807" t="s">
        <v>473</v>
      </c>
      <c r="G43" s="1808">
        <f>F41</f>
        <v>1531020</v>
      </c>
    </row>
    <row r="44" spans="1:7" ht="12" customHeight="1" x14ac:dyDescent="0.2">
      <c r="A44" s="987"/>
      <c r="B44" s="162"/>
      <c r="C44" s="1001"/>
      <c r="D44" s="1807" t="s">
        <v>474</v>
      </c>
      <c r="E44" s="1808">
        <f>E41</f>
        <v>7704047</v>
      </c>
      <c r="F44" s="1807" t="s">
        <v>474</v>
      </c>
      <c r="G44" s="1808">
        <f>G41</f>
        <v>6877927</v>
      </c>
    </row>
    <row r="45" spans="1:7" ht="12" customHeight="1" x14ac:dyDescent="0.2">
      <c r="A45" s="987"/>
      <c r="B45" s="162"/>
      <c r="C45" s="162"/>
      <c r="D45" s="1809" t="s">
        <v>1006</v>
      </c>
      <c r="E45" s="1810">
        <f>(E43/E44)</f>
        <v>9.1497364956366442E-2</v>
      </c>
      <c r="F45" s="1809" t="s">
        <v>1006</v>
      </c>
      <c r="G45" s="1810">
        <f>(G43/G44)</f>
        <v>0.22259904764909544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8" activePane="bottomLeft" state="frozen"/>
      <selection activeCell="A47" sqref="A47"/>
      <selection pane="bottomLeft" activeCell="A42" sqref="A42:F4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7.5703125" style="1878" bestFit="1" customWidth="1"/>
    <col min="9" max="10" width="4" style="1878" bestFit="1" customWidth="1"/>
    <col min="11" max="11" width="9" style="1878" customWidth="1"/>
    <col min="12" max="16384" width="9.140625" style="1847"/>
  </cols>
  <sheetData>
    <row r="1" spans="1:10" x14ac:dyDescent="0.2">
      <c r="A1" s="2312" t="s">
        <v>1379</v>
      </c>
      <c r="B1" s="2312"/>
      <c r="C1" s="2312"/>
      <c r="D1" s="2312"/>
      <c r="E1" s="2312"/>
      <c r="F1" s="2312"/>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13" t="s">
        <v>1546</v>
      </c>
      <c r="B5" s="2314"/>
      <c r="C5" s="2315"/>
      <c r="D5" s="2315"/>
      <c r="E5" s="2315"/>
      <c r="F5" s="2315"/>
    </row>
    <row r="6" spans="1:10" ht="12" customHeight="1" x14ac:dyDescent="0.25">
      <c r="A6" s="1850"/>
      <c r="B6" s="1851"/>
      <c r="C6" s="2316" t="str">
        <f>COVER!A17</f>
        <v>Momence CUSD 1</v>
      </c>
      <c r="D6" s="2316"/>
      <c r="E6" s="2316"/>
      <c r="F6" s="1852"/>
    </row>
    <row r="7" spans="1:10" ht="11.25" customHeight="1" thickBot="1" x14ac:dyDescent="0.3">
      <c r="A7" s="1850"/>
      <c r="B7" s="1851"/>
      <c r="C7" s="2317">
        <f>COVER!A13</f>
        <v>32046001026</v>
      </c>
      <c r="D7" s="2317"/>
      <c r="E7" s="2317"/>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2059</v>
      </c>
      <c r="D19" s="1865" t="s">
        <v>2059</v>
      </c>
      <c r="E19" s="1868" t="s">
        <v>2059</v>
      </c>
      <c r="F19" s="1867" t="s">
        <v>2202</v>
      </c>
      <c r="H19" s="1878">
        <f t="shared" si="0"/>
        <v>5</v>
      </c>
      <c r="I19" s="1878">
        <f t="shared" si="1"/>
        <v>5</v>
      </c>
      <c r="J19" s="1878">
        <f t="shared" si="2"/>
        <v>5</v>
      </c>
    </row>
    <row r="20" spans="1:12" ht="12" customHeight="1" x14ac:dyDescent="0.2">
      <c r="A20" s="1863" t="s">
        <v>1528</v>
      </c>
      <c r="B20" s="1864"/>
      <c r="C20" s="1865" t="s">
        <v>2059</v>
      </c>
      <c r="D20" s="1865" t="s">
        <v>2059</v>
      </c>
      <c r="E20" s="1868" t="s">
        <v>2059</v>
      </c>
      <c r="F20" s="1867" t="s">
        <v>2203</v>
      </c>
      <c r="H20" s="1878">
        <f t="shared" si="0"/>
        <v>5</v>
      </c>
      <c r="I20" s="1878">
        <f t="shared" si="1"/>
        <v>5</v>
      </c>
      <c r="J20" s="1878">
        <f t="shared" si="2"/>
        <v>5</v>
      </c>
    </row>
    <row r="21" spans="1:12" ht="12" customHeight="1" x14ac:dyDescent="0.2">
      <c r="A21" s="1863" t="s">
        <v>1529</v>
      </c>
      <c r="B21" s="1864"/>
      <c r="C21" s="1865" t="s">
        <v>2059</v>
      </c>
      <c r="D21" s="1865" t="s">
        <v>2059</v>
      </c>
      <c r="E21" s="1868" t="s">
        <v>2059</v>
      </c>
      <c r="F21" s="1867" t="s">
        <v>2204</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2059</v>
      </c>
      <c r="D25" s="1865" t="s">
        <v>2059</v>
      </c>
      <c r="E25" s="1868" t="s">
        <v>2059</v>
      </c>
      <c r="F25" s="1867" t="s">
        <v>2206</v>
      </c>
      <c r="H25" s="1878">
        <f t="shared" si="0"/>
        <v>5</v>
      </c>
      <c r="I25" s="1878">
        <f t="shared" si="1"/>
        <v>5</v>
      </c>
      <c r="J25" s="1878">
        <f t="shared" si="2"/>
        <v>5</v>
      </c>
    </row>
    <row r="26" spans="1:12" ht="12" customHeight="1" x14ac:dyDescent="0.2">
      <c r="A26" s="1863" t="s">
        <v>1534</v>
      </c>
      <c r="B26" s="1864"/>
      <c r="C26" s="1865" t="s">
        <v>2059</v>
      </c>
      <c r="D26" s="1865" t="s">
        <v>2059</v>
      </c>
      <c r="E26" s="1868" t="s">
        <v>2059</v>
      </c>
      <c r="F26" s="1867" t="s">
        <v>2207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2059</v>
      </c>
      <c r="D29" s="1865" t="s">
        <v>2059</v>
      </c>
      <c r="E29" s="1868" t="s">
        <v>2059</v>
      </c>
      <c r="F29" s="1867" t="s">
        <v>2209</v>
      </c>
      <c r="H29" s="1878">
        <f t="shared" si="0"/>
        <v>5</v>
      </c>
      <c r="I29" s="1878">
        <f t="shared" si="1"/>
        <v>5</v>
      </c>
      <c r="J29" s="1878">
        <f t="shared" si="2"/>
        <v>5</v>
      </c>
    </row>
    <row r="30" spans="1:12" ht="12" customHeight="1" x14ac:dyDescent="0.2">
      <c r="A30" s="1863" t="s">
        <v>1538</v>
      </c>
      <c r="B30" s="1864"/>
      <c r="C30" s="1865" t="s">
        <v>2059</v>
      </c>
      <c r="D30" s="1865" t="s">
        <v>2059</v>
      </c>
      <c r="E30" s="1868" t="s">
        <v>2059</v>
      </c>
      <c r="F30" s="1867" t="s">
        <v>2205</v>
      </c>
      <c r="H30" s="1878">
        <f t="shared" si="0"/>
        <v>5</v>
      </c>
      <c r="I30" s="1878">
        <f t="shared" si="1"/>
        <v>5</v>
      </c>
      <c r="J30" s="1878">
        <f t="shared" si="2"/>
        <v>5</v>
      </c>
    </row>
    <row r="31" spans="1:12" ht="12" customHeight="1" x14ac:dyDescent="0.2">
      <c r="A31" s="1863" t="s">
        <v>1539</v>
      </c>
      <c r="B31" s="1864"/>
      <c r="C31" s="1865" t="s">
        <v>2059</v>
      </c>
      <c r="D31" s="1865" t="s">
        <v>2059</v>
      </c>
      <c r="E31" s="1868" t="s">
        <v>2059</v>
      </c>
      <c r="F31" s="1867" t="s">
        <v>2208</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2059</v>
      </c>
      <c r="D33" s="1865" t="s">
        <v>2059</v>
      </c>
      <c r="E33" s="1868" t="s">
        <v>2059</v>
      </c>
      <c r="F33" s="1867" t="s">
        <v>2210</v>
      </c>
      <c r="H33" s="1878">
        <f t="shared" si="0"/>
        <v>5</v>
      </c>
      <c r="I33" s="1878">
        <f t="shared" si="1"/>
        <v>5</v>
      </c>
      <c r="J33" s="1878">
        <f t="shared" si="2"/>
        <v>5</v>
      </c>
    </row>
    <row r="34" spans="1:11" ht="12" customHeight="1" x14ac:dyDescent="0.25">
      <c r="A34" s="1870"/>
      <c r="B34" s="1870"/>
      <c r="C34" s="1870"/>
      <c r="D34" s="1870"/>
      <c r="E34" s="1870"/>
      <c r="F34" s="1870"/>
      <c r="H34" s="1878">
        <f>SUM(H11:H32)</f>
        <v>40</v>
      </c>
      <c r="I34" s="1878">
        <f>SUM(I11:I32)</f>
        <v>40</v>
      </c>
      <c r="J34" s="1878">
        <f>SUM(J11:J32)</f>
        <v>40</v>
      </c>
      <c r="K34" s="1878">
        <f>SUM(H34:J34)</f>
        <v>120</v>
      </c>
    </row>
    <row r="35" spans="1:11" ht="12" customHeight="1" x14ac:dyDescent="0.2">
      <c r="A35" s="1871" t="s">
        <v>1392</v>
      </c>
      <c r="B35" s="1872"/>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73"/>
      <c r="B39" s="1873"/>
      <c r="C39" s="1873"/>
      <c r="D39" s="1873"/>
      <c r="E39" s="1873"/>
      <c r="F39" s="1873"/>
    </row>
    <row r="40" spans="1:11" s="1870" customFormat="1" ht="12" customHeight="1" x14ac:dyDescent="0.25">
      <c r="A40" s="1874" t="s">
        <v>1391</v>
      </c>
      <c r="B40" s="1875"/>
      <c r="C40" s="2326"/>
      <c r="D40" s="2326"/>
      <c r="E40" s="2326"/>
      <c r="F40" s="2327"/>
      <c r="H40" s="1879"/>
      <c r="I40" s="1879"/>
      <c r="J40" s="1879"/>
      <c r="K40" s="1879"/>
    </row>
    <row r="41" spans="1:11" s="1870" customFormat="1" ht="12" customHeight="1" x14ac:dyDescent="0.25">
      <c r="A41" s="2328" t="s">
        <v>2211</v>
      </c>
      <c r="B41" s="2329"/>
      <c r="C41" s="2329"/>
      <c r="D41" s="2329"/>
      <c r="E41" s="2329"/>
      <c r="F41" s="2330"/>
      <c r="H41" s="1879"/>
      <c r="I41" s="1879"/>
      <c r="J41" s="1879"/>
      <c r="K41" s="1879"/>
    </row>
    <row r="42" spans="1:11" s="1870" customFormat="1" ht="12" customHeight="1" x14ac:dyDescent="0.25">
      <c r="A42" s="2328"/>
      <c r="B42" s="2329"/>
      <c r="C42" s="2329"/>
      <c r="D42" s="2329"/>
      <c r="E42" s="2329"/>
      <c r="F42" s="2330"/>
      <c r="H42" s="1879"/>
      <c r="I42" s="1879"/>
      <c r="J42" s="1879"/>
      <c r="K42" s="1879"/>
    </row>
    <row r="43" spans="1:11" s="1870" customFormat="1" ht="15" x14ac:dyDescent="0.25">
      <c r="A43" s="2320"/>
      <c r="B43" s="2321"/>
      <c r="C43" s="2321"/>
      <c r="D43" s="2321"/>
      <c r="E43" s="2321"/>
      <c r="F43" s="2322"/>
      <c r="H43" s="1879"/>
      <c r="I43" s="1879"/>
      <c r="J43" s="1879"/>
      <c r="K43" s="1879"/>
    </row>
    <row r="44" spans="1:11" s="1870" customFormat="1" ht="12" hidden="1" customHeight="1" x14ac:dyDescent="0.25">
      <c r="A44" s="2320"/>
      <c r="B44" s="2321"/>
      <c r="C44" s="2321"/>
      <c r="D44" s="2321"/>
      <c r="E44" s="2321"/>
      <c r="F44" s="232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4" colorId="8" zoomScale="110" zoomScaleNormal="110" workbookViewId="0">
      <selection activeCell="R24" sqref="R2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36" t="str">
        <f>COVER!A17</f>
        <v>Momence CUSD 1</v>
      </c>
      <c r="J6" s="2337"/>
      <c r="Q6" s="1664"/>
    </row>
    <row r="7" spans="1:17" x14ac:dyDescent="0.2">
      <c r="A7" s="2338" t="s">
        <v>869</v>
      </c>
      <c r="B7" s="2339"/>
      <c r="C7" s="2339"/>
      <c r="D7" s="2339"/>
      <c r="E7" s="2340"/>
      <c r="F7" s="1017"/>
      <c r="G7" s="1009"/>
      <c r="H7" s="1016" t="s">
        <v>372</v>
      </c>
      <c r="I7" s="2341">
        <f>COVER!A13</f>
        <v>32046001026</v>
      </c>
      <c r="J7" s="234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2" t="s">
        <v>481</v>
      </c>
      <c r="B11" s="2343"/>
      <c r="C11" s="234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156073</v>
      </c>
      <c r="F12" s="1039"/>
      <c r="G12" s="1811">
        <f t="shared" ref="G12:G18" si="0">SUM(E12:F12)</f>
        <v>156073</v>
      </c>
      <c r="H12" s="1040">
        <v>162450</v>
      </c>
      <c r="I12" s="1039"/>
      <c r="J12" s="1811">
        <f t="shared" ref="J12:J18" si="1">SUM(H12:I12)</f>
        <v>162450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162461</v>
      </c>
      <c r="F14" s="1039"/>
      <c r="G14" s="1811">
        <f t="shared" si="0"/>
        <v>162461</v>
      </c>
      <c r="H14" s="1040">
        <v>152000</v>
      </c>
      <c r="I14" s="1039"/>
      <c r="J14" s="1811">
        <f t="shared" si="1"/>
        <v>152000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45" t="s">
        <v>7</v>
      </c>
      <c r="C18" s="2346"/>
      <c r="D18" s="234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318534</v>
      </c>
      <c r="F19" s="1813">
        <f t="shared" si="2"/>
        <v>0</v>
      </c>
      <c r="G19" s="1813">
        <f t="shared" si="2"/>
        <v>318534</v>
      </c>
      <c r="H19" s="1813">
        <f t="shared" si="2"/>
        <v>314450</v>
      </c>
      <c r="I19" s="1813">
        <f t="shared" si="2"/>
        <v>0</v>
      </c>
      <c r="J19" s="1813">
        <f t="shared" si="2"/>
        <v>314450</v>
      </c>
    </row>
    <row r="20" spans="1:10" ht="13.5" thickTop="1" x14ac:dyDescent="0.2">
      <c r="A20" s="1035">
        <v>9</v>
      </c>
      <c r="B20" s="2348" t="s">
        <v>1976</v>
      </c>
      <c r="C20" s="2348"/>
      <c r="D20" s="2349"/>
      <c r="E20" s="1046"/>
      <c r="F20" s="1046"/>
      <c r="G20" s="1046"/>
      <c r="H20" s="1046"/>
      <c r="I20" s="1046"/>
      <c r="J20" s="1814">
        <f>IF(AND(G19&gt;0,J19&gt;0),(((J19-G19)/G19)),"Enter Budget Data")</f>
        <v>-1.2821237293350161E-2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4"/>
      <c r="D26" s="2354"/>
      <c r="E26" s="1050"/>
      <c r="F26" s="2353"/>
      <c r="G26" s="2353"/>
    </row>
    <row r="27" spans="1:10" x14ac:dyDescent="0.2">
      <c r="B27" s="1047"/>
      <c r="C27" s="1051" t="s">
        <v>1033</v>
      </c>
      <c r="D27" s="1052"/>
      <c r="E27" s="1053"/>
      <c r="F27" s="2350" t="s">
        <v>1509</v>
      </c>
      <c r="G27" s="2350"/>
    </row>
    <row r="28" spans="1:10" ht="28.5" customHeight="1" x14ac:dyDescent="0.2">
      <c r="B28" s="1047"/>
      <c r="C28" s="2352"/>
      <c r="D28" s="2352"/>
      <c r="E28" s="1054"/>
      <c r="F28" s="2352"/>
      <c r="G28" s="2352"/>
    </row>
    <row r="29" spans="1:10" x14ac:dyDescent="0.2">
      <c r="B29" s="1047"/>
      <c r="C29" s="1055" t="s">
        <v>1561</v>
      </c>
      <c r="E29" s="1056"/>
      <c r="F29" s="2351" t="s">
        <v>1510</v>
      </c>
      <c r="G29" s="235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2"/>
    </row>
    <row r="36" spans="1:10" ht="13.5" customHeight="1" x14ac:dyDescent="0.2">
      <c r="B36" s="1061"/>
      <c r="C36" s="2335" t="s">
        <v>1978</v>
      </c>
      <c r="D36" s="2334"/>
      <c r="E36" s="2334"/>
      <c r="F36" s="2334"/>
      <c r="G36" s="2334"/>
      <c r="H36" s="2334"/>
      <c r="I36" s="2334"/>
      <c r="J36" s="1063"/>
    </row>
    <row r="37" spans="1:10" ht="22.5" customHeight="1" x14ac:dyDescent="0.2">
      <c r="C37" s="2334"/>
      <c r="D37" s="2334"/>
      <c r="E37" s="2334"/>
      <c r="F37" s="2334"/>
      <c r="G37" s="2334"/>
      <c r="H37" s="2334"/>
      <c r="I37" s="2334"/>
      <c r="J37" s="1063"/>
    </row>
    <row r="38" spans="1:10" ht="7.5" customHeight="1" x14ac:dyDescent="0.2">
      <c r="C38" s="1062"/>
      <c r="D38" s="1064"/>
      <c r="E38" s="1065"/>
      <c r="F38" s="1066"/>
      <c r="G38" s="1065"/>
    </row>
    <row r="39" spans="1:10" ht="13.5" customHeight="1" x14ac:dyDescent="0.2">
      <c r="B39" s="1061"/>
      <c r="C39" s="2331" t="s">
        <v>882</v>
      </c>
      <c r="D39" s="2332"/>
      <c r="E39" s="2332"/>
      <c r="F39" s="2332"/>
      <c r="G39" s="2332"/>
      <c r="H39" s="2332"/>
      <c r="I39" s="233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16" sqref="B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959">
        <v>1</v>
      </c>
      <c r="B5" s="1952" t="s">
        <v>2135</v>
      </c>
    </row>
    <row r="6" spans="1:2" x14ac:dyDescent="0.2">
      <c r="A6" s="1068">
        <v>2</v>
      </c>
      <c r="B6" s="329" t="s">
        <v>2181</v>
      </c>
    </row>
    <row r="7" spans="1:2" x14ac:dyDescent="0.2">
      <c r="A7" s="1068">
        <v>3</v>
      </c>
      <c r="B7" s="329" t="s">
        <v>2182</v>
      </c>
    </row>
    <row r="8" spans="1:2" x14ac:dyDescent="0.2">
      <c r="A8" s="1068">
        <v>4</v>
      </c>
      <c r="B8" s="329" t="s">
        <v>2183</v>
      </c>
    </row>
    <row r="9" spans="1:2" x14ac:dyDescent="0.2">
      <c r="A9" s="1068">
        <v>5</v>
      </c>
      <c r="B9" s="329" t="s">
        <v>2184</v>
      </c>
    </row>
    <row r="10" spans="1:2" x14ac:dyDescent="0.2">
      <c r="A10" s="1068">
        <v>6</v>
      </c>
      <c r="B10" s="329" t="s">
        <v>2185</v>
      </c>
    </row>
    <row r="11" spans="1:2" x14ac:dyDescent="0.2">
      <c r="A11" s="1068"/>
      <c r="B11" s="329" t="s">
        <v>2186</v>
      </c>
    </row>
    <row r="12" spans="1:2" x14ac:dyDescent="0.2">
      <c r="A12" s="1068">
        <v>7</v>
      </c>
      <c r="B12" s="329" t="s">
        <v>2187</v>
      </c>
    </row>
    <row r="13" spans="1:2" x14ac:dyDescent="0.2">
      <c r="A13" s="1068">
        <v>8</v>
      </c>
      <c r="B13" s="329" t="s">
        <v>2188</v>
      </c>
    </row>
    <row r="14" spans="1:2" x14ac:dyDescent="0.2">
      <c r="A14" s="1068"/>
      <c r="B14" s="329" t="s">
        <v>2189</v>
      </c>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Momence CUSD 1</v>
      </c>
    </row>
    <row r="65" spans="2:2" x14ac:dyDescent="0.2">
      <c r="B65" s="1070">
        <f>COVER!A13</f>
        <v>32046001026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sheetPr>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5" t="s">
        <v>1685</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2</xdr:row>
                <xdr:rowOff>0</xdr:rowOff>
              </from>
              <to>
                <xdr:col>3</xdr:col>
                <xdr:colOff>304800</xdr:colOff>
                <xdr:row>6</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2</xdr:col>
                <xdr:colOff>0</xdr:colOff>
                <xdr:row>9</xdr:row>
                <xdr:rowOff>0</xdr:rowOff>
              </from>
              <to>
                <xdr:col>3</xdr:col>
                <xdr:colOff>304800</xdr:colOff>
                <xdr:row>13</xdr:row>
                <xdr:rowOff>123825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7</xdr:row>
                <xdr:rowOff>0</xdr:rowOff>
              </from>
              <to>
                <xdr:col>1</xdr:col>
                <xdr:colOff>914400</xdr:colOff>
                <xdr:row>11</xdr:row>
                <xdr:rowOff>123825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1690</v>
      </c>
      <c r="B1" s="2357"/>
      <c r="C1" s="2357"/>
      <c r="D1" s="2357"/>
      <c r="E1" s="2357"/>
      <c r="F1" s="2358"/>
    </row>
    <row r="2" spans="1:8" ht="45" customHeight="1" x14ac:dyDescent="0.2">
      <c r="A2" s="2366" t="s">
        <v>1982</v>
      </c>
      <c r="B2" s="2367"/>
      <c r="C2" s="2367"/>
      <c r="D2" s="2367"/>
      <c r="E2" s="2367"/>
      <c r="F2" s="2368"/>
      <c r="G2" s="1074"/>
      <c r="H2" s="1074"/>
    </row>
    <row r="3" spans="1:8" ht="57" customHeight="1" x14ac:dyDescent="0.2">
      <c r="A3" s="2369" t="s">
        <v>1686</v>
      </c>
      <c r="B3" s="2370"/>
      <c r="C3" s="2370"/>
      <c r="D3" s="2370"/>
      <c r="E3" s="2370"/>
      <c r="F3" s="2371"/>
      <c r="G3" s="1074"/>
      <c r="H3" s="1074"/>
    </row>
    <row r="4" spans="1:8" ht="14.25" customHeight="1" x14ac:dyDescent="0.2">
      <c r="A4" s="2375" t="s">
        <v>1983</v>
      </c>
      <c r="B4" s="2376"/>
      <c r="C4" s="2376"/>
      <c r="D4" s="2376"/>
      <c r="E4" s="2376"/>
      <c r="F4" s="2377"/>
      <c r="G4" s="1074"/>
      <c r="H4" s="1074"/>
    </row>
    <row r="5" spans="1:8" ht="14.25" customHeight="1" x14ac:dyDescent="0.2">
      <c r="A5" s="2378" t="s">
        <v>1979</v>
      </c>
      <c r="B5" s="2379"/>
      <c r="C5" s="2379"/>
      <c r="D5" s="2379"/>
      <c r="E5" s="2379"/>
      <c r="F5" s="2380"/>
      <c r="G5" s="1074"/>
      <c r="H5" s="1074"/>
    </row>
    <row r="6" spans="1:8" s="1075" customFormat="1" ht="41.25" customHeight="1" x14ac:dyDescent="0.2">
      <c r="A6" s="2372" t="s">
        <v>1691</v>
      </c>
      <c r="B6" s="2373"/>
      <c r="C6" s="2373"/>
      <c r="D6" s="2373"/>
      <c r="E6" s="2373"/>
      <c r="F6" s="237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10989891</v>
      </c>
      <c r="C8" s="1815">
        <f>'Acct Summary 7-8'!D8</f>
        <v>540796</v>
      </c>
      <c r="D8" s="1815">
        <f>'Acct Summary 7-8'!F8</f>
        <v>857761</v>
      </c>
      <c r="E8" s="1815">
        <f>'Acct Summary 7-8'!I8</f>
        <v>63400</v>
      </c>
      <c r="F8" s="1815">
        <f>SUM(B8:E8)</f>
        <v>12451848</v>
      </c>
    </row>
    <row r="9" spans="1:8" s="1079" customFormat="1" ht="14.25" customHeight="1" thickBot="1" x14ac:dyDescent="0.25">
      <c r="A9" s="1078" t="s">
        <v>1369</v>
      </c>
      <c r="B9" s="1816">
        <f>'Acct Summary 7-8'!C17</f>
        <v>9548153</v>
      </c>
      <c r="C9" s="1816">
        <f>'Acct Summary 7-8'!D17</f>
        <v>540481</v>
      </c>
      <c r="D9" s="1816">
        <f>'Acct Summary 7-8'!F17</f>
        <v>976629</v>
      </c>
      <c r="E9" s="1815"/>
      <c r="F9" s="1815">
        <f>SUM(B9:E9)</f>
        <v>11065263</v>
      </c>
    </row>
    <row r="10" spans="1:8" s="1079" customFormat="1" ht="14.25" thickTop="1" thickBot="1" x14ac:dyDescent="0.25">
      <c r="A10" s="1080" t="s">
        <v>1370</v>
      </c>
      <c r="B10" s="1817">
        <f>(B8-B9)</f>
        <v>1441738</v>
      </c>
      <c r="C10" s="1817">
        <f>(C8-C9)</f>
        <v>315</v>
      </c>
      <c r="D10" s="1817">
        <f>(D8-D9)</f>
        <v>-118868</v>
      </c>
      <c r="E10" s="1816">
        <f>(E8-E9)</f>
        <v>63400</v>
      </c>
      <c r="F10" s="1818">
        <f>SUM(F8-F9)</f>
        <v>1386585</v>
      </c>
    </row>
    <row r="11" spans="1:8" s="1079" customFormat="1" ht="14.25" thickTop="1" thickBot="1" x14ac:dyDescent="0.25">
      <c r="A11" s="1081" t="s">
        <v>1980</v>
      </c>
      <c r="B11" s="1819">
        <f>'Acct Summary 7-8'!C81</f>
        <v>3043052</v>
      </c>
      <c r="C11" s="1819">
        <f>'Acct Summary 7-8'!D81</f>
        <v>392651</v>
      </c>
      <c r="D11" s="1819">
        <f>'Acct Summary 7-8'!F81</f>
        <v>52047</v>
      </c>
      <c r="E11" s="1819">
        <f>'Acct Summary 7-8'!I81</f>
        <v>502043</v>
      </c>
      <c r="F11" s="1820">
        <f>SUM(B11:E11)</f>
        <v>3989793</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4"/>
      <c r="B13" s="1085"/>
      <c r="C13" s="2360"/>
      <c r="D13" s="2361"/>
      <c r="E13" s="2361"/>
      <c r="F13" s="2362"/>
      <c r="H13" s="1074"/>
    </row>
    <row r="14" spans="1:8" ht="19.5"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10" customFormat="1" ht="51.75" hidden="1" customHeight="1" x14ac:dyDescent="0.2">
      <c r="A16" s="2359" t="s">
        <v>1687</v>
      </c>
      <c r="B16" s="2359"/>
      <c r="C16" s="2359"/>
      <c r="D16" s="2359"/>
      <c r="E16" s="235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73" sqref="D7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81" t="s">
        <v>665</v>
      </c>
      <c r="B3" s="2382"/>
      <c r="C3" s="2382"/>
      <c r="D3" s="238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2" t="s">
        <v>1504</v>
      </c>
      <c r="D7" s="2393"/>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4" t="s">
        <v>1008</v>
      </c>
      <c r="B15" s="2385"/>
      <c r="C15" s="2385"/>
      <c r="D15" s="2386"/>
    </row>
    <row r="16" spans="1:4" s="668" customFormat="1" ht="24" customHeight="1" x14ac:dyDescent="0.2">
      <c r="A16" s="2387" t="s">
        <v>663</v>
      </c>
      <c r="B16" s="2388"/>
      <c r="C16" s="2388"/>
      <c r="D16" s="238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6" t="s">
        <v>314</v>
      </c>
      <c r="D21" s="2397"/>
    </row>
    <row r="22" spans="1:10" ht="12.75" x14ac:dyDescent="0.2">
      <c r="A22" s="1139"/>
      <c r="B22" s="1140">
        <v>2</v>
      </c>
      <c r="C22" s="2394" t="s">
        <v>1524</v>
      </c>
      <c r="D22" s="239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8" t="s">
        <v>536</v>
      </c>
      <c r="D43" s="239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0" t="s">
        <v>784</v>
      </c>
      <c r="D56" s="239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90" t="s">
        <v>1696</v>
      </c>
      <c r="D70" s="239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ERROR</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32046001026</v>
      </c>
    </row>
    <row r="3" spans="1:2" x14ac:dyDescent="0.2">
      <c r="A3" t="s">
        <v>956</v>
      </c>
      <c r="B3" s="138" t="str">
        <f>COVER!A15</f>
        <v>Kankakee</v>
      </c>
    </row>
    <row r="4" spans="1:2" x14ac:dyDescent="0.2">
      <c r="A4" t="s">
        <v>1007</v>
      </c>
      <c r="B4" s="138" t="str">
        <f>COVER!A17</f>
        <v>Momence CUSD 1</v>
      </c>
    </row>
    <row r="5" spans="1:2" x14ac:dyDescent="0.2">
      <c r="A5" t="s">
        <v>704</v>
      </c>
      <c r="B5" s="138" t="str">
        <f>COVER!A38</f>
        <v>Shannon Anderson</v>
      </c>
    </row>
    <row r="6" spans="1:2" x14ac:dyDescent="0.2">
      <c r="A6" t="s">
        <v>709</v>
      </c>
      <c r="B6" s="138">
        <f>COVER!P35</f>
        <v>0</v>
      </c>
    </row>
    <row r="7" spans="1:2" x14ac:dyDescent="0.2">
      <c r="A7" t="s">
        <v>705</v>
      </c>
      <c r="B7" s="138">
        <f>COVER!I38</f>
        <v>0</v>
      </c>
    </row>
    <row r="8" spans="1:2" x14ac:dyDescent="0.2">
      <c r="A8" t="s">
        <v>706</v>
      </c>
      <c r="B8" s="138" t="str">
        <f>COVER!T38</f>
        <v>Dr. Gregg Murphy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066-005281</v>
      </c>
    </row>
    <row r="16" spans="1:2" x14ac:dyDescent="0.2">
      <c r="A16" t="s">
        <v>422</v>
      </c>
      <c r="B16" s="138" t="str">
        <f>COVER!T13</f>
        <v>Smith, Koelling, Dykstra &amp; Ohm, P.C.</v>
      </c>
    </row>
    <row r="17" spans="1:2" x14ac:dyDescent="0.2">
      <c r="A17" t="s">
        <v>884</v>
      </c>
      <c r="B17" s="138" t="str">
        <f>COVER!T15</f>
        <v>Marcie Meents Kolberg</v>
      </c>
    </row>
    <row r="18" spans="1:2" x14ac:dyDescent="0.2">
      <c r="A18" t="s">
        <v>1150</v>
      </c>
      <c r="B18" s="138" t="str">
        <f>COVER!T17</f>
        <v>1605 North Convent</v>
      </c>
    </row>
    <row r="19" spans="1:2" x14ac:dyDescent="0.2">
      <c r="A19" t="s">
        <v>886</v>
      </c>
      <c r="B19" s="138" t="str">
        <f>COVER!T25</f>
        <v>marciek@skdocpa.com</v>
      </c>
    </row>
    <row r="20" spans="1:2" x14ac:dyDescent="0.2">
      <c r="A20" t="s">
        <v>887</v>
      </c>
      <c r="B20" s="138" t="str">
        <f>COVER!T19</f>
        <v>Bourbonnais</v>
      </c>
    </row>
    <row r="21" spans="1:2" x14ac:dyDescent="0.2">
      <c r="A21" t="s">
        <v>479</v>
      </c>
      <c r="B21" s="138" t="str">
        <f>COVER!X19</f>
        <v>IL</v>
      </c>
    </row>
    <row r="22" spans="1:2" x14ac:dyDescent="0.2">
      <c r="A22" t="s">
        <v>888</v>
      </c>
      <c r="B22" s="138">
        <f>COVER!Z19</f>
        <v>90614</v>
      </c>
    </row>
    <row r="23" spans="1:2" x14ac:dyDescent="0.2">
      <c r="A23" t="s">
        <v>1152</v>
      </c>
      <c r="B23" s="138" t="str">
        <f>COVER!T21</f>
        <v>815-937-1997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2317702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3043052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2994888</v>
      </c>
      <c r="D92" s="2" t="str">
        <f t="shared" si="0"/>
        <v>Error?</v>
      </c>
    </row>
    <row r="93" spans="1:4" x14ac:dyDescent="0.2">
      <c r="A93" s="5">
        <v>32</v>
      </c>
      <c r="B93" s="138">
        <f>'Assets-Liab 5-6'!C41</f>
        <v>3043052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386806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392651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392651</v>
      </c>
      <c r="D123" s="2" t="str">
        <f t="shared" si="0"/>
        <v>Error?</v>
      </c>
    </row>
    <row r="124" spans="1:4" x14ac:dyDescent="0.2">
      <c r="A124" s="5">
        <v>63</v>
      </c>
      <c r="B124" s="138">
        <f>'Assets-Liab 5-6'!D41</f>
        <v>392651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563</v>
      </c>
      <c r="D129" s="2" t="str">
        <f t="shared" si="1"/>
        <v>Error?</v>
      </c>
    </row>
    <row r="130" spans="1:4" x14ac:dyDescent="0.2">
      <c r="A130" s="5">
        <v>69</v>
      </c>
      <c r="B130" s="138">
        <f>'Assets-Liab 5-6'!E12</f>
        <v>0</v>
      </c>
      <c r="D130" s="2" t="str">
        <f t="shared" si="1"/>
        <v>Error?</v>
      </c>
    </row>
    <row r="131" spans="1:4" x14ac:dyDescent="0.2">
      <c r="A131" s="5">
        <v>70</v>
      </c>
      <c r="B131" s="138">
        <f>'Assets-Liab 5-6'!E13</f>
        <v>1341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1341</v>
      </c>
      <c r="D140" s="2" t="str">
        <f t="shared" si="1"/>
        <v>Error?</v>
      </c>
    </row>
    <row r="141" spans="1:4" x14ac:dyDescent="0.2">
      <c r="A141" s="5">
        <v>80</v>
      </c>
      <c r="B141" s="138">
        <f>'Assets-Liab 5-6'!E41</f>
        <v>1341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50662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52047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52047</v>
      </c>
      <c r="D170" s="2" t="str">
        <f t="shared" si="1"/>
        <v>Error?</v>
      </c>
    </row>
    <row r="171" spans="1:4" x14ac:dyDescent="0.2">
      <c r="A171" s="5">
        <v>110</v>
      </c>
      <c r="B171" s="138">
        <f>'Assets-Liab 5-6'!F41</f>
        <v>52047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45961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45961</v>
      </c>
      <c r="D189" s="2" t="str">
        <f t="shared" si="1"/>
        <v>Error?</v>
      </c>
    </row>
    <row r="190" spans="1:4" x14ac:dyDescent="0.2">
      <c r="A190" s="5">
        <v>129</v>
      </c>
      <c r="B190" s="138">
        <f>'Assets-Liab 5-6'!G41</f>
        <v>45961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582055</v>
      </c>
      <c r="D273" s="2" t="str">
        <f t="shared" si="3"/>
        <v>Error?</v>
      </c>
    </row>
    <row r="274" spans="1:4" x14ac:dyDescent="0.2">
      <c r="A274" s="5">
        <v>213</v>
      </c>
      <c r="B274" s="138">
        <f>'Assets-Liab 5-6'!M17</f>
        <v>16527473</v>
      </c>
      <c r="D274" s="2" t="str">
        <f t="shared" si="3"/>
        <v>Error?</v>
      </c>
    </row>
    <row r="275" spans="1:4" x14ac:dyDescent="0.2">
      <c r="A275" s="5">
        <v>214</v>
      </c>
      <c r="B275" s="138">
        <f>'Assets-Liab 5-6'!M18</f>
        <v>4453497</v>
      </c>
      <c r="D275" s="2" t="str">
        <f t="shared" si="3"/>
        <v>Error?</v>
      </c>
    </row>
    <row r="276" spans="1:4" x14ac:dyDescent="0.2">
      <c r="A276" s="5">
        <v>215</v>
      </c>
      <c r="B276" s="138">
        <f>'Assets-Liab 5-6'!M19</f>
        <v>5427734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26990759</v>
      </c>
      <c r="C279" s="2" t="s">
        <v>573</v>
      </c>
      <c r="D279" s="2" t="str">
        <f t="shared" si="3"/>
        <v>Error?</v>
      </c>
    </row>
    <row r="280" spans="1:4" x14ac:dyDescent="0.2">
      <c r="A280" s="5">
        <v>219</v>
      </c>
      <c r="B280" s="138">
        <f>'Assets-Liab 5-6'!M40</f>
        <v>26990759</v>
      </c>
      <c r="D280" s="2" t="str">
        <f t="shared" si="3"/>
        <v>Error?</v>
      </c>
    </row>
    <row r="281" spans="1:4" x14ac:dyDescent="0.2">
      <c r="A281" s="5">
        <v>220</v>
      </c>
      <c r="B281" s="138">
        <f>'Assets-Liab 5-6'!M41</f>
        <v>26990759</v>
      </c>
      <c r="C281" s="2" t="s">
        <v>573</v>
      </c>
      <c r="D281" s="2" t="str">
        <f t="shared" si="3"/>
        <v>Error?</v>
      </c>
    </row>
    <row r="282" spans="1:4" x14ac:dyDescent="0.2">
      <c r="A282" s="5">
        <v>221</v>
      </c>
      <c r="B282" s="138">
        <f>'Assets-Liab 5-6'!N21</f>
        <v>1341</v>
      </c>
      <c r="D282" s="2" t="str">
        <f t="shared" si="3"/>
        <v>Error?</v>
      </c>
    </row>
    <row r="283" spans="1:4" x14ac:dyDescent="0.2">
      <c r="A283" s="5">
        <v>222</v>
      </c>
      <c r="B283" s="138">
        <f>'Assets-Liab 5-6'!N22</f>
        <v>9963659</v>
      </c>
      <c r="D283" s="2" t="str">
        <f t="shared" si="3"/>
        <v>Error?</v>
      </c>
    </row>
    <row r="284" spans="1:4" x14ac:dyDescent="0.2">
      <c r="A284" s="5">
        <v>223</v>
      </c>
      <c r="B284" s="138">
        <f>'Assets-Liab 5-6'!N23</f>
        <v>9965000</v>
      </c>
      <c r="C284" s="2" t="s">
        <v>573</v>
      </c>
      <c r="D284" s="2" t="str">
        <f t="shared" si="3"/>
        <v>Error?</v>
      </c>
    </row>
    <row r="285" spans="1:4" x14ac:dyDescent="0.2">
      <c r="A285" s="5">
        <v>224</v>
      </c>
      <c r="B285" s="138">
        <f>'Assets-Liab 5-6'!N36</f>
        <v>9965000</v>
      </c>
      <c r="D285" s="2" t="str">
        <f t="shared" si="3"/>
        <v>Error?</v>
      </c>
    </row>
    <row r="286" spans="1:4" x14ac:dyDescent="0.2">
      <c r="A286" s="10">
        <v>225</v>
      </c>
      <c r="D286" s="2" t="str">
        <f t="shared" si="3"/>
        <v>OK</v>
      </c>
    </row>
    <row r="287" spans="1:4" x14ac:dyDescent="0.2">
      <c r="A287" s="5">
        <v>226</v>
      </c>
      <c r="B287" s="138">
        <f>'Assets-Liab 5-6'!N37</f>
        <v>9965000</v>
      </c>
      <c r="C287" s="2" t="s">
        <v>573</v>
      </c>
      <c r="D287" s="2" t="str">
        <f t="shared" si="3"/>
        <v>Error?</v>
      </c>
    </row>
    <row r="288" spans="1:4" x14ac:dyDescent="0.2">
      <c r="A288" s="5">
        <v>227</v>
      </c>
      <c r="B288" s="138">
        <f>'Assets-Liab 5-6'!N41</f>
        <v>9965000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2595880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126037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137741</v>
      </c>
      <c r="D717" s="2" t="str">
        <f t="shared" si="10"/>
        <v>Error?</v>
      </c>
    </row>
    <row r="718" spans="1:4" x14ac:dyDescent="0.2">
      <c r="A718" s="5">
        <v>657</v>
      </c>
      <c r="B718" s="138">
        <f>'Expenditures 15-22'!C14</f>
        <v>101708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4510667</v>
      </c>
      <c r="C720" s="2" t="s">
        <v>573</v>
      </c>
      <c r="D720" s="2" t="str">
        <f t="shared" si="10"/>
        <v>Error?</v>
      </c>
    </row>
    <row r="721" spans="1:4" x14ac:dyDescent="0.2">
      <c r="A721" s="5">
        <v>660</v>
      </c>
      <c r="B721" s="138">
        <f>'Expenditures 15-22'!C36</f>
        <v>125716</v>
      </c>
      <c r="D721" s="2" t="str">
        <f t="shared" si="10"/>
        <v>Error?</v>
      </c>
    </row>
    <row r="722" spans="1:4" x14ac:dyDescent="0.2">
      <c r="A722" s="5">
        <v>661</v>
      </c>
      <c r="B722" s="138">
        <f>'Expenditures 15-22'!C37</f>
        <v>77415</v>
      </c>
      <c r="D722" s="2" t="str">
        <f t="shared" si="10"/>
        <v>Error?</v>
      </c>
    </row>
    <row r="723" spans="1:4" x14ac:dyDescent="0.2">
      <c r="A723" s="5">
        <v>662</v>
      </c>
      <c r="B723" s="138">
        <f>'Expenditures 15-22'!C38</f>
        <v>137759</v>
      </c>
      <c r="D723" s="2" t="str">
        <f t="shared" si="10"/>
        <v>Error?</v>
      </c>
    </row>
    <row r="724" spans="1:4" x14ac:dyDescent="0.2">
      <c r="A724" s="5">
        <v>663</v>
      </c>
      <c r="B724" s="138">
        <f>'Expenditures 15-22'!C39</f>
        <v>56632</v>
      </c>
      <c r="D724" s="2" t="str">
        <f t="shared" si="10"/>
        <v>Error?</v>
      </c>
    </row>
    <row r="725" spans="1:4" x14ac:dyDescent="0.2">
      <c r="A725" s="5">
        <v>664</v>
      </c>
      <c r="B725" s="138">
        <f>'Expenditures 15-22'!C40</f>
        <v>86141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483663</v>
      </c>
      <c r="C727" s="2" t="s">
        <v>573</v>
      </c>
      <c r="D727" s="2" t="str">
        <f t="shared" si="10"/>
        <v>Error?</v>
      </c>
    </row>
    <row r="728" spans="1:4" x14ac:dyDescent="0.2">
      <c r="A728" s="5">
        <v>667</v>
      </c>
      <c r="B728" s="138">
        <f>'Expenditures 15-22'!C44</f>
        <v>5418</v>
      </c>
      <c r="D728" s="2" t="str">
        <f t="shared" si="10"/>
        <v>Error?</v>
      </c>
    </row>
    <row r="729" spans="1:4" x14ac:dyDescent="0.2">
      <c r="A729" s="5">
        <v>668</v>
      </c>
      <c r="B729" s="138">
        <f>'Expenditures 15-22'!C45</f>
        <v>72764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78182</v>
      </c>
      <c r="C731" s="2" t="s">
        <v>573</v>
      </c>
      <c r="D731" s="2" t="str">
        <f t="shared" si="10"/>
        <v>Error?</v>
      </c>
    </row>
    <row r="732" spans="1:4" x14ac:dyDescent="0.2">
      <c r="A732" s="5">
        <v>671</v>
      </c>
      <c r="B732" s="138">
        <f>'Expenditures 15-22'!C49</f>
        <v>4612</v>
      </c>
      <c r="D732" s="2" t="str">
        <f t="shared" si="10"/>
        <v>Error?</v>
      </c>
    </row>
    <row r="733" spans="1:4" x14ac:dyDescent="0.2">
      <c r="A733" s="5">
        <v>672</v>
      </c>
      <c r="B733" s="138">
        <f>'Expenditures 15-22'!C50</f>
        <v>149772</v>
      </c>
      <c r="D733" s="2" t="str">
        <f t="shared" si="10"/>
        <v>Error?</v>
      </c>
    </row>
    <row r="734" spans="1:4" x14ac:dyDescent="0.2">
      <c r="A734" s="5">
        <v>673</v>
      </c>
      <c r="B734" s="138">
        <f>'Expenditures 15-22'!C53</f>
        <v>154384</v>
      </c>
      <c r="C734" s="2" t="s">
        <v>573</v>
      </c>
      <c r="D734" s="2" t="str">
        <f t="shared" si="10"/>
        <v>Error?</v>
      </c>
    </row>
    <row r="735" spans="1:4" x14ac:dyDescent="0.2">
      <c r="A735" s="5">
        <v>674</v>
      </c>
      <c r="B735" s="138">
        <f>'Expenditures 15-22'!C55</f>
        <v>356196</v>
      </c>
      <c r="D735" s="2" t="str">
        <f t="shared" si="10"/>
        <v>Error?</v>
      </c>
    </row>
    <row r="736" spans="1:4" x14ac:dyDescent="0.2">
      <c r="A736" s="5">
        <v>675</v>
      </c>
      <c r="B736" s="138">
        <f>'Expenditures 15-22'!C56</f>
        <v>160837</v>
      </c>
      <c r="D736" s="2" t="str">
        <f t="shared" si="10"/>
        <v>Error?</v>
      </c>
    </row>
    <row r="737" spans="1:4" x14ac:dyDescent="0.2">
      <c r="A737" s="5">
        <v>676</v>
      </c>
      <c r="B737" s="138">
        <f>'Expenditures 15-22'!C57</f>
        <v>517033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97543</v>
      </c>
      <c r="D739" s="2" t="str">
        <f t="shared" si="10"/>
        <v>Error?</v>
      </c>
    </row>
    <row r="740" spans="1:4" x14ac:dyDescent="0.2">
      <c r="A740" s="5">
        <v>679</v>
      </c>
      <c r="B740" s="138">
        <f>'Expenditures 15-22'!C61</f>
        <v>66181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164356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328080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1561342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6072009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15034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437139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305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305</v>
      </c>
      <c r="C789" s="2" t="s">
        <v>573</v>
      </c>
      <c r="D789" s="2" t="str">
        <f t="shared" si="11"/>
        <v>Error?</v>
      </c>
    </row>
    <row r="790" spans="1:4" x14ac:dyDescent="0.2">
      <c r="A790" s="5">
        <v>729</v>
      </c>
      <c r="B790" s="138">
        <f>'Expenditures 15-22'!D49</f>
        <v>71286</v>
      </c>
      <c r="D790" s="2" t="str">
        <f t="shared" si="11"/>
        <v>Error?</v>
      </c>
    </row>
    <row r="791" spans="1:4" x14ac:dyDescent="0.2">
      <c r="A791" s="5">
        <v>730</v>
      </c>
      <c r="B791" s="138">
        <f>'Expenditures 15-22'!D50</f>
        <v>0</v>
      </c>
      <c r="D791" s="2" t="str">
        <f t="shared" si="11"/>
        <v>Error?</v>
      </c>
    </row>
    <row r="792" spans="1:4" x14ac:dyDescent="0.2">
      <c r="A792" s="5">
        <v>731</v>
      </c>
      <c r="B792" s="138">
        <f>'Expenditures 15-22'!D53</f>
        <v>71286</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580137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580137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651728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1088867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15188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6638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28936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183588</v>
      </c>
      <c r="C836" s="2" t="s">
        <v>573</v>
      </c>
      <c r="D836" s="2" t="str">
        <f t="shared" si="12"/>
        <v>Error?</v>
      </c>
    </row>
    <row r="837" spans="1:4" x14ac:dyDescent="0.2">
      <c r="A837" s="5">
        <v>776</v>
      </c>
      <c r="B837" s="138">
        <f>'Expenditures 15-22'!E36</f>
        <v>3041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55</v>
      </c>
      <c r="D839" s="2" t="str">
        <f t="shared" si="12"/>
        <v>Error?</v>
      </c>
    </row>
    <row r="840" spans="1:4" x14ac:dyDescent="0.2">
      <c r="A840" s="5">
        <v>779</v>
      </c>
      <c r="B840" s="138">
        <f>'Expenditures 15-22'!E39</f>
        <v>652</v>
      </c>
      <c r="D840" s="2" t="str">
        <f t="shared" si="12"/>
        <v>Error?</v>
      </c>
    </row>
    <row r="841" spans="1:4" x14ac:dyDescent="0.2">
      <c r="A841" s="5">
        <v>780</v>
      </c>
      <c r="B841" s="138">
        <f>'Expenditures 15-22'!E40</f>
        <v>375</v>
      </c>
      <c r="D841" s="2" t="str">
        <f t="shared" si="12"/>
        <v>Error?</v>
      </c>
    </row>
    <row r="842" spans="1:4" x14ac:dyDescent="0.2">
      <c r="A842" s="5">
        <v>781</v>
      </c>
      <c r="B842" s="138">
        <f>'Expenditures 15-22'!E41</f>
        <v>19295</v>
      </c>
      <c r="D842" s="2" t="str">
        <f t="shared" si="12"/>
        <v>Error?</v>
      </c>
    </row>
    <row r="843" spans="1:4" x14ac:dyDescent="0.2">
      <c r="A843" s="5">
        <v>782</v>
      </c>
      <c r="B843" s="138">
        <f>'Expenditures 15-22'!E42</f>
        <v>23418</v>
      </c>
      <c r="C843" s="2" t="s">
        <v>573</v>
      </c>
      <c r="D843" s="2" t="str">
        <f t="shared" si="12"/>
        <v>Error?</v>
      </c>
    </row>
    <row r="844" spans="1:4" x14ac:dyDescent="0.2">
      <c r="A844" s="5">
        <v>783</v>
      </c>
      <c r="B844" s="138">
        <f>'Expenditures 15-22'!E44</f>
        <v>46449</v>
      </c>
      <c r="D844" s="2" t="str">
        <f t="shared" si="12"/>
        <v>Error?</v>
      </c>
    </row>
    <row r="845" spans="1:4" x14ac:dyDescent="0.2">
      <c r="A845" s="5">
        <v>784</v>
      </c>
      <c r="B845" s="138">
        <f>'Expenditures 15-22'!E45</f>
        <v>159941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206390</v>
      </c>
      <c r="C847" s="2" t="s">
        <v>573</v>
      </c>
      <c r="D847" s="2" t="str">
        <f t="shared" si="12"/>
        <v>Error?</v>
      </c>
    </row>
    <row r="848" spans="1:4" x14ac:dyDescent="0.2">
      <c r="A848" s="5">
        <v>787</v>
      </c>
      <c r="B848" s="138">
        <f>'Expenditures 15-22'!E49</f>
        <v>103828</v>
      </c>
      <c r="D848" s="2" t="str">
        <f t="shared" si="12"/>
        <v>Error?</v>
      </c>
    </row>
    <row r="849" spans="1:4" x14ac:dyDescent="0.2">
      <c r="A849" s="5">
        <v>788</v>
      </c>
      <c r="B849" s="138">
        <f>'Expenditures 15-22'!E50</f>
        <v>2546</v>
      </c>
      <c r="D849" s="2" t="str">
        <f t="shared" si="12"/>
        <v>Error?</v>
      </c>
    </row>
    <row r="850" spans="1:4" x14ac:dyDescent="0.2">
      <c r="A850" s="5">
        <v>789</v>
      </c>
      <c r="B850" s="138">
        <f>'Expenditures 15-22'!E53</f>
        <v>106374</v>
      </c>
      <c r="C850" s="2" t="s">
        <v>573</v>
      </c>
      <c r="D850" s="2" t="str">
        <f t="shared" si="12"/>
        <v>Error?</v>
      </c>
    </row>
    <row r="851" spans="1:4" x14ac:dyDescent="0.2">
      <c r="A851" s="5">
        <v>790</v>
      </c>
      <c r="B851" s="138">
        <f>'Expenditures 15-22'!E55</f>
        <v>981</v>
      </c>
      <c r="D851" s="2" t="str">
        <f t="shared" si="12"/>
        <v>Error?</v>
      </c>
    </row>
    <row r="852" spans="1:4" x14ac:dyDescent="0.2">
      <c r="A852" s="5">
        <v>791</v>
      </c>
      <c r="B852" s="138">
        <f>'Expenditures 15-22'!E56</f>
        <v>570</v>
      </c>
      <c r="D852" s="2" t="str">
        <f t="shared" si="12"/>
        <v>Error?</v>
      </c>
    </row>
    <row r="853" spans="1:4" x14ac:dyDescent="0.2">
      <c r="A853" s="5">
        <v>792</v>
      </c>
      <c r="B853" s="138">
        <f>'Expenditures 15-22'!E57</f>
        <v>1551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v>
      </c>
      <c r="D855" s="2" t="str">
        <f t="shared" si="12"/>
        <v>Error?</v>
      </c>
    </row>
    <row r="856" spans="1:4" x14ac:dyDescent="0.2">
      <c r="A856" s="5">
        <v>795</v>
      </c>
      <c r="B856" s="138">
        <f>'Expenditures 15-22'!E61</f>
        <v>56070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7859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63969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66256</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66256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467958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654321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50862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5167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2781</v>
      </c>
      <c r="D891" s="2" t="str">
        <f t="shared" si="12"/>
        <v>Error?</v>
      </c>
    </row>
    <row r="892" spans="1:4" x14ac:dyDescent="0.2">
      <c r="A892" s="5">
        <v>831</v>
      </c>
      <c r="B892" s="138">
        <f>'Expenditures 15-22'!F14</f>
        <v>8064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163345</v>
      </c>
      <c r="C894" s="2" t="s">
        <v>573</v>
      </c>
      <c r="D894" s="2" t="str">
        <f t="shared" si="12"/>
        <v>Error?</v>
      </c>
    </row>
    <row r="895" spans="1:4" x14ac:dyDescent="0.2">
      <c r="A895" s="5">
        <v>834</v>
      </c>
      <c r="B895" s="138">
        <f>'Expenditures 15-22'!F36</f>
        <v>1541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1511</v>
      </c>
      <c r="D897" s="2" t="str">
        <f t="shared" si="13"/>
        <v>Error?</v>
      </c>
    </row>
    <row r="898" spans="1:4" x14ac:dyDescent="0.2">
      <c r="A898" s="5">
        <v>837</v>
      </c>
      <c r="B898" s="138">
        <f>'Expenditures 15-22'!F39</f>
        <v>2112</v>
      </c>
      <c r="D898" s="2" t="str">
        <f t="shared" si="13"/>
        <v>Error?</v>
      </c>
    </row>
    <row r="899" spans="1:4" x14ac:dyDescent="0.2">
      <c r="A899" s="5">
        <v>838</v>
      </c>
      <c r="B899" s="138">
        <f>'Expenditures 15-22'!F40</f>
        <v>693</v>
      </c>
      <c r="D899" s="2" t="str">
        <f t="shared" si="13"/>
        <v>Error?</v>
      </c>
    </row>
    <row r="900" spans="1:4" x14ac:dyDescent="0.2">
      <c r="A900" s="5">
        <v>839</v>
      </c>
      <c r="B900" s="138">
        <f>'Expenditures 15-22'!F41</f>
        <v>104</v>
      </c>
      <c r="D900" s="2" t="str">
        <f t="shared" si="13"/>
        <v>Error?</v>
      </c>
    </row>
    <row r="901" spans="1:4" x14ac:dyDescent="0.2">
      <c r="A901" s="5">
        <v>840</v>
      </c>
      <c r="B901" s="138">
        <f>'Expenditures 15-22'!F42</f>
        <v>5961</v>
      </c>
      <c r="C901" s="2" t="s">
        <v>573</v>
      </c>
      <c r="D901" s="2" t="str">
        <f t="shared" si="13"/>
        <v>Error?</v>
      </c>
    </row>
    <row r="902" spans="1:4" x14ac:dyDescent="0.2">
      <c r="A902" s="5">
        <v>841</v>
      </c>
      <c r="B902" s="138">
        <f>'Expenditures 15-22'!F44</f>
        <v>1340</v>
      </c>
      <c r="D902" s="2" t="str">
        <f t="shared" si="13"/>
        <v>Error?</v>
      </c>
    </row>
    <row r="903" spans="1:4" x14ac:dyDescent="0.2">
      <c r="A903" s="5">
        <v>842</v>
      </c>
      <c r="B903" s="138">
        <f>'Expenditures 15-22'!F45</f>
        <v>23989</v>
      </c>
      <c r="D903" s="2" t="str">
        <f t="shared" si="13"/>
        <v>Error?</v>
      </c>
    </row>
    <row r="904" spans="1:4" x14ac:dyDescent="0.2">
      <c r="A904" s="5">
        <v>843</v>
      </c>
      <c r="B904" s="138">
        <f>'Expenditures 15-22'!F46</f>
        <v>9106</v>
      </c>
      <c r="D904" s="2" t="str">
        <f t="shared" si="13"/>
        <v>Error?</v>
      </c>
    </row>
    <row r="905" spans="1:4" x14ac:dyDescent="0.2">
      <c r="A905" s="5">
        <v>844</v>
      </c>
      <c r="B905" s="138">
        <f>'Expenditures 15-22'!F47</f>
        <v>34435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1336</v>
      </c>
      <c r="D907" s="2" t="str">
        <f t="shared" si="13"/>
        <v>Error?</v>
      </c>
    </row>
    <row r="908" spans="1:4" x14ac:dyDescent="0.2">
      <c r="A908" s="5">
        <v>847</v>
      </c>
      <c r="B908" s="138">
        <f>'Expenditures 15-22'!F53</f>
        <v>1336</v>
      </c>
      <c r="C908" s="2" t="s">
        <v>573</v>
      </c>
      <c r="D908" s="2" t="str">
        <f t="shared" si="13"/>
        <v>Error?</v>
      </c>
    </row>
    <row r="909" spans="1:4" x14ac:dyDescent="0.2">
      <c r="A909" s="5">
        <v>848</v>
      </c>
      <c r="B909" s="138">
        <f>'Expenditures 15-22'!F55</f>
        <v>690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690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10536</v>
      </c>
      <c r="D913" s="2" t="str">
        <f t="shared" si="13"/>
        <v>Error?</v>
      </c>
    </row>
    <row r="914" spans="1:4" x14ac:dyDescent="0.2">
      <c r="A914" s="5">
        <v>853</v>
      </c>
      <c r="B914" s="138">
        <f>'Expenditures 15-22'!F61</f>
        <v>150949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226320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387805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430227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593572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68557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134534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134534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5358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5358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139892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208449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4988</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18965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23953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34174</v>
      </c>
      <c r="D1022" s="2" t="str">
        <f t="shared" si="14"/>
        <v>Error?</v>
      </c>
    </row>
    <row r="1023" spans="1:4" x14ac:dyDescent="0.2">
      <c r="A1023" s="5">
        <v>962</v>
      </c>
      <c r="B1023" s="138">
        <f>'Expenditures 15-22'!H50</f>
        <v>2419</v>
      </c>
      <c r="D1023" s="2" t="str">
        <f t="shared" ref="D1023:D1086" si="15">IF(ISBLANK(B1023),"OK",IF(A1023-B1023=0,"OK","Error?"))</f>
        <v>Error?</v>
      </c>
    </row>
    <row r="1024" spans="1:4" x14ac:dyDescent="0.2">
      <c r="A1024" s="5">
        <v>963</v>
      </c>
      <c r="B1024" s="138">
        <f>'Expenditures 15-22'!H53</f>
        <v>36593</v>
      </c>
      <c r="C1024" s="2" t="s">
        <v>573</v>
      </c>
      <c r="D1024" s="2" t="str">
        <f t="shared" si="15"/>
        <v>Error?</v>
      </c>
    </row>
    <row r="1025" spans="1:4" x14ac:dyDescent="0.2">
      <c r="A1025" s="5">
        <v>964</v>
      </c>
      <c r="B1025" s="138">
        <f>'Expenditures 15-22'!H55</f>
        <v>1766</v>
      </c>
      <c r="D1025" s="2" t="str">
        <f t="shared" si="15"/>
        <v>Error?</v>
      </c>
    </row>
    <row r="1026" spans="1:4" x14ac:dyDescent="0.2">
      <c r="A1026" s="5">
        <v>965</v>
      </c>
      <c r="B1026" s="138">
        <f>'Expenditures 15-22'!H56</f>
        <v>1054</v>
      </c>
      <c r="D1026" s="2" t="str">
        <f t="shared" si="15"/>
        <v>Error?</v>
      </c>
    </row>
    <row r="1027" spans="1:4" x14ac:dyDescent="0.2">
      <c r="A1027" s="5">
        <v>966</v>
      </c>
      <c r="B1027" s="138">
        <f>'Expenditures 15-22'!H57</f>
        <v>2820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2702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2702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42115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864867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930935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2661930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157864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140522</v>
      </c>
      <c r="C1105" s="2" t="s">
        <v>573</v>
      </c>
      <c r="D1105" s="2" t="str">
        <f t="shared" si="16"/>
        <v>Error?</v>
      </c>
    </row>
    <row r="1106" spans="1:4" x14ac:dyDescent="0.2">
      <c r="A1106" s="5">
        <v>1045</v>
      </c>
      <c r="B1106" s="138">
        <f>'Expenditures 15-22'!K14</f>
        <v>157673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5387249</v>
      </c>
      <c r="C1108" s="2" t="s">
        <v>573</v>
      </c>
      <c r="D1108" s="2" t="str">
        <f t="shared" si="16"/>
        <v>Error?</v>
      </c>
    </row>
    <row r="1109" spans="1:4" x14ac:dyDescent="0.2">
      <c r="A1109" s="5">
        <v>1048</v>
      </c>
      <c r="B1109" s="138">
        <f>'Expenditures 15-22'!K36</f>
        <v>130298</v>
      </c>
      <c r="C1109" s="2" t="s">
        <v>573</v>
      </c>
      <c r="D1109" s="2" t="str">
        <f t="shared" si="16"/>
        <v>Error?</v>
      </c>
    </row>
    <row r="1110" spans="1:4" x14ac:dyDescent="0.2">
      <c r="A1110" s="5">
        <v>1049</v>
      </c>
      <c r="B1110" s="138">
        <f>'Expenditures 15-22'!K37</f>
        <v>77415</v>
      </c>
      <c r="C1110" s="2" t="s">
        <v>573</v>
      </c>
      <c r="D1110" s="2" t="str">
        <f t="shared" si="16"/>
        <v>Error?</v>
      </c>
    </row>
    <row r="1111" spans="1:4" x14ac:dyDescent="0.2">
      <c r="A1111" s="5">
        <v>1050</v>
      </c>
      <c r="B1111" s="138">
        <f>'Expenditures 15-22'!K38</f>
        <v>139325</v>
      </c>
      <c r="C1111" s="2" t="s">
        <v>573</v>
      </c>
      <c r="D1111" s="2" t="str">
        <f t="shared" si="16"/>
        <v>Error?</v>
      </c>
    </row>
    <row r="1112" spans="1:4" x14ac:dyDescent="0.2">
      <c r="A1112" s="5">
        <v>1051</v>
      </c>
      <c r="B1112" s="138">
        <f>'Expenditures 15-22'!K39</f>
        <v>59396</v>
      </c>
      <c r="C1112" s="2" t="s">
        <v>573</v>
      </c>
      <c r="D1112" s="2" t="str">
        <f t="shared" si="16"/>
        <v>Error?</v>
      </c>
    </row>
    <row r="1113" spans="1:4" x14ac:dyDescent="0.2">
      <c r="A1113" s="5">
        <v>1052</v>
      </c>
      <c r="B1113" s="138">
        <f>'Expenditures 15-22'!K40</f>
        <v>87209</v>
      </c>
      <c r="C1113" s="2" t="s">
        <v>573</v>
      </c>
      <c r="D1113" s="2" t="str">
        <f t="shared" si="16"/>
        <v>Error?</v>
      </c>
    </row>
    <row r="1114" spans="1:4" x14ac:dyDescent="0.2">
      <c r="A1114" s="5">
        <v>1053</v>
      </c>
      <c r="B1114" s="138">
        <f>'Expenditures 15-22'!K41</f>
        <v>19399</v>
      </c>
      <c r="C1114" s="2" t="s">
        <v>573</v>
      </c>
      <c r="D1114" s="2" t="str">
        <f t="shared" si="16"/>
        <v>Error?</v>
      </c>
    </row>
    <row r="1115" spans="1:4" x14ac:dyDescent="0.2">
      <c r="A1115" s="5">
        <v>1054</v>
      </c>
      <c r="B1115" s="138">
        <f>'Expenditures 15-22'!K42</f>
        <v>513042</v>
      </c>
      <c r="C1115" s="2" t="s">
        <v>573</v>
      </c>
      <c r="D1115" s="2" t="str">
        <f t="shared" si="16"/>
        <v>Error?</v>
      </c>
    </row>
    <row r="1116" spans="1:4" x14ac:dyDescent="0.2">
      <c r="A1116" s="5">
        <v>1055</v>
      </c>
      <c r="B1116" s="138">
        <f>'Expenditures 15-22'!K44</f>
        <v>53512</v>
      </c>
      <c r="C1116" s="2" t="s">
        <v>573</v>
      </c>
      <c r="D1116" s="2" t="str">
        <f t="shared" si="16"/>
        <v>Error?</v>
      </c>
    </row>
    <row r="1117" spans="1:4" x14ac:dyDescent="0.2">
      <c r="A1117" s="5">
        <v>1056</v>
      </c>
      <c r="B1117" s="138">
        <f>'Expenditures 15-22'!K45</f>
        <v>391228</v>
      </c>
      <c r="C1117" s="2" t="s">
        <v>573</v>
      </c>
      <c r="D1117" s="2" t="str">
        <f t="shared" si="16"/>
        <v>Error?</v>
      </c>
    </row>
    <row r="1118" spans="1:4" x14ac:dyDescent="0.2">
      <c r="A1118" s="5">
        <v>1057</v>
      </c>
      <c r="B1118" s="138">
        <f>'Expenditures 15-22'!K46</f>
        <v>9106</v>
      </c>
      <c r="C1118" s="2" t="s">
        <v>573</v>
      </c>
      <c r="D1118" s="2" t="str">
        <f t="shared" si="16"/>
        <v>Error?</v>
      </c>
    </row>
    <row r="1119" spans="1:4" x14ac:dyDescent="0.2">
      <c r="A1119" s="5">
        <v>1058</v>
      </c>
      <c r="B1119" s="138">
        <f>'Expenditures 15-22'!K47</f>
        <v>453846</v>
      </c>
      <c r="C1119" s="2" t="s">
        <v>573</v>
      </c>
      <c r="D1119" s="2" t="str">
        <f t="shared" si="16"/>
        <v>Error?</v>
      </c>
    </row>
    <row r="1120" spans="1:4" x14ac:dyDescent="0.2">
      <c r="A1120" s="5">
        <v>1059</v>
      </c>
      <c r="B1120" s="138">
        <f>'Expenditures 15-22'!K49</f>
        <v>213900</v>
      </c>
      <c r="C1120" s="2" t="s">
        <v>573</v>
      </c>
      <c r="D1120" s="2" t="str">
        <f t="shared" si="16"/>
        <v>Error?</v>
      </c>
    </row>
    <row r="1121" spans="1:4" x14ac:dyDescent="0.2">
      <c r="A1121" s="5">
        <v>1060</v>
      </c>
      <c r="B1121" s="138">
        <f>'Expenditures 15-22'!K50</f>
        <v>156073</v>
      </c>
      <c r="C1121" s="2" t="s">
        <v>573</v>
      </c>
      <c r="D1121" s="2" t="str">
        <f t="shared" si="16"/>
        <v>Error?</v>
      </c>
    </row>
    <row r="1122" spans="1:4" x14ac:dyDescent="0.2">
      <c r="A1122" s="5">
        <v>1061</v>
      </c>
      <c r="B1122" s="138">
        <f>'Expenditures 15-22'!K53</f>
        <v>369973</v>
      </c>
      <c r="C1122" s="2" t="s">
        <v>573</v>
      </c>
      <c r="D1122" s="2" t="str">
        <f t="shared" si="16"/>
        <v>Error?</v>
      </c>
    </row>
    <row r="1123" spans="1:4" x14ac:dyDescent="0.2">
      <c r="A1123" s="5">
        <v>1062</v>
      </c>
      <c r="B1123" s="138">
        <f>'Expenditures 15-22'!K55</f>
        <v>359633</v>
      </c>
      <c r="C1123" s="2" t="s">
        <v>573</v>
      </c>
      <c r="D1123" s="2" t="str">
        <f t="shared" si="16"/>
        <v>Error?</v>
      </c>
    </row>
    <row r="1124" spans="1:4" x14ac:dyDescent="0.2">
      <c r="A1124" s="5">
        <v>1063</v>
      </c>
      <c r="B1124" s="138">
        <f>'Expenditures 15-22'!K56</f>
        <v>162461</v>
      </c>
      <c r="C1124" s="2" t="s">
        <v>573</v>
      </c>
      <c r="D1124" s="2" t="str">
        <f t="shared" si="16"/>
        <v>Error?</v>
      </c>
    </row>
    <row r="1125" spans="1:4" x14ac:dyDescent="0.2">
      <c r="A1125" s="5">
        <v>1064</v>
      </c>
      <c r="B1125" s="138">
        <f>'Expenditures 15-22'!K57</f>
        <v>522094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690958</v>
      </c>
      <c r="C1127" s="2" t="s">
        <v>573</v>
      </c>
      <c r="D1127" s="2" t="str">
        <f t="shared" si="16"/>
        <v>Error?</v>
      </c>
    </row>
    <row r="1128" spans="1:4" x14ac:dyDescent="0.2">
      <c r="A1128" s="5">
        <v>1067</v>
      </c>
      <c r="B1128" s="138">
        <f>'Expenditures 15-22'!K61</f>
        <v>273200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403893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1368051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66256</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66256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3293262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867642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9548153</v>
      </c>
      <c r="C1152" s="2" t="s">
        <v>573</v>
      </c>
      <c r="D1152" s="2" t="str">
        <f t="shared" si="17"/>
        <v>Error?</v>
      </c>
    </row>
    <row r="1153" spans="1:4" x14ac:dyDescent="0.2">
      <c r="A1153" s="5">
        <v>1092</v>
      </c>
      <c r="B1153" s="138">
        <f>'Expenditures 15-22'!K115</f>
        <v>1441738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224955</v>
      </c>
      <c r="D1221" s="2" t="str">
        <f t="shared" si="18"/>
        <v>Error?</v>
      </c>
    </row>
    <row r="1222" spans="1:4" x14ac:dyDescent="0.2">
      <c r="A1222" s="10">
        <v>1161</v>
      </c>
      <c r="D1222" s="2" t="str">
        <f t="shared" si="18"/>
        <v>OK</v>
      </c>
    </row>
    <row r="1223" spans="1:4" x14ac:dyDescent="0.2">
      <c r="A1223" s="5">
        <v>1162</v>
      </c>
      <c r="B1223" s="138">
        <f>'Expenditures 15-22'!C127</f>
        <v>224955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224955</v>
      </c>
      <c r="C1225" s="2" t="s">
        <v>573</v>
      </c>
      <c r="D1225" s="2" t="str">
        <f t="shared" si="18"/>
        <v>Error?</v>
      </c>
    </row>
    <row r="1226" spans="1:4" x14ac:dyDescent="0.2">
      <c r="A1226" s="5">
        <v>1165</v>
      </c>
      <c r="B1226" s="138">
        <f>'Expenditures 15-22'!C151</f>
        <v>224955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174170</v>
      </c>
      <c r="D1237" s="2" t="str">
        <f t="shared" si="18"/>
        <v>Error?</v>
      </c>
    </row>
    <row r="1238" spans="1:4" x14ac:dyDescent="0.2">
      <c r="A1238" s="10">
        <v>1177</v>
      </c>
      <c r="D1238" s="2" t="str">
        <f t="shared" si="18"/>
        <v>OK</v>
      </c>
    </row>
    <row r="1239" spans="1:4" x14ac:dyDescent="0.2">
      <c r="A1239" s="5">
        <v>1178</v>
      </c>
      <c r="B1239" s="138">
        <f>'Expenditures 15-22'!E127</f>
        <v>174170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174170</v>
      </c>
      <c r="C1241" s="2" t="s">
        <v>573</v>
      </c>
      <c r="D1241" s="2" t="str">
        <f t="shared" si="18"/>
        <v>Error?</v>
      </c>
    </row>
    <row r="1242" spans="1:4" x14ac:dyDescent="0.2">
      <c r="A1242" s="5">
        <v>1181</v>
      </c>
      <c r="B1242" s="138">
        <f>'Expenditures 15-22'!E151</f>
        <v>174170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110861</v>
      </c>
      <c r="D1245" s="2" t="str">
        <f t="shared" si="18"/>
        <v>Error?</v>
      </c>
    </row>
    <row r="1246" spans="1:4" x14ac:dyDescent="0.2">
      <c r="A1246" s="10">
        <v>1185</v>
      </c>
      <c r="D1246" s="2" t="str">
        <f t="shared" si="18"/>
        <v>OK</v>
      </c>
    </row>
    <row r="1247" spans="1:4" x14ac:dyDescent="0.2">
      <c r="A1247" s="5">
        <v>1186</v>
      </c>
      <c r="B1247" s="138">
        <f>'Expenditures 15-22'!F127</f>
        <v>110861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110861</v>
      </c>
      <c r="C1249" s="2" t="s">
        <v>573</v>
      </c>
      <c r="D1249" s="2" t="str">
        <f t="shared" si="18"/>
        <v>Error?</v>
      </c>
    </row>
    <row r="1250" spans="1:4" x14ac:dyDescent="0.2">
      <c r="A1250" s="5">
        <v>1189</v>
      </c>
      <c r="B1250" s="138">
        <f>'Expenditures 15-22'!F151</f>
        <v>110861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29937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29937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29937</v>
      </c>
      <c r="C1258" s="2" t="s">
        <v>573</v>
      </c>
      <c r="D1258" s="2" t="str">
        <f t="shared" si="18"/>
        <v>Error?</v>
      </c>
    </row>
    <row r="1259" spans="1:4" x14ac:dyDescent="0.2">
      <c r="A1259" s="5">
        <v>1198</v>
      </c>
      <c r="B1259" s="138">
        <f>'Expenditures 15-22'!G151</f>
        <v>29937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558</v>
      </c>
      <c r="D1262" s="2" t="str">
        <f t="shared" si="18"/>
        <v>Error?</v>
      </c>
    </row>
    <row r="1263" spans="1:4" x14ac:dyDescent="0.2">
      <c r="A1263" s="10">
        <v>1202</v>
      </c>
      <c r="D1263" s="2" t="str">
        <f t="shared" si="18"/>
        <v>OK</v>
      </c>
    </row>
    <row r="1264" spans="1:4" x14ac:dyDescent="0.2">
      <c r="A1264" s="5">
        <v>1203</v>
      </c>
      <c r="B1264" s="138">
        <f>'Expenditures 15-22'!H127</f>
        <v>558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558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540481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540481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540481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540481</v>
      </c>
      <c r="C1288" s="2" t="s">
        <v>573</v>
      </c>
      <c r="D1288" s="2" t="str">
        <f t="shared" si="19"/>
        <v>Error?</v>
      </c>
    </row>
    <row r="1289" spans="1:4" x14ac:dyDescent="0.2">
      <c r="A1289" s="5">
        <v>1228</v>
      </c>
      <c r="B1289" s="138">
        <f>'Expenditures 15-22'!K152</f>
        <v>315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1545</v>
      </c>
      <c r="D1307" s="2" t="str">
        <f t="shared" si="19"/>
        <v>Error?</v>
      </c>
    </row>
    <row r="1308" spans="1:4" x14ac:dyDescent="0.2">
      <c r="A1308" s="5">
        <v>1247</v>
      </c>
      <c r="B1308" s="138">
        <f>'Expenditures 15-22'!E172</f>
        <v>1545</v>
      </c>
      <c r="C1308" s="2" t="s">
        <v>573</v>
      </c>
      <c r="D1308" s="2" t="str">
        <f t="shared" si="19"/>
        <v>Error?</v>
      </c>
    </row>
    <row r="1309" spans="1:4" x14ac:dyDescent="0.2">
      <c r="A1309" s="5">
        <v>1248</v>
      </c>
      <c r="B1309" s="138">
        <f>'Expenditures 15-22'!E174</f>
        <v>1545</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465294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833748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1299042</v>
      </c>
      <c r="C1317" s="2" t="s">
        <v>573</v>
      </c>
      <c r="D1317" s="2" t="str">
        <f t="shared" si="19"/>
        <v>Error?</v>
      </c>
    </row>
    <row r="1318" spans="1:4" x14ac:dyDescent="0.2">
      <c r="A1318" s="5">
        <v>1257</v>
      </c>
      <c r="B1318" s="138">
        <f>'Expenditures 15-22'!H174</f>
        <v>1299042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465294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833748</v>
      </c>
      <c r="C1329" s="2" t="s">
        <v>573</v>
      </c>
      <c r="D1329" s="2" t="str">
        <f t="shared" si="19"/>
        <v>Error?</v>
      </c>
    </row>
    <row r="1330" spans="1:4" x14ac:dyDescent="0.2">
      <c r="A1330" s="5">
        <v>1269</v>
      </c>
      <c r="B1330" s="138">
        <f>'Expenditures 15-22'!K171</f>
        <v>1545</v>
      </c>
      <c r="C1330" s="2" t="s">
        <v>573</v>
      </c>
      <c r="D1330" s="2" t="str">
        <f t="shared" si="19"/>
        <v>Error?</v>
      </c>
    </row>
    <row r="1331" spans="1:4" x14ac:dyDescent="0.2">
      <c r="A1331" s="5">
        <v>1270</v>
      </c>
      <c r="B1331" s="138">
        <f>'Expenditures 15-22'!K172</f>
        <v>1300587</v>
      </c>
      <c r="C1331" s="2" t="s">
        <v>573</v>
      </c>
      <c r="D1331" s="2" t="str">
        <f t="shared" si="19"/>
        <v>Error?</v>
      </c>
    </row>
    <row r="1332" spans="1:4" x14ac:dyDescent="0.2">
      <c r="A1332" s="5">
        <v>1271</v>
      </c>
      <c r="B1332" s="138">
        <f>'Expenditures 15-22'!K174</f>
        <v>1300587</v>
      </c>
      <c r="C1332" s="2" t="s">
        <v>573</v>
      </c>
      <c r="D1332" s="2" t="str">
        <f t="shared" si="19"/>
        <v>Error?</v>
      </c>
    </row>
    <row r="1333" spans="1:4" x14ac:dyDescent="0.2">
      <c r="A1333" s="5">
        <v>1272</v>
      </c>
      <c r="B1333" s="138">
        <f>'Expenditures 15-22'!K175</f>
        <v>-27120</v>
      </c>
      <c r="C1333" s="2" t="s">
        <v>573</v>
      </c>
      <c r="D1333" s="2" t="str">
        <f t="shared" si="19"/>
        <v>Error?</v>
      </c>
    </row>
    <row r="1334" spans="1:4" x14ac:dyDescent="0.2">
      <c r="A1334" s="10">
        <v>1273</v>
      </c>
      <c r="D1334" s="2" t="str">
        <f t="shared" si="19"/>
        <v>OK</v>
      </c>
    </row>
    <row r="1335" spans="1:4" x14ac:dyDescent="0.2">
      <c r="A1335" s="5">
        <v>1274</v>
      </c>
      <c r="B1335" s="138">
        <f>'Expenditures 15-22'!C182</f>
        <v>11357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11357</v>
      </c>
      <c r="C1339" s="2" t="s">
        <v>573</v>
      </c>
      <c r="D1339" s="2" t="str">
        <f t="shared" si="19"/>
        <v>Error?</v>
      </c>
    </row>
    <row r="1340" spans="1:4" x14ac:dyDescent="0.2">
      <c r="A1340" s="5">
        <v>1279</v>
      </c>
      <c r="B1340" s="138">
        <f>'Expenditures 15-22'!C210</f>
        <v>11357</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889179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889179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889179</v>
      </c>
      <c r="C1353" s="2" t="s">
        <v>573</v>
      </c>
      <c r="D1353" s="2" t="str">
        <f t="shared" si="20"/>
        <v>Error?</v>
      </c>
    </row>
    <row r="1354" spans="1:4" x14ac:dyDescent="0.2">
      <c r="A1354" s="5">
        <v>1293</v>
      </c>
      <c r="B1354" s="138">
        <f>'Expenditures 15-22'!F182</f>
        <v>76093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76093</v>
      </c>
      <c r="C1358" s="2" t="s">
        <v>573</v>
      </c>
      <c r="D1358" s="2" t="str">
        <f t="shared" si="20"/>
        <v>Error?</v>
      </c>
    </row>
    <row r="1359" spans="1:4" x14ac:dyDescent="0.2">
      <c r="A1359" s="5">
        <v>1298</v>
      </c>
      <c r="B1359" s="138">
        <f>'Expenditures 15-22'!F210</f>
        <v>76093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976629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976629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976629</v>
      </c>
      <c r="C1388" s="2" t="s">
        <v>573</v>
      </c>
      <c r="D1388" s="2" t="str">
        <f t="shared" si="20"/>
        <v>Error?</v>
      </c>
    </row>
    <row r="1389" spans="1:4" x14ac:dyDescent="0.2">
      <c r="A1389" s="5">
        <v>1328</v>
      </c>
      <c r="B1389" s="138">
        <f>'Expenditures 15-22'!K211</f>
        <v>-118868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2167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2743</v>
      </c>
      <c r="D1407" s="2" t="str">
        <f t="shared" ref="D1407:D1470" si="21">IF(ISBLANK(B1407),"OK",IF(A1407-B1407=0,"OK","Error?"))</f>
        <v>Error?</v>
      </c>
    </row>
    <row r="1408" spans="1:4" x14ac:dyDescent="0.2">
      <c r="A1408" s="5">
        <v>1347</v>
      </c>
      <c r="B1408" s="138">
        <f>'Expenditures 15-22'!D223</f>
        <v>3660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128981</v>
      </c>
      <c r="C1410" s="2" t="s">
        <v>573</v>
      </c>
      <c r="D1410" s="2" t="str">
        <f t="shared" si="21"/>
        <v>Error?</v>
      </c>
    </row>
    <row r="1411" spans="1:4" x14ac:dyDescent="0.2">
      <c r="A1411" s="5">
        <v>1350</v>
      </c>
      <c r="B1411" s="138">
        <f>'Expenditures 15-22'!D232</f>
        <v>1746</v>
      </c>
      <c r="D1411" s="2" t="str">
        <f t="shared" si="21"/>
        <v>Error?</v>
      </c>
    </row>
    <row r="1412" spans="1:4" x14ac:dyDescent="0.2">
      <c r="A1412" s="5">
        <v>1351</v>
      </c>
      <c r="B1412" s="138">
        <f>'Expenditures 15-22'!D233</f>
        <v>1122</v>
      </c>
      <c r="D1412" s="2" t="str">
        <f t="shared" si="21"/>
        <v>Error?</v>
      </c>
    </row>
    <row r="1413" spans="1:4" x14ac:dyDescent="0.2">
      <c r="A1413" s="5">
        <v>1352</v>
      </c>
      <c r="B1413" s="138">
        <f>'Expenditures 15-22'!D234</f>
        <v>19198</v>
      </c>
      <c r="D1413" s="2" t="str">
        <f t="shared" si="21"/>
        <v>Error?</v>
      </c>
    </row>
    <row r="1414" spans="1:4" x14ac:dyDescent="0.2">
      <c r="A1414" s="5">
        <v>1353</v>
      </c>
      <c r="B1414" s="138">
        <f>'Expenditures 15-22'!D235</f>
        <v>749</v>
      </c>
      <c r="D1414" s="2" t="str">
        <f t="shared" si="21"/>
        <v>Error?</v>
      </c>
    </row>
    <row r="1415" spans="1:4" x14ac:dyDescent="0.2">
      <c r="A1415" s="5">
        <v>1354</v>
      </c>
      <c r="B1415" s="138">
        <f>'Expenditures 15-22'!D236</f>
        <v>5081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27896</v>
      </c>
      <c r="C1417" s="2" t="s">
        <v>573</v>
      </c>
      <c r="D1417" s="2" t="str">
        <f t="shared" si="21"/>
        <v>Error?</v>
      </c>
    </row>
    <row r="1418" spans="1:4" x14ac:dyDescent="0.2">
      <c r="A1418" s="5">
        <v>1357</v>
      </c>
      <c r="B1418" s="138">
        <f>'Expenditures 15-22'!D240</f>
        <v>1454</v>
      </c>
      <c r="D1418" s="2" t="str">
        <f t="shared" si="21"/>
        <v>Error?</v>
      </c>
    </row>
    <row r="1419" spans="1:4" x14ac:dyDescent="0.2">
      <c r="A1419" s="5">
        <v>1358</v>
      </c>
      <c r="B1419" s="138">
        <f>'Expenditures 15-22'!D241</f>
        <v>11340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12794</v>
      </c>
      <c r="C1421" s="2" t="s">
        <v>573</v>
      </c>
      <c r="D1421" s="2" t="str">
        <f t="shared" si="21"/>
        <v>Error?</v>
      </c>
    </row>
    <row r="1422" spans="1:4" x14ac:dyDescent="0.2">
      <c r="A1422" s="5">
        <v>1361</v>
      </c>
      <c r="B1422" s="138">
        <f>'Expenditures 15-22'!D245</f>
        <v>428</v>
      </c>
      <c r="D1422" s="2" t="str">
        <f t="shared" si="21"/>
        <v>Error?</v>
      </c>
    </row>
    <row r="1423" spans="1:4" x14ac:dyDescent="0.2">
      <c r="A1423" s="5">
        <v>1362</v>
      </c>
      <c r="B1423" s="138">
        <f>'Expenditures 15-22'!D246</f>
        <v>7053</v>
      </c>
      <c r="D1423" s="2" t="str">
        <f t="shared" si="21"/>
        <v>Error?</v>
      </c>
    </row>
    <row r="1424" spans="1:4" x14ac:dyDescent="0.2">
      <c r="A1424" s="5">
        <v>1363</v>
      </c>
      <c r="B1424" s="138">
        <f>'Expenditures 15-22'!D257</f>
        <v>7481</v>
      </c>
      <c r="C1424" s="2" t="s">
        <v>573</v>
      </c>
      <c r="D1424" s="2" t="str">
        <f t="shared" si="21"/>
        <v>Error?</v>
      </c>
    </row>
    <row r="1425" spans="1:4" x14ac:dyDescent="0.2">
      <c r="A1425" s="5">
        <v>1364</v>
      </c>
      <c r="B1425" s="138">
        <f>'Expenditures 15-22'!D259</f>
        <v>17697</v>
      </c>
      <c r="D1425" s="2" t="str">
        <f t="shared" si="21"/>
        <v>Error?</v>
      </c>
    </row>
    <row r="1426" spans="1:4" x14ac:dyDescent="0.2">
      <c r="A1426" s="5">
        <v>1365</v>
      </c>
      <c r="B1426" s="138">
        <f>'Expenditures 15-22'!D260</f>
        <v>2454</v>
      </c>
      <c r="D1426" s="2" t="str">
        <f t="shared" si="21"/>
        <v>Error?</v>
      </c>
    </row>
    <row r="1427" spans="1:4" x14ac:dyDescent="0.2">
      <c r="A1427" s="5">
        <v>1366</v>
      </c>
      <c r="B1427" s="138">
        <f>'Expenditures 15-22'!D261</f>
        <v>20151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13942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42376</v>
      </c>
      <c r="D1431" s="2" t="str">
        <f t="shared" si="21"/>
        <v>Error?</v>
      </c>
    </row>
    <row r="1432" spans="1:4" x14ac:dyDescent="0.2">
      <c r="A1432" s="5">
        <v>1371</v>
      </c>
      <c r="B1432" s="138">
        <f>'Expenditures 15-22'!D267</f>
        <v>300</v>
      </c>
      <c r="D1432" s="2" t="str">
        <f t="shared" si="21"/>
        <v>Error?</v>
      </c>
    </row>
    <row r="1433" spans="1:4" x14ac:dyDescent="0.2">
      <c r="A1433" s="5">
        <v>1372</v>
      </c>
      <c r="B1433" s="138">
        <f>'Expenditures 15-22'!D268</f>
        <v>24661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81279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149601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278582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2167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2743</v>
      </c>
      <c r="C1471" s="2" t="s">
        <v>573</v>
      </c>
      <c r="D1471" s="2" t="str">
        <f t="shared" ref="D1471:D1534" si="22">IF(ISBLANK(B1471),"OK",IF(A1471-B1471=0,"OK","Error?"))</f>
        <v>Error?</v>
      </c>
    </row>
    <row r="1472" spans="1:4" x14ac:dyDescent="0.2">
      <c r="A1472" s="5">
        <v>1411</v>
      </c>
      <c r="B1472" s="138">
        <f>'Expenditures 15-22'!K223</f>
        <v>3660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128981</v>
      </c>
      <c r="C1474" s="2" t="s">
        <v>573</v>
      </c>
      <c r="D1474" s="2" t="str">
        <f t="shared" si="22"/>
        <v>Error?</v>
      </c>
    </row>
    <row r="1475" spans="1:4" x14ac:dyDescent="0.2">
      <c r="A1475" s="5">
        <v>1414</v>
      </c>
      <c r="B1475" s="138">
        <f>'Expenditures 15-22'!K232</f>
        <v>1746</v>
      </c>
      <c r="C1475" s="2" t="s">
        <v>573</v>
      </c>
      <c r="D1475" s="2" t="str">
        <f t="shared" si="22"/>
        <v>Error?</v>
      </c>
    </row>
    <row r="1476" spans="1:4" x14ac:dyDescent="0.2">
      <c r="A1476" s="5">
        <v>1415</v>
      </c>
      <c r="B1476" s="138">
        <f>'Expenditures 15-22'!K233</f>
        <v>1122</v>
      </c>
      <c r="C1476" s="2" t="s">
        <v>573</v>
      </c>
      <c r="D1476" s="2" t="str">
        <f t="shared" si="22"/>
        <v>Error?</v>
      </c>
    </row>
    <row r="1477" spans="1:4" x14ac:dyDescent="0.2">
      <c r="A1477" s="5">
        <v>1416</v>
      </c>
      <c r="B1477" s="138">
        <f>'Expenditures 15-22'!K234</f>
        <v>19198</v>
      </c>
      <c r="C1477" s="2" t="s">
        <v>573</v>
      </c>
      <c r="D1477" s="2" t="str">
        <f t="shared" si="22"/>
        <v>Error?</v>
      </c>
    </row>
    <row r="1478" spans="1:4" x14ac:dyDescent="0.2">
      <c r="A1478" s="5">
        <v>1417</v>
      </c>
      <c r="B1478" s="138">
        <f>'Expenditures 15-22'!K235</f>
        <v>749</v>
      </c>
      <c r="C1478" s="2" t="s">
        <v>573</v>
      </c>
      <c r="D1478" s="2" t="str">
        <f t="shared" si="22"/>
        <v>Error?</v>
      </c>
    </row>
    <row r="1479" spans="1:4" x14ac:dyDescent="0.2">
      <c r="A1479" s="5">
        <v>1418</v>
      </c>
      <c r="B1479" s="138">
        <f>'Expenditures 15-22'!K236</f>
        <v>5081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27896</v>
      </c>
      <c r="C1481" s="2" t="s">
        <v>573</v>
      </c>
      <c r="D1481" s="2" t="str">
        <f t="shared" si="22"/>
        <v>Error?</v>
      </c>
    </row>
    <row r="1482" spans="1:4" x14ac:dyDescent="0.2">
      <c r="A1482" s="5">
        <v>1421</v>
      </c>
      <c r="B1482" s="138">
        <f>'Expenditures 15-22'!K240</f>
        <v>1454</v>
      </c>
      <c r="C1482" s="2" t="s">
        <v>573</v>
      </c>
      <c r="D1482" s="2" t="str">
        <f t="shared" si="22"/>
        <v>Error?</v>
      </c>
    </row>
    <row r="1483" spans="1:4" x14ac:dyDescent="0.2">
      <c r="A1483" s="5">
        <v>1422</v>
      </c>
      <c r="B1483" s="138">
        <f>'Expenditures 15-22'!K241</f>
        <v>11340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12794</v>
      </c>
      <c r="C1485" s="2" t="s">
        <v>573</v>
      </c>
      <c r="D1485" s="2" t="str">
        <f t="shared" si="22"/>
        <v>Error?</v>
      </c>
    </row>
    <row r="1486" spans="1:4" x14ac:dyDescent="0.2">
      <c r="A1486" s="5">
        <v>1425</v>
      </c>
      <c r="B1486" s="138">
        <f>'Expenditures 15-22'!K245</f>
        <v>428</v>
      </c>
      <c r="C1486" s="2" t="s">
        <v>573</v>
      </c>
      <c r="D1486" s="2" t="str">
        <f t="shared" si="22"/>
        <v>Error?</v>
      </c>
    </row>
    <row r="1487" spans="1:4" x14ac:dyDescent="0.2">
      <c r="A1487" s="5">
        <v>1426</v>
      </c>
      <c r="B1487" s="138">
        <f>'Expenditures 15-22'!K246</f>
        <v>7053</v>
      </c>
      <c r="C1487" s="2" t="s">
        <v>573</v>
      </c>
      <c r="D1487" s="2" t="str">
        <f t="shared" si="22"/>
        <v>Error?</v>
      </c>
    </row>
    <row r="1488" spans="1:4" x14ac:dyDescent="0.2">
      <c r="A1488" s="5">
        <v>1427</v>
      </c>
      <c r="B1488" s="138">
        <f>'Expenditures 15-22'!K257</f>
        <v>7481</v>
      </c>
      <c r="C1488" s="2" t="s">
        <v>573</v>
      </c>
      <c r="D1488" s="2" t="str">
        <f t="shared" si="22"/>
        <v>Error?</v>
      </c>
    </row>
    <row r="1489" spans="1:4" x14ac:dyDescent="0.2">
      <c r="A1489" s="5">
        <v>1428</v>
      </c>
      <c r="B1489" s="138">
        <f>'Expenditures 15-22'!K259</f>
        <v>17697</v>
      </c>
      <c r="C1489" s="2" t="s">
        <v>573</v>
      </c>
      <c r="D1489" s="2" t="str">
        <f t="shared" si="22"/>
        <v>Error?</v>
      </c>
    </row>
    <row r="1490" spans="1:4" x14ac:dyDescent="0.2">
      <c r="A1490" s="5">
        <v>1429</v>
      </c>
      <c r="B1490" s="138">
        <f>'Expenditures 15-22'!K260</f>
        <v>2454</v>
      </c>
      <c r="C1490" s="2" t="s">
        <v>573</v>
      </c>
      <c r="D1490" s="2" t="str">
        <f t="shared" si="22"/>
        <v>Error?</v>
      </c>
    </row>
    <row r="1491" spans="1:4" x14ac:dyDescent="0.2">
      <c r="A1491" s="5">
        <v>1430</v>
      </c>
      <c r="B1491" s="138">
        <f>'Expenditures 15-22'!K261</f>
        <v>20151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13942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42376</v>
      </c>
      <c r="C1495" s="2" t="s">
        <v>573</v>
      </c>
      <c r="D1495" s="2" t="str">
        <f t="shared" si="22"/>
        <v>Error?</v>
      </c>
    </row>
    <row r="1496" spans="1:4" x14ac:dyDescent="0.2">
      <c r="A1496" s="5">
        <v>1435</v>
      </c>
      <c r="B1496" s="138">
        <f>'Expenditures 15-22'!K267</f>
        <v>300</v>
      </c>
      <c r="C1496" s="2" t="s">
        <v>573</v>
      </c>
      <c r="D1496" s="2" t="str">
        <f t="shared" si="22"/>
        <v>Error?</v>
      </c>
    </row>
    <row r="1497" spans="1:4" x14ac:dyDescent="0.2">
      <c r="A1497" s="5">
        <v>1436</v>
      </c>
      <c r="B1497" s="138">
        <f>'Expenditures 15-22'!K268</f>
        <v>24661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81279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149601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278582</v>
      </c>
      <c r="C1517" s="2" t="s">
        <v>573</v>
      </c>
      <c r="D1517" s="2" t="str">
        <f t="shared" si="22"/>
        <v>Error?</v>
      </c>
    </row>
    <row r="1518" spans="1:4" x14ac:dyDescent="0.2">
      <c r="A1518" s="5">
        <v>1457</v>
      </c>
      <c r="B1518" s="138">
        <f>'Expenditures 15-22'!K296</f>
        <v>38476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1625301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3043052</v>
      </c>
      <c r="C1630" s="2" t="s">
        <v>573</v>
      </c>
      <c r="D1630" s="2" t="str">
        <f t="shared" si="24"/>
        <v>Error?</v>
      </c>
    </row>
    <row r="1631" spans="1:4" x14ac:dyDescent="0.2">
      <c r="A1631" s="5">
        <v>1570</v>
      </c>
      <c r="B1631" s="138">
        <f>'Acct Summary 7-8'!D79</f>
        <v>392336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392651</v>
      </c>
      <c r="C1644" s="2" t="s">
        <v>573</v>
      </c>
      <c r="D1644" s="2" t="str">
        <f t="shared" si="24"/>
        <v>Error?</v>
      </c>
    </row>
    <row r="1645" spans="1:4" x14ac:dyDescent="0.2">
      <c r="A1645" s="5">
        <v>1584</v>
      </c>
      <c r="B1645" s="138">
        <f>'Acct Summary 7-8'!E79</f>
        <v>4474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1341</v>
      </c>
      <c r="C1658" s="2" t="s">
        <v>573</v>
      </c>
      <c r="D1658" s="2" t="str">
        <f t="shared" si="24"/>
        <v>Error?</v>
      </c>
    </row>
    <row r="1659" spans="1:4" x14ac:dyDescent="0.2">
      <c r="A1659" s="5">
        <v>1598</v>
      </c>
      <c r="B1659" s="138">
        <f>'Acct Summary 7-8'!F79</f>
        <v>170915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52047</v>
      </c>
      <c r="C1672" s="2" t="s">
        <v>573</v>
      </c>
      <c r="D1672" s="2" t="str">
        <f t="shared" si="25"/>
        <v>Error?</v>
      </c>
    </row>
    <row r="1673" spans="1:4" x14ac:dyDescent="0.2">
      <c r="A1673" s="5">
        <v>1612</v>
      </c>
      <c r="B1673" s="138">
        <f>'Acct Summary 7-8'!G79</f>
        <v>7485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45961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3254527</v>
      </c>
      <c r="C1744" s="2" t="s">
        <v>573</v>
      </c>
      <c r="D1744" s="2" t="str">
        <f t="shared" si="26"/>
        <v>Error?</v>
      </c>
    </row>
    <row r="1745" spans="1:5" x14ac:dyDescent="0.2">
      <c r="A1745" s="5">
        <v>1684</v>
      </c>
      <c r="B1745" s="138">
        <f>'Tax Sched 23'!B5</f>
        <v>527367</v>
      </c>
      <c r="C1745" s="2" t="s">
        <v>573</v>
      </c>
      <c r="D1745" s="2" t="str">
        <f t="shared" si="26"/>
        <v>Error?</v>
      </c>
    </row>
    <row r="1746" spans="1:5" x14ac:dyDescent="0.2">
      <c r="A1746" s="5">
        <v>1685</v>
      </c>
      <c r="B1746" s="138">
        <f>'Tax Sched 23'!B6</f>
        <v>1261857</v>
      </c>
      <c r="C1746" s="2" t="s">
        <v>573</v>
      </c>
      <c r="D1746" s="2" t="str">
        <f t="shared" si="26"/>
        <v>Error?</v>
      </c>
    </row>
    <row r="1747" spans="1:5" x14ac:dyDescent="0.2">
      <c r="A1747" s="5">
        <v>1686</v>
      </c>
      <c r="B1747" s="138">
        <f>'Tax Sched 23'!B7</f>
        <v>334618</v>
      </c>
      <c r="C1747" s="2" t="s">
        <v>573</v>
      </c>
      <c r="D1747" s="2" t="str">
        <f t="shared" si="26"/>
        <v>Error?</v>
      </c>
    </row>
    <row r="1748" spans="1:5" x14ac:dyDescent="0.2">
      <c r="A1748" s="5">
        <v>1687</v>
      </c>
      <c r="B1748" s="138">
        <f>'Tax Sched 23'!B8</f>
        <v>113586</v>
      </c>
      <c r="C1748" s="2" t="s">
        <v>573</v>
      </c>
      <c r="D1748" s="2" t="str">
        <f t="shared" si="26"/>
        <v>Error?</v>
      </c>
    </row>
    <row r="1749" spans="1:5" x14ac:dyDescent="0.2">
      <c r="A1749" s="5">
        <v>1688</v>
      </c>
      <c r="B1749" s="138">
        <f>'Tax Sched 23'!B10</f>
        <v>49026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72906</v>
      </c>
      <c r="C1752" s="2" t="s">
        <v>573</v>
      </c>
      <c r="D1752" s="2" t="str">
        <f t="shared" si="26"/>
        <v>Error?</v>
      </c>
    </row>
    <row r="1753" spans="1:5" x14ac:dyDescent="0.2">
      <c r="A1753" s="5">
        <v>1692</v>
      </c>
      <c r="B1753" s="138">
        <f>'Tax Sched 23'!B12</f>
        <v>64678</v>
      </c>
      <c r="C1753" s="2" t="s">
        <v>573</v>
      </c>
      <c r="D1753" s="2" t="str">
        <f t="shared" si="26"/>
        <v>Error?</v>
      </c>
    </row>
    <row r="1754" spans="1:5" x14ac:dyDescent="0.2">
      <c r="A1754" s="5">
        <v>1693</v>
      </c>
      <c r="B1754" s="138">
        <f>'Tax Sched 23'!B14</f>
        <v>93653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5874327</v>
      </c>
      <c r="C1759" s="2" t="s">
        <v>573</v>
      </c>
      <c r="D1759" s="2" t="str">
        <f t="shared" si="26"/>
        <v>Error?</v>
      </c>
    </row>
    <row r="1760" spans="1:5" x14ac:dyDescent="0.2">
      <c r="A1760" s="5">
        <v>1699</v>
      </c>
      <c r="B1760" s="138">
        <f>'Tax Sched 23'!D4</f>
        <v>3254527</v>
      </c>
      <c r="C1760" s="2" t="s">
        <v>573</v>
      </c>
      <c r="D1760" s="2" t="str">
        <f t="shared" si="26"/>
        <v>Error?</v>
      </c>
    </row>
    <row r="1761" spans="1:5" x14ac:dyDescent="0.2">
      <c r="A1761" s="5">
        <v>1700</v>
      </c>
      <c r="B1761" s="138">
        <f>'Tax Sched 23'!D5</f>
        <v>527367</v>
      </c>
      <c r="C1761" s="2" t="s">
        <v>573</v>
      </c>
      <c r="D1761" s="2" t="str">
        <f t="shared" si="26"/>
        <v>Error?</v>
      </c>
    </row>
    <row r="1762" spans="1:5" s="8" customFormat="1" x14ac:dyDescent="0.2">
      <c r="A1762" s="5">
        <v>1701</v>
      </c>
      <c r="B1762" s="138">
        <f>'Tax Sched 23'!D6</f>
        <v>1261857</v>
      </c>
      <c r="C1762" s="2" t="s">
        <v>573</v>
      </c>
      <c r="D1762" s="2" t="str">
        <f t="shared" si="26"/>
        <v>Error?</v>
      </c>
      <c r="E1762" s="9"/>
    </row>
    <row r="1763" spans="1:5" x14ac:dyDescent="0.2">
      <c r="A1763" s="5">
        <v>1702</v>
      </c>
      <c r="B1763" s="138">
        <f>'Tax Sched 23'!D7</f>
        <v>334618</v>
      </c>
      <c r="C1763" s="2" t="s">
        <v>573</v>
      </c>
      <c r="D1763" s="2" t="str">
        <f t="shared" si="26"/>
        <v>Error?</v>
      </c>
    </row>
    <row r="1764" spans="1:5" x14ac:dyDescent="0.2">
      <c r="A1764" s="5">
        <v>1703</v>
      </c>
      <c r="B1764" s="138">
        <f>'Tax Sched 23'!D8</f>
        <v>113586</v>
      </c>
      <c r="C1764" s="2" t="s">
        <v>573</v>
      </c>
      <c r="D1764" s="2" t="str">
        <f t="shared" si="26"/>
        <v>Error?</v>
      </c>
    </row>
    <row r="1765" spans="1:5" x14ac:dyDescent="0.2">
      <c r="A1765" s="5">
        <v>1704</v>
      </c>
      <c r="B1765" s="138">
        <f>'Tax Sched 23'!D10</f>
        <v>49026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72906</v>
      </c>
      <c r="C1768" s="2" t="s">
        <v>573</v>
      </c>
      <c r="D1768" s="2" t="str">
        <f t="shared" si="26"/>
        <v>Error?</v>
      </c>
    </row>
    <row r="1769" spans="1:5" x14ac:dyDescent="0.2">
      <c r="A1769" s="5">
        <v>1708</v>
      </c>
      <c r="B1769" s="138">
        <f>'Tax Sched 23'!D12</f>
        <v>64678</v>
      </c>
      <c r="C1769" s="2" t="s">
        <v>573</v>
      </c>
      <c r="D1769" s="2" t="str">
        <f t="shared" si="26"/>
        <v>Error?</v>
      </c>
    </row>
    <row r="1770" spans="1:5" x14ac:dyDescent="0.2">
      <c r="A1770" s="5">
        <v>1709</v>
      </c>
      <c r="B1770" s="138">
        <f>'Tax Sched 23'!D14</f>
        <v>93653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5874327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3340956</v>
      </c>
      <c r="C1792" s="2" t="s">
        <v>573</v>
      </c>
      <c r="D1792" s="2" t="str">
        <f t="shared" si="27"/>
        <v>Error?</v>
      </c>
    </row>
    <row r="1793" spans="1:4" x14ac:dyDescent="0.2">
      <c r="A1793" s="5">
        <v>1732</v>
      </c>
      <c r="B1793" s="138">
        <f>'Tax Sched 23'!F5</f>
        <v>543277</v>
      </c>
      <c r="C1793" s="2" t="s">
        <v>573</v>
      </c>
      <c r="D1793" s="2" t="str">
        <f t="shared" si="27"/>
        <v>Error?</v>
      </c>
    </row>
    <row r="1794" spans="1:4" x14ac:dyDescent="0.2">
      <c r="A1794" s="5">
        <v>1733</v>
      </c>
      <c r="B1794" s="138">
        <f>'Tax Sched 23'!F6</f>
        <v>1269186</v>
      </c>
      <c r="C1794" s="2" t="s">
        <v>573</v>
      </c>
      <c r="D1794" s="2" t="str">
        <f t="shared" si="27"/>
        <v>Error?</v>
      </c>
    </row>
    <row r="1795" spans="1:4" x14ac:dyDescent="0.2">
      <c r="A1795" s="5">
        <v>1734</v>
      </c>
      <c r="B1795" s="138">
        <f>'Tax Sched 23'!F7</f>
        <v>448134</v>
      </c>
      <c r="C1795" s="2" t="s">
        <v>573</v>
      </c>
      <c r="D1795" s="2" t="str">
        <f t="shared" si="27"/>
        <v>Error?</v>
      </c>
    </row>
    <row r="1796" spans="1:4" x14ac:dyDescent="0.2">
      <c r="A1796" s="5">
        <v>1735</v>
      </c>
      <c r="B1796" s="138">
        <f>'Tax Sched 23'!F8</f>
        <v>133541</v>
      </c>
      <c r="C1796" s="2" t="s">
        <v>573</v>
      </c>
      <c r="D1796" s="2" t="str">
        <f t="shared" si="27"/>
        <v>Error?</v>
      </c>
    </row>
    <row r="1797" spans="1:4" x14ac:dyDescent="0.2">
      <c r="A1797" s="5">
        <v>1736</v>
      </c>
      <c r="B1797" s="138">
        <f>'Tax Sched 23'!F10</f>
        <v>59662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75216</v>
      </c>
      <c r="C1800" s="2" t="s">
        <v>573</v>
      </c>
      <c r="D1800" s="2" t="str">
        <f t="shared" si="27"/>
        <v>Error?</v>
      </c>
    </row>
    <row r="1801" spans="1:4" x14ac:dyDescent="0.2">
      <c r="A1801" s="5">
        <v>1740</v>
      </c>
      <c r="B1801" s="138">
        <f>'Tax Sched 23'!F12</f>
        <v>66710</v>
      </c>
      <c r="C1801" s="2" t="s">
        <v>573</v>
      </c>
      <c r="D1801" s="2" t="str">
        <f t="shared" si="27"/>
        <v>Error?</v>
      </c>
    </row>
    <row r="1802" spans="1:4" x14ac:dyDescent="0.2">
      <c r="A1802" s="5">
        <v>1741</v>
      </c>
      <c r="B1802" s="138">
        <f>'Tax Sched 23'!F14</f>
        <v>115922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6157833</v>
      </c>
      <c r="C1807" s="2" t="s">
        <v>573</v>
      </c>
      <c r="D1807" s="2" t="str">
        <f t="shared" si="27"/>
        <v>Error?</v>
      </c>
    </row>
    <row r="1808" spans="1:4" x14ac:dyDescent="0.2">
      <c r="A1808" s="5">
        <v>1747</v>
      </c>
      <c r="B1808" s="138">
        <f>'Tax Sched 23'!E4</f>
        <v>3340956</v>
      </c>
      <c r="D1808" s="2" t="str">
        <f t="shared" si="27"/>
        <v>Error?</v>
      </c>
    </row>
    <row r="1809" spans="1:4" x14ac:dyDescent="0.2">
      <c r="A1809" s="5">
        <v>1748</v>
      </c>
      <c r="B1809" s="138">
        <f>'Tax Sched 23'!E5</f>
        <v>543277</v>
      </c>
      <c r="D1809" s="2" t="str">
        <f t="shared" si="27"/>
        <v>Error?</v>
      </c>
    </row>
    <row r="1810" spans="1:4" x14ac:dyDescent="0.2">
      <c r="A1810" s="5">
        <v>1749</v>
      </c>
      <c r="B1810" s="138">
        <f>'Tax Sched 23'!E6</f>
        <v>1269186</v>
      </c>
      <c r="D1810" s="2" t="str">
        <f t="shared" si="27"/>
        <v>Error?</v>
      </c>
    </row>
    <row r="1811" spans="1:4" x14ac:dyDescent="0.2">
      <c r="A1811" s="5">
        <v>1750</v>
      </c>
      <c r="B1811" s="138">
        <f>'Tax Sched 23'!E7</f>
        <v>448134</v>
      </c>
      <c r="D1811" s="2" t="str">
        <f t="shared" si="27"/>
        <v>Error?</v>
      </c>
    </row>
    <row r="1812" spans="1:4" x14ac:dyDescent="0.2">
      <c r="A1812" s="5">
        <v>1751</v>
      </c>
      <c r="B1812" s="138">
        <f>'Tax Sched 23'!E8</f>
        <v>133541</v>
      </c>
      <c r="D1812" s="2" t="str">
        <f t="shared" si="27"/>
        <v>Error?</v>
      </c>
    </row>
    <row r="1813" spans="1:4" x14ac:dyDescent="0.2">
      <c r="A1813" s="5">
        <v>1752</v>
      </c>
      <c r="B1813" s="138">
        <f>'Tax Sched 23'!E10</f>
        <v>59662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75216</v>
      </c>
      <c r="D1816" s="2" t="str">
        <f t="shared" si="27"/>
        <v>Error?</v>
      </c>
    </row>
    <row r="1817" spans="1:4" x14ac:dyDescent="0.2">
      <c r="A1817" s="5">
        <v>1756</v>
      </c>
      <c r="B1817" s="138">
        <f>'Tax Sched 23'!E12</f>
        <v>66710</v>
      </c>
      <c r="D1817" s="2" t="str">
        <f t="shared" si="27"/>
        <v>Error?</v>
      </c>
    </row>
    <row r="1818" spans="1:4" x14ac:dyDescent="0.2">
      <c r="A1818" s="5">
        <v>1757</v>
      </c>
      <c r="B1818" s="138">
        <f>'Tax Sched 23'!E14</f>
        <v>115922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6157833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10798748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93653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93653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93653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582055</v>
      </c>
      <c r="D2008" s="2" t="str">
        <f t="shared" si="30"/>
        <v>Error?</v>
      </c>
    </row>
    <row r="2009" spans="1:4" x14ac:dyDescent="0.2">
      <c r="A2009" s="5">
        <v>1948</v>
      </c>
      <c r="B2009" s="138">
        <f>'Cap Outlay Deprec 26'!C8</f>
        <v>16527473</v>
      </c>
      <c r="D2009" s="2" t="str">
        <f t="shared" si="30"/>
        <v>Error?</v>
      </c>
    </row>
    <row r="2010" spans="1:4" x14ac:dyDescent="0.2">
      <c r="A2010" s="5">
        <v>1949</v>
      </c>
      <c r="B2010" s="138">
        <f>'Cap Outlay Deprec 26'!C10</f>
        <v>4418387</v>
      </c>
      <c r="D2010" s="2" t="str">
        <f t="shared" si="30"/>
        <v>Error?</v>
      </c>
    </row>
    <row r="2011" spans="1:4" x14ac:dyDescent="0.2">
      <c r="A2011" s="5">
        <v>1950</v>
      </c>
      <c r="B2011" s="138">
        <f>'Cap Outlay Deprec 26'!C12</f>
        <v>5010584</v>
      </c>
      <c r="D2011" s="2" t="str">
        <f t="shared" si="30"/>
        <v>Error?</v>
      </c>
    </row>
    <row r="2012" spans="1:4" x14ac:dyDescent="0.2">
      <c r="A2012" s="5">
        <v>1951</v>
      </c>
      <c r="B2012" s="138">
        <f>'Cap Outlay Deprec 26'!C13</f>
        <v>192968</v>
      </c>
      <c r="D2012" s="2" t="str">
        <f t="shared" si="30"/>
        <v>Error?</v>
      </c>
    </row>
    <row r="2013" spans="1:4" x14ac:dyDescent="0.2">
      <c r="A2013" s="5">
        <v>1952</v>
      </c>
      <c r="B2013" s="138">
        <f>'Cap Outlay Deprec 26'!C16</f>
        <v>26752373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35110</v>
      </c>
      <c r="D2016" s="2" t="str">
        <f t="shared" si="30"/>
        <v>Error?</v>
      </c>
    </row>
    <row r="2017" spans="1:4" x14ac:dyDescent="0.2">
      <c r="A2017" s="5">
        <v>1956</v>
      </c>
      <c r="B2017" s="138">
        <f>'Cap Outlay Deprec 26'!D12</f>
        <v>188706</v>
      </c>
      <c r="D2017" s="2" t="str">
        <f t="shared" si="30"/>
        <v>Error?</v>
      </c>
    </row>
    <row r="2018" spans="1:4" x14ac:dyDescent="0.2">
      <c r="A2018" s="5">
        <v>1957</v>
      </c>
      <c r="B2018" s="138">
        <f>'Cap Outlay Deprec 26'!D13</f>
        <v>14570</v>
      </c>
      <c r="D2018" s="2" t="str">
        <f t="shared" si="30"/>
        <v>Error?</v>
      </c>
    </row>
    <row r="2019" spans="1:4" x14ac:dyDescent="0.2">
      <c r="A2019" s="5">
        <v>1958</v>
      </c>
      <c r="B2019" s="138">
        <f>'Cap Outlay Deprec 26'!D16</f>
        <v>238386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582055</v>
      </c>
      <c r="C2026" s="2" t="s">
        <v>573</v>
      </c>
      <c r="D2026" s="2" t="str">
        <f t="shared" si="30"/>
        <v>Error?</v>
      </c>
    </row>
    <row r="2027" spans="1:4" x14ac:dyDescent="0.2">
      <c r="A2027" s="5">
        <v>1966</v>
      </c>
      <c r="B2027" s="138">
        <f>'Cap Outlay Deprec 26'!F8</f>
        <v>16527473</v>
      </c>
      <c r="C2027" s="2" t="s">
        <v>573</v>
      </c>
      <c r="D2027" s="2" t="str">
        <f t="shared" si="30"/>
        <v>Error?</v>
      </c>
    </row>
    <row r="2028" spans="1:4" x14ac:dyDescent="0.2">
      <c r="A2028" s="5">
        <v>1967</v>
      </c>
      <c r="B2028" s="138">
        <f>'Cap Outlay Deprec 26'!F10</f>
        <v>4453497</v>
      </c>
      <c r="C2028" s="2" t="s">
        <v>573</v>
      </c>
      <c r="D2028" s="2" t="str">
        <f t="shared" si="30"/>
        <v>Error?</v>
      </c>
    </row>
    <row r="2029" spans="1:4" x14ac:dyDescent="0.2">
      <c r="A2029" s="5">
        <v>1968</v>
      </c>
      <c r="B2029" s="138">
        <f>'Cap Outlay Deprec 26'!F12</f>
        <v>5199290</v>
      </c>
      <c r="C2029" s="2" t="s">
        <v>573</v>
      </c>
      <c r="D2029" s="2" t="str">
        <f t="shared" si="30"/>
        <v>Error?</v>
      </c>
    </row>
    <row r="2030" spans="1:4" x14ac:dyDescent="0.2">
      <c r="A2030" s="5">
        <v>1969</v>
      </c>
      <c r="B2030" s="138">
        <f>'Cap Outlay Deprec 26'!F13</f>
        <v>207538</v>
      </c>
      <c r="C2030" s="2" t="s">
        <v>573</v>
      </c>
      <c r="D2030" s="2" t="str">
        <f t="shared" si="30"/>
        <v>Error?</v>
      </c>
    </row>
    <row r="2031" spans="1:4" x14ac:dyDescent="0.2">
      <c r="A2031" s="5">
        <v>1970</v>
      </c>
      <c r="B2031" s="138">
        <f>'Cap Outlay Deprec 26'!F16</f>
        <v>26990759</v>
      </c>
      <c r="C2031" s="2" t="s">
        <v>573</v>
      </c>
      <c r="D2031" s="2" t="str">
        <f t="shared" si="30"/>
        <v>Error?</v>
      </c>
    </row>
    <row r="2032" spans="1:4" x14ac:dyDescent="0.2">
      <c r="A2032" s="10">
        <v>1971</v>
      </c>
      <c r="D2032" s="2" t="str">
        <f t="shared" si="30"/>
        <v>OK</v>
      </c>
    </row>
    <row r="2033" spans="1:4" x14ac:dyDescent="0.2">
      <c r="A2033" s="5">
        <v>1972</v>
      </c>
      <c r="B2033" s="138">
        <f>'Cap Outlay Deprec 26'!H8</f>
        <v>6985131</v>
      </c>
      <c r="D2033" s="2" t="str">
        <f t="shared" si="30"/>
        <v>Error?</v>
      </c>
    </row>
    <row r="2034" spans="1:4" x14ac:dyDescent="0.2">
      <c r="A2034" s="5">
        <v>1973</v>
      </c>
      <c r="B2034" s="138">
        <f>'Cap Outlay Deprec 26'!H10</f>
        <v>1133987</v>
      </c>
      <c r="D2034" s="2" t="str">
        <f t="shared" si="30"/>
        <v>Error?</v>
      </c>
    </row>
    <row r="2035" spans="1:4" x14ac:dyDescent="0.2">
      <c r="A2035" s="5">
        <v>1974</v>
      </c>
      <c r="B2035" s="138">
        <f>'Cap Outlay Deprec 26'!H12</f>
        <v>4181793</v>
      </c>
      <c r="D2035" s="2" t="str">
        <f t="shared" si="30"/>
        <v>Error?</v>
      </c>
    </row>
    <row r="2036" spans="1:4" x14ac:dyDescent="0.2">
      <c r="A2036" s="5">
        <v>1975</v>
      </c>
      <c r="B2036" s="138">
        <f>'Cap Outlay Deprec 26'!H13</f>
        <v>173518</v>
      </c>
      <c r="D2036" s="2" t="str">
        <f t="shared" si="30"/>
        <v>Error?</v>
      </c>
    </row>
    <row r="2037" spans="1:4" x14ac:dyDescent="0.2">
      <c r="A2037" s="5">
        <v>1976</v>
      </c>
      <c r="B2037" s="138">
        <f>'Cap Outlay Deprec 26'!H16</f>
        <v>12493451</v>
      </c>
      <c r="C2037" s="2" t="s">
        <v>573</v>
      </c>
      <c r="D2037" s="2" t="str">
        <f t="shared" si="30"/>
        <v>Error?</v>
      </c>
    </row>
    <row r="2038" spans="1:4" x14ac:dyDescent="0.2">
      <c r="A2038" s="10">
        <v>1977</v>
      </c>
      <c r="D2038" s="2" t="str">
        <f t="shared" si="30"/>
        <v>OK</v>
      </c>
    </row>
    <row r="2039" spans="1:4" x14ac:dyDescent="0.2">
      <c r="A2039" s="5">
        <v>1978</v>
      </c>
      <c r="B2039" s="138">
        <f>'Cap Outlay Deprec 26'!I8</f>
        <v>335169</v>
      </c>
      <c r="D2039" s="2" t="str">
        <f t="shared" si="30"/>
        <v>Error?</v>
      </c>
    </row>
    <row r="2040" spans="1:4" x14ac:dyDescent="0.2">
      <c r="A2040" s="5">
        <v>1979</v>
      </c>
      <c r="B2040" s="138">
        <f>'Cap Outlay Deprec 26'!I10</f>
        <v>199373</v>
      </c>
      <c r="D2040" s="2" t="str">
        <f t="shared" si="30"/>
        <v>Error?</v>
      </c>
    </row>
    <row r="2041" spans="1:4" x14ac:dyDescent="0.2">
      <c r="A2041" s="5">
        <v>1980</v>
      </c>
      <c r="B2041" s="138">
        <f>'Cap Outlay Deprec 26'!I12</f>
        <v>153148</v>
      </c>
      <c r="D2041" s="2" t="str">
        <f t="shared" si="30"/>
        <v>Error?</v>
      </c>
    </row>
    <row r="2042" spans="1:4" x14ac:dyDescent="0.2">
      <c r="A2042" s="5">
        <v>1981</v>
      </c>
      <c r="B2042" s="138">
        <f>'Cap Outlay Deprec 26'!I13</f>
        <v>7441</v>
      </c>
      <c r="D2042" s="2" t="str">
        <f t="shared" si="30"/>
        <v>Error?</v>
      </c>
    </row>
    <row r="2043" spans="1:4" x14ac:dyDescent="0.2">
      <c r="A2043" s="5">
        <v>1982</v>
      </c>
      <c r="B2043" s="138">
        <f>'Cap Outlay Deprec 26'!I16</f>
        <v>695975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7320300</v>
      </c>
      <c r="C2051" s="2" t="s">
        <v>573</v>
      </c>
      <c r="D2051" s="2" t="str">
        <f t="shared" si="31"/>
        <v>Error?</v>
      </c>
    </row>
    <row r="2052" spans="1:4" x14ac:dyDescent="0.2">
      <c r="A2052" s="5">
        <v>1991</v>
      </c>
      <c r="B2052" s="138">
        <f>'Cap Outlay Deprec 26'!K10</f>
        <v>1333360</v>
      </c>
      <c r="C2052" s="2" t="s">
        <v>573</v>
      </c>
      <c r="D2052" s="2" t="str">
        <f t="shared" si="31"/>
        <v>Error?</v>
      </c>
    </row>
    <row r="2053" spans="1:4" x14ac:dyDescent="0.2">
      <c r="A2053" s="5">
        <v>1992</v>
      </c>
      <c r="B2053" s="138">
        <f>'Cap Outlay Deprec 26'!K12</f>
        <v>4334941</v>
      </c>
      <c r="C2053" s="2" t="s">
        <v>573</v>
      </c>
      <c r="D2053" s="2" t="str">
        <f t="shared" si="31"/>
        <v>Error?</v>
      </c>
    </row>
    <row r="2054" spans="1:4" x14ac:dyDescent="0.2">
      <c r="A2054" s="5">
        <v>1993</v>
      </c>
      <c r="B2054" s="138">
        <f>'Cap Outlay Deprec 26'!K13</f>
        <v>180959</v>
      </c>
      <c r="C2054" s="2" t="s">
        <v>573</v>
      </c>
      <c r="D2054" s="2" t="str">
        <f t="shared" si="31"/>
        <v>Error?</v>
      </c>
    </row>
    <row r="2055" spans="1:4" x14ac:dyDescent="0.2">
      <c r="A2055" s="5">
        <v>1994</v>
      </c>
      <c r="B2055" s="138">
        <f>'Cap Outlay Deprec 26'!K16</f>
        <v>13189426</v>
      </c>
      <c r="C2055" s="2" t="s">
        <v>573</v>
      </c>
      <c r="D2055" s="2" t="str">
        <f t="shared" si="31"/>
        <v>Error?</v>
      </c>
    </row>
    <row r="2056" spans="1:4" x14ac:dyDescent="0.2">
      <c r="A2056" s="5">
        <v>1995</v>
      </c>
      <c r="B2056" s="138">
        <f>'Cap Outlay Deprec 26'!L5</f>
        <v>582055</v>
      </c>
      <c r="C2056" s="2" t="s">
        <v>573</v>
      </c>
      <c r="D2056" s="2" t="str">
        <f t="shared" si="31"/>
        <v>Error?</v>
      </c>
    </row>
    <row r="2057" spans="1:4" x14ac:dyDescent="0.2">
      <c r="A2057" s="5">
        <v>1996</v>
      </c>
      <c r="B2057" s="138">
        <f>'Cap Outlay Deprec 26'!L8</f>
        <v>9207173</v>
      </c>
      <c r="C2057" s="2" t="s">
        <v>573</v>
      </c>
      <c r="D2057" s="2" t="str">
        <f t="shared" si="31"/>
        <v>Error?</v>
      </c>
    </row>
    <row r="2058" spans="1:4" x14ac:dyDescent="0.2">
      <c r="A2058" s="5">
        <v>1997</v>
      </c>
      <c r="B2058" s="138">
        <f>'Cap Outlay Deprec 26'!L10</f>
        <v>3120137</v>
      </c>
      <c r="C2058" s="2" t="s">
        <v>573</v>
      </c>
      <c r="D2058" s="2" t="str">
        <f t="shared" si="31"/>
        <v>Error?</v>
      </c>
    </row>
    <row r="2059" spans="1:4" x14ac:dyDescent="0.2">
      <c r="A2059" s="5">
        <v>1998</v>
      </c>
      <c r="B2059" s="138">
        <f>'Cap Outlay Deprec 26'!L12</f>
        <v>864349</v>
      </c>
      <c r="C2059" s="2" t="s">
        <v>573</v>
      </c>
      <c r="D2059" s="2" t="str">
        <f t="shared" si="31"/>
        <v>Error?</v>
      </c>
    </row>
    <row r="2060" spans="1:4" x14ac:dyDescent="0.2">
      <c r="A2060" s="5">
        <v>1999</v>
      </c>
      <c r="B2060" s="138">
        <f>'Cap Outlay Deprec 26'!L13</f>
        <v>26579</v>
      </c>
      <c r="C2060" s="2" t="s">
        <v>573</v>
      </c>
      <c r="D2060" s="2" t="str">
        <f t="shared" si="31"/>
        <v>Error?</v>
      </c>
    </row>
    <row r="2061" spans="1:4" x14ac:dyDescent="0.2">
      <c r="A2061" s="5">
        <v>2000</v>
      </c>
      <c r="B2061" s="138">
        <f>'Cap Outlay Deprec 26'!L16</f>
        <v>13801333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185005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187780</v>
      </c>
      <c r="C2088" s="2" t="s">
        <v>573</v>
      </c>
      <c r="D2088" s="2" t="str">
        <f t="shared" si="31"/>
        <v>Error?</v>
      </c>
    </row>
    <row r="2089" spans="1:4" x14ac:dyDescent="0.2">
      <c r="A2089" s="5">
        <v>2028</v>
      </c>
      <c r="B2089" s="138">
        <f>'Expenditures 15-22'!K92</f>
        <v>679862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48164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3850179</v>
      </c>
      <c r="C2551" s="2" t="s">
        <v>573</v>
      </c>
      <c r="D2551" s="2" t="str">
        <f t="shared" si="38"/>
        <v>Error?</v>
      </c>
    </row>
    <row r="2552" spans="1:4" x14ac:dyDescent="0.2">
      <c r="A2552" s="10">
        <v>2491</v>
      </c>
      <c r="D2552" s="2" t="str">
        <f t="shared" si="38"/>
        <v>OK</v>
      </c>
    </row>
    <row r="2553" spans="1:4" x14ac:dyDescent="0.2">
      <c r="A2553" s="5">
        <v>2492</v>
      </c>
      <c r="B2553" s="138">
        <f>'Acct Summary 7-8'!C6</f>
        <v>5830080</v>
      </c>
      <c r="C2553" s="2" t="s">
        <v>573</v>
      </c>
      <c r="D2553" s="2" t="str">
        <f t="shared" si="38"/>
        <v>Error?</v>
      </c>
    </row>
    <row r="2554" spans="1:4" x14ac:dyDescent="0.2">
      <c r="A2554" s="5">
        <v>2493</v>
      </c>
      <c r="B2554" s="138">
        <f>'Acct Summary 7-8'!C7</f>
        <v>1309632</v>
      </c>
      <c r="C2554" s="2" t="s">
        <v>573</v>
      </c>
      <c r="D2554" s="2" t="str">
        <f t="shared" si="38"/>
        <v>Error?</v>
      </c>
    </row>
    <row r="2555" spans="1:4" x14ac:dyDescent="0.2">
      <c r="A2555" s="5">
        <v>2494</v>
      </c>
      <c r="B2555" s="138">
        <f>'Acct Summary 7-8'!C8</f>
        <v>10989891</v>
      </c>
      <c r="C2555" s="2" t="s">
        <v>573</v>
      </c>
      <c r="D2555" s="2" t="str">
        <f t="shared" si="38"/>
        <v>Error?</v>
      </c>
    </row>
    <row r="2556" spans="1:4" x14ac:dyDescent="0.2">
      <c r="A2556" s="5">
        <v>2495</v>
      </c>
      <c r="B2556" s="138">
        <f>'Acct Summary 7-8'!C12</f>
        <v>5387249</v>
      </c>
      <c r="C2556" s="2" t="s">
        <v>573</v>
      </c>
      <c r="D2556" s="2" t="str">
        <f t="shared" si="38"/>
        <v>Error?</v>
      </c>
    </row>
    <row r="2557" spans="1:4" x14ac:dyDescent="0.2">
      <c r="A2557" s="5">
        <v>2496</v>
      </c>
      <c r="B2557" s="138">
        <f>'Acct Summary 7-8'!C13</f>
        <v>3293262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867642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9548153</v>
      </c>
      <c r="C2561" s="2" t="s">
        <v>573</v>
      </c>
      <c r="D2561" s="2" t="str">
        <f t="shared" si="39"/>
        <v>Error?</v>
      </c>
    </row>
    <row r="2562" spans="1:4" x14ac:dyDescent="0.2">
      <c r="A2562" s="5">
        <v>2501</v>
      </c>
      <c r="B2562" s="138">
        <f>'Acct Summary 7-8'!C20</f>
        <v>1441738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540796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540796</v>
      </c>
      <c r="C2568" s="2" t="s">
        <v>573</v>
      </c>
      <c r="D2568" s="2" t="str">
        <f t="shared" si="39"/>
        <v>Error?</v>
      </c>
    </row>
    <row r="2569" spans="1:4" x14ac:dyDescent="0.2">
      <c r="A2569" s="5">
        <v>2508</v>
      </c>
      <c r="B2569" s="138">
        <f>'Acct Summary 7-8'!D13</f>
        <v>540481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540481</v>
      </c>
      <c r="C2573" s="2" t="s">
        <v>573</v>
      </c>
      <c r="D2573" s="2" t="str">
        <f t="shared" si="39"/>
        <v>Error?</v>
      </c>
    </row>
    <row r="2574" spans="1:4" x14ac:dyDescent="0.2">
      <c r="A2574" s="5">
        <v>2513</v>
      </c>
      <c r="B2574" s="138">
        <f>'Acct Summary 7-8'!D20</f>
        <v>315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343371</v>
      </c>
      <c r="C2591" s="2" t="s">
        <v>573</v>
      </c>
      <c r="D2591" s="2" t="str">
        <f t="shared" si="39"/>
        <v>Error?</v>
      </c>
    </row>
    <row r="2592" spans="1:4" x14ac:dyDescent="0.2">
      <c r="A2592" s="10">
        <v>2531</v>
      </c>
      <c r="D2592" s="2" t="str">
        <f t="shared" si="39"/>
        <v>OK</v>
      </c>
    </row>
    <row r="2593" spans="1:4" x14ac:dyDescent="0.2">
      <c r="A2593" s="5">
        <v>2532</v>
      </c>
      <c r="B2593" s="138">
        <f>'Acct Summary 7-8'!F6</f>
        <v>504002</v>
      </c>
      <c r="C2593" s="2" t="s">
        <v>573</v>
      </c>
      <c r="D2593" s="2" t="str">
        <f t="shared" si="39"/>
        <v>Error?</v>
      </c>
    </row>
    <row r="2594" spans="1:4" x14ac:dyDescent="0.2">
      <c r="A2594" s="5">
        <v>2533</v>
      </c>
      <c r="B2594" s="138">
        <f>'Acct Summary 7-8'!F7</f>
        <v>10388</v>
      </c>
      <c r="C2594" s="2" t="s">
        <v>573</v>
      </c>
      <c r="D2594" s="2" t="str">
        <f t="shared" si="39"/>
        <v>Error?</v>
      </c>
    </row>
    <row r="2595" spans="1:4" x14ac:dyDescent="0.2">
      <c r="A2595" s="5">
        <v>2534</v>
      </c>
      <c r="B2595" s="138">
        <f>'Acct Summary 7-8'!F8</f>
        <v>857761</v>
      </c>
      <c r="C2595" s="2" t="s">
        <v>573</v>
      </c>
      <c r="D2595" s="2" t="str">
        <f t="shared" si="39"/>
        <v>Error?</v>
      </c>
    </row>
    <row r="2596" spans="1:4" x14ac:dyDescent="0.2">
      <c r="A2596" s="5">
        <v>2535</v>
      </c>
      <c r="B2596" s="138">
        <f>'Acct Summary 7-8'!F13</f>
        <v>976629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976629</v>
      </c>
      <c r="C2600" s="2" t="s">
        <v>573</v>
      </c>
      <c r="D2600" s="2" t="str">
        <f t="shared" si="39"/>
        <v>Error?</v>
      </c>
    </row>
    <row r="2601" spans="1:4" x14ac:dyDescent="0.2">
      <c r="A2601" s="5">
        <v>2540</v>
      </c>
      <c r="B2601" s="138">
        <f>'Acct Summary 7-8'!F20</f>
        <v>-118868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317058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317058</v>
      </c>
      <c r="C2606" s="2" t="s">
        <v>573</v>
      </c>
      <c r="D2606" s="2" t="str">
        <f t="shared" si="39"/>
        <v>Error?</v>
      </c>
    </row>
    <row r="2607" spans="1:4" x14ac:dyDescent="0.2">
      <c r="A2607" s="5">
        <v>2546</v>
      </c>
      <c r="B2607" s="138">
        <f>'Acct Summary 7-8'!G12</f>
        <v>128981</v>
      </c>
      <c r="C2607" s="2" t="s">
        <v>573</v>
      </c>
      <c r="D2607" s="2" t="str">
        <f t="shared" si="39"/>
        <v>Error?</v>
      </c>
    </row>
    <row r="2608" spans="1:4" x14ac:dyDescent="0.2">
      <c r="A2608" s="5">
        <v>2547</v>
      </c>
      <c r="B2608" s="138">
        <f>'Acct Summary 7-8'!G13</f>
        <v>149601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278582</v>
      </c>
      <c r="C2612" s="2" t="s">
        <v>573</v>
      </c>
      <c r="D2612" s="2" t="str">
        <f t="shared" si="39"/>
        <v>Error?</v>
      </c>
    </row>
    <row r="2613" spans="1:4" x14ac:dyDescent="0.2">
      <c r="A2613" s="5">
        <v>2552</v>
      </c>
      <c r="B2613" s="138">
        <f>'Acct Summary 7-8'!G20</f>
        <v>38476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1273467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1273467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1300587</v>
      </c>
      <c r="C2634" s="2" t="s">
        <v>573</v>
      </c>
      <c r="D2634" s="2" t="str">
        <f t="shared" si="40"/>
        <v>Error?</v>
      </c>
    </row>
    <row r="2635" spans="1:4" x14ac:dyDescent="0.2">
      <c r="A2635" s="5">
        <v>2574</v>
      </c>
      <c r="B2635" s="138">
        <f>'Acct Summary 7-8'!E17</f>
        <v>1300587</v>
      </c>
      <c r="C2635" s="2" t="s">
        <v>573</v>
      </c>
      <c r="D2635" s="2" t="str">
        <f t="shared" si="40"/>
        <v>Error?</v>
      </c>
    </row>
    <row r="2636" spans="1:4" x14ac:dyDescent="0.2">
      <c r="A2636" s="5">
        <v>2575</v>
      </c>
      <c r="B2636" s="138">
        <f>'Acct Summary 7-8'!E20</f>
        <v>-27120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2775</v>
      </c>
      <c r="C2789" s="2" t="s">
        <v>573</v>
      </c>
      <c r="D2789" s="2" t="str">
        <f t="shared" si="42"/>
        <v>Error?</v>
      </c>
    </row>
    <row r="2790" spans="1:4" x14ac:dyDescent="0.2">
      <c r="A2790" s="5">
        <v>2729</v>
      </c>
      <c r="B2790" s="138">
        <f>'Expenditures 15-22'!E102</f>
        <v>2775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458816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502043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264565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397362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502043</v>
      </c>
      <c r="D2912" s="2" t="str">
        <f t="shared" si="44"/>
        <v>Error?</v>
      </c>
    </row>
    <row r="2913" spans="1:4" x14ac:dyDescent="0.2">
      <c r="A2913" s="5">
        <v>2852</v>
      </c>
      <c r="B2913" s="138">
        <f>'Assets-Liab 5-6'!I41</f>
        <v>502043</v>
      </c>
      <c r="C2913" s="2" t="s">
        <v>573</v>
      </c>
      <c r="D2913" s="2" t="str">
        <f t="shared" si="44"/>
        <v>Error?</v>
      </c>
    </row>
    <row r="2914" spans="1:4" x14ac:dyDescent="0.2">
      <c r="A2914" s="5">
        <v>2853</v>
      </c>
      <c r="B2914" s="138">
        <f>'Assets-Liab 5-6'!L33</f>
        <v>397362</v>
      </c>
      <c r="D2914" s="2" t="str">
        <f t="shared" si="44"/>
        <v>Error?</v>
      </c>
    </row>
    <row r="2915" spans="1:4" x14ac:dyDescent="0.2">
      <c r="A2915" s="10">
        <v>2854</v>
      </c>
      <c r="D2915" s="2" t="str">
        <f t="shared" si="44"/>
        <v>OK</v>
      </c>
    </row>
    <row r="2916" spans="1:4" x14ac:dyDescent="0.2">
      <c r="A2916" s="5">
        <v>2855</v>
      </c>
      <c r="B2916" s="138">
        <f>'Assets-Liab 5-6'!L34</f>
        <v>397362</v>
      </c>
      <c r="C2916" s="2" t="s">
        <v>573</v>
      </c>
      <c r="D2916" s="2" t="str">
        <f t="shared" si="44"/>
        <v>Error?</v>
      </c>
    </row>
    <row r="2917" spans="1:4" x14ac:dyDescent="0.2">
      <c r="A2917" s="5">
        <v>2856</v>
      </c>
      <c r="B2917" s="138">
        <f>'Assets-Liab 5-6'!L41</f>
        <v>397362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2775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146842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38163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149617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38163</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245360</v>
      </c>
      <c r="D3055" s="2" t="str">
        <f t="shared" si="46"/>
        <v>Error?</v>
      </c>
    </row>
    <row r="3056" spans="1:4" x14ac:dyDescent="0.2">
      <c r="A3056" s="5">
        <v>2995</v>
      </c>
      <c r="B3056" s="138">
        <f>'Expenditures 15-22'!D10</f>
        <v>70341</v>
      </c>
      <c r="D3056" s="2" t="str">
        <f t="shared" si="46"/>
        <v>Error?</v>
      </c>
    </row>
    <row r="3057" spans="1:4" x14ac:dyDescent="0.2">
      <c r="A3057" s="5">
        <v>2996</v>
      </c>
      <c r="B3057" s="138">
        <f>'Expenditures 15-22'!E10</f>
        <v>70662</v>
      </c>
      <c r="D3057" s="2" t="str">
        <f t="shared" si="46"/>
        <v>Error?</v>
      </c>
    </row>
    <row r="3058" spans="1:4" x14ac:dyDescent="0.2">
      <c r="A3058" s="5">
        <v>2997</v>
      </c>
      <c r="B3058" s="138">
        <f>'Expenditures 15-22'!F10</f>
        <v>37446</v>
      </c>
      <c r="D3058" s="2" t="str">
        <f t="shared" si="46"/>
        <v>Error?</v>
      </c>
    </row>
    <row r="3059" spans="1:4" x14ac:dyDescent="0.2">
      <c r="A3059" s="5">
        <v>2998</v>
      </c>
      <c r="B3059" s="138">
        <f>'Expenditures 15-22'!G10</f>
        <v>2690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426499</v>
      </c>
      <c r="C3062" s="2" t="s">
        <v>573</v>
      </c>
      <c r="D3062" s="2" t="str">
        <f t="shared" si="46"/>
        <v>Error?</v>
      </c>
    </row>
    <row r="3063" spans="1:4" x14ac:dyDescent="0.2">
      <c r="A3063" s="10">
        <v>3002</v>
      </c>
      <c r="D3063" s="2" t="str">
        <f t="shared" si="46"/>
        <v>OK</v>
      </c>
    </row>
    <row r="3064" spans="1:4" x14ac:dyDescent="0.2">
      <c r="A3064" s="5">
        <v>3003</v>
      </c>
      <c r="B3064" s="138">
        <f>'Expenditures 15-22'!D219</f>
        <v>14622</v>
      </c>
      <c r="D3064" s="2" t="str">
        <f t="shared" si="46"/>
        <v>Error?</v>
      </c>
    </row>
    <row r="3065" spans="1:4" x14ac:dyDescent="0.2">
      <c r="A3065" s="5">
        <v>3004</v>
      </c>
      <c r="B3065" s="138">
        <f>'Expenditures 15-22'!K219</f>
        <v>14622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63400</v>
      </c>
      <c r="C3225" s="2" t="s">
        <v>573</v>
      </c>
      <c r="D3225" s="2" t="str">
        <f t="shared" si="49"/>
        <v>Error?</v>
      </c>
    </row>
    <row r="3226" spans="1:4" x14ac:dyDescent="0.2">
      <c r="A3226" s="5">
        <v>3165</v>
      </c>
      <c r="B3226" s="138">
        <f>'Acct Summary 7-8'!I8</f>
        <v>63400</v>
      </c>
      <c r="C3226" s="2" t="s">
        <v>573</v>
      </c>
      <c r="D3226" s="2" t="str">
        <f t="shared" si="49"/>
        <v>Error?</v>
      </c>
    </row>
    <row r="3227" spans="1:4" x14ac:dyDescent="0.2">
      <c r="A3227" s="5">
        <v>3166</v>
      </c>
      <c r="B3227" s="138">
        <f>'Acct Summary 7-8'!I20</f>
        <v>63400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23987</v>
      </c>
      <c r="C3231" s="2" t="s">
        <v>573</v>
      </c>
      <c r="D3231" s="2" t="str">
        <f t="shared" si="49"/>
        <v>Error?</v>
      </c>
    </row>
    <row r="3232" spans="1:4" x14ac:dyDescent="0.2">
      <c r="A3232" s="5">
        <v>3171</v>
      </c>
      <c r="B3232" s="138">
        <f>'Acct Summary 7-8'!C77</f>
        <v>-23987</v>
      </c>
      <c r="C3232" s="2" t="s">
        <v>573</v>
      </c>
      <c r="D3232" s="2" t="str">
        <f t="shared" si="49"/>
        <v>Error?</v>
      </c>
    </row>
    <row r="3233" spans="1:4" x14ac:dyDescent="0.2">
      <c r="A3233" s="5">
        <v>3172</v>
      </c>
      <c r="B3233" s="138">
        <f>'Acct Summary 7-8'!C78</f>
        <v>1417751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-118868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38476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23987</v>
      </c>
      <c r="D3273" s="2" t="str">
        <f t="shared" si="50"/>
        <v>Error?</v>
      </c>
    </row>
    <row r="3274" spans="1:4" x14ac:dyDescent="0.2">
      <c r="A3274" s="5">
        <v>3213</v>
      </c>
      <c r="B3274" s="138">
        <f>'Acct Summary 7-8'!E44</f>
        <v>23987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23987</v>
      </c>
      <c r="C3277" s="2" t="s">
        <v>573</v>
      </c>
      <c r="D3277" s="2" t="str">
        <f t="shared" si="50"/>
        <v>Error?</v>
      </c>
    </row>
    <row r="3278" spans="1:4" x14ac:dyDescent="0.2">
      <c r="A3278" s="5">
        <v>3217</v>
      </c>
      <c r="B3278" s="138">
        <f>'Acct Summary 7-8'!E78</f>
        <v>-3133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63400</v>
      </c>
      <c r="C3320" s="2" t="s">
        <v>573</v>
      </c>
      <c r="D3320" s="2" t="str">
        <f t="shared" si="50"/>
        <v>Error?</v>
      </c>
    </row>
    <row r="3321" spans="1:4" x14ac:dyDescent="0.2">
      <c r="A3321" s="5">
        <v>3260</v>
      </c>
      <c r="B3321" s="138">
        <f>'Acct Summary 7-8'!I79</f>
        <v>438643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502043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1111561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313853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53876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25416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11880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1516586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44395</v>
      </c>
      <c r="D3387" s="2" t="str">
        <f t="shared" si="51"/>
        <v>Error?</v>
      </c>
    </row>
    <row r="3388" spans="1:4" x14ac:dyDescent="0.2">
      <c r="A3388" s="5">
        <v>3327</v>
      </c>
      <c r="B3388" s="138">
        <f>'Expenditures 15-22'!D217</f>
        <v>54103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44395</v>
      </c>
      <c r="C3390" s="2" t="s">
        <v>573</v>
      </c>
      <c r="D3390" s="2" t="str">
        <f t="shared" si="51"/>
        <v>Error?</v>
      </c>
    </row>
    <row r="3391" spans="1:4" x14ac:dyDescent="0.2">
      <c r="A3391" s="5">
        <v>3330</v>
      </c>
      <c r="B3391" s="138">
        <f>'Expenditures 15-22'!K217</f>
        <v>54103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725350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778</v>
      </c>
      <c r="D3417" s="2" t="str">
        <f t="shared" si="52"/>
        <v>Error?</v>
      </c>
    </row>
    <row r="3418" spans="1:4" x14ac:dyDescent="0.2">
      <c r="A3418" s="10">
        <v>3357</v>
      </c>
      <c r="D3418" s="2" t="str">
        <f t="shared" si="52"/>
        <v>OK</v>
      </c>
    </row>
    <row r="3419" spans="1:4" x14ac:dyDescent="0.2">
      <c r="A3419" s="5">
        <v>3358</v>
      </c>
      <c r="B3419" s="138">
        <f>'Assets-Liab 5-6'!F4</f>
        <v>1385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45961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43227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132797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102109</v>
      </c>
      <c r="C3446" s="2" t="s">
        <v>573</v>
      </c>
      <c r="D3446" s="2" t="str">
        <f t="shared" si="52"/>
        <v>Error?</v>
      </c>
    </row>
    <row r="3447" spans="1:4" x14ac:dyDescent="0.2">
      <c r="A3447" s="5">
        <v>3386</v>
      </c>
      <c r="B3447" s="138">
        <f>'Tax Sched 23'!D16</f>
        <v>102109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105229</v>
      </c>
      <c r="C3449" s="2" t="s">
        <v>573</v>
      </c>
      <c r="D3449" s="2" t="str">
        <f t="shared" si="52"/>
        <v>Error?</v>
      </c>
    </row>
    <row r="3450" spans="1:4" x14ac:dyDescent="0.2">
      <c r="A3450" s="5">
        <v>3389</v>
      </c>
      <c r="B3450" s="138">
        <f>'Tax Sched 23'!E16</f>
        <v>105229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144015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696327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840342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840342</v>
      </c>
      <c r="D3567" s="2" t="str">
        <f t="shared" si="54"/>
        <v>Error?</v>
      </c>
    </row>
    <row r="3568" spans="1:4" x14ac:dyDescent="0.2">
      <c r="A3568" s="5">
        <v>3507</v>
      </c>
      <c r="B3568" s="138">
        <f>'Assets-Liab 5-6'!K41</f>
        <v>840342</v>
      </c>
      <c r="C3568" s="2" t="s">
        <v>573</v>
      </c>
      <c r="D3568" s="2" t="str">
        <f t="shared" si="54"/>
        <v>Error?</v>
      </c>
    </row>
    <row r="3569" spans="1:4" x14ac:dyDescent="0.2">
      <c r="A3569" s="5">
        <v>3508</v>
      </c>
      <c r="B3569" s="138">
        <f>'Acct Summary 7-8'!K4</f>
        <v>68083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68083</v>
      </c>
      <c r="C3571" s="2" t="s">
        <v>573</v>
      </c>
      <c r="D3571" s="2" t="str">
        <f t="shared" si="54"/>
        <v>Error?</v>
      </c>
    </row>
    <row r="3572" spans="1:4" x14ac:dyDescent="0.2">
      <c r="A3572" s="5">
        <v>3511</v>
      </c>
      <c r="B3572" s="138">
        <f>'Acct Summary 7-8'!K13</f>
        <v>4623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4623</v>
      </c>
      <c r="C3575" s="2" t="s">
        <v>573</v>
      </c>
      <c r="D3575" s="2" t="str">
        <f t="shared" si="54"/>
        <v>Error?</v>
      </c>
    </row>
    <row r="3576" spans="1:4" x14ac:dyDescent="0.2">
      <c r="A3576" s="5">
        <v>3515</v>
      </c>
      <c r="B3576" s="138">
        <f>'Acct Summary 7-8'!K20</f>
        <v>63460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63460</v>
      </c>
      <c r="C3588" s="2" t="s">
        <v>573</v>
      </c>
      <c r="D3588" s="2" t="str">
        <f t="shared" si="55"/>
        <v>Error?</v>
      </c>
    </row>
    <row r="3589" spans="1:4" x14ac:dyDescent="0.2">
      <c r="A3589" s="5">
        <v>3528</v>
      </c>
      <c r="B3589" s="138">
        <f>'Acct Summary 7-8'!K79</f>
        <v>776882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840342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4623</v>
      </c>
      <c r="D3625" s="2" t="str">
        <f t="shared" si="55"/>
        <v>Error?</v>
      </c>
    </row>
    <row r="3626" spans="1:4" x14ac:dyDescent="0.2">
      <c r="A3626" s="5">
        <v>3565</v>
      </c>
      <c r="B3626" s="138">
        <f>'Expenditures 15-22'!D350</f>
        <v>4623</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4623</v>
      </c>
      <c r="C3628" s="2" t="s">
        <v>573</v>
      </c>
      <c r="D3628" s="2" t="str">
        <f t="shared" si="55"/>
        <v>Error?</v>
      </c>
    </row>
    <row r="3629" spans="1:4" x14ac:dyDescent="0.2">
      <c r="A3629" s="5">
        <v>3568</v>
      </c>
      <c r="B3629" s="138">
        <f>'Expenditures 15-22'!D367</f>
        <v>4623</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4623</v>
      </c>
      <c r="C3669" s="2" t="s">
        <v>573</v>
      </c>
      <c r="D3669" s="2" t="str">
        <f t="shared" si="56"/>
        <v>Error?</v>
      </c>
    </row>
    <row r="3670" spans="1:4" x14ac:dyDescent="0.2">
      <c r="A3670" s="5">
        <v>3609</v>
      </c>
      <c r="B3670" s="138">
        <f>'Expenditures 15-22'!K350</f>
        <v>4623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4623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4623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63460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234179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3293364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14283255</v>
      </c>
      <c r="C4122" s="2" t="s">
        <v>573</v>
      </c>
      <c r="D4122" s="2" t="str">
        <f t="shared" si="63"/>
        <v>Error?</v>
      </c>
    </row>
    <row r="4123" spans="1:4" x14ac:dyDescent="0.2">
      <c r="A4123" s="5">
        <v>4062</v>
      </c>
      <c r="B4123" s="138">
        <f>'Acct Summary 7-8'!D10</f>
        <v>540796</v>
      </c>
      <c r="C4123" s="2" t="s">
        <v>573</v>
      </c>
      <c r="D4123" s="2" t="str">
        <f t="shared" si="63"/>
        <v>Error?</v>
      </c>
    </row>
    <row r="4124" spans="1:4" x14ac:dyDescent="0.2">
      <c r="A4124" s="5">
        <v>4063</v>
      </c>
      <c r="B4124" s="138">
        <f>'Acct Summary 7-8'!E10</f>
        <v>1273467</v>
      </c>
      <c r="C4124" s="2" t="s">
        <v>573</v>
      </c>
      <c r="D4124" s="2" t="str">
        <f t="shared" si="63"/>
        <v>Error?</v>
      </c>
    </row>
    <row r="4125" spans="1:4" x14ac:dyDescent="0.2">
      <c r="A4125" s="5">
        <v>4064</v>
      </c>
      <c r="B4125" s="138">
        <f>'Acct Summary 7-8'!F10</f>
        <v>857761</v>
      </c>
      <c r="C4125" s="2" t="s">
        <v>573</v>
      </c>
      <c r="D4125" s="2" t="str">
        <f t="shared" si="63"/>
        <v>Error?</v>
      </c>
    </row>
    <row r="4126" spans="1:4" x14ac:dyDescent="0.2">
      <c r="A4126" s="5">
        <v>4065</v>
      </c>
      <c r="B4126" s="138">
        <f>'Acct Summary 7-8'!G10</f>
        <v>317058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63400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68083</v>
      </c>
      <c r="C4130" s="2" t="s">
        <v>573</v>
      </c>
      <c r="D4130" s="2" t="str">
        <f t="shared" si="63"/>
        <v>Error?</v>
      </c>
    </row>
    <row r="4131" spans="1:4" x14ac:dyDescent="0.2">
      <c r="A4131" s="5">
        <v>4070</v>
      </c>
      <c r="B4131" s="138">
        <f>'Acct Summary 7-8'!C18</f>
        <v>3293364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12841517</v>
      </c>
      <c r="C4136" s="2" t="s">
        <v>573</v>
      </c>
      <c r="D4136" s="2" t="str">
        <f t="shared" si="63"/>
        <v>Error?</v>
      </c>
    </row>
    <row r="4137" spans="1:4" x14ac:dyDescent="0.2">
      <c r="A4137" s="5">
        <v>4076</v>
      </c>
      <c r="B4137" s="138">
        <f>'Acct Summary 7-8'!D19</f>
        <v>540481</v>
      </c>
      <c r="C4137" s="2" t="s">
        <v>573</v>
      </c>
      <c r="D4137" s="2" t="str">
        <f t="shared" si="63"/>
        <v>Error?</v>
      </c>
    </row>
    <row r="4138" spans="1:4" x14ac:dyDescent="0.2">
      <c r="A4138" s="5">
        <v>4077</v>
      </c>
      <c r="B4138" s="138">
        <f>'Acct Summary 7-8'!E19</f>
        <v>1300587</v>
      </c>
      <c r="C4138" s="2" t="s">
        <v>573</v>
      </c>
      <c r="D4138" s="2" t="str">
        <f t="shared" si="63"/>
        <v>Error?</v>
      </c>
    </row>
    <row r="4139" spans="1:4" x14ac:dyDescent="0.2">
      <c r="A4139" s="5">
        <v>4078</v>
      </c>
      <c r="B4139" s="138">
        <f>'Acct Summary 7-8'!F19</f>
        <v>976629</v>
      </c>
      <c r="C4139" s="2" t="s">
        <v>573</v>
      </c>
      <c r="D4139" s="2" t="str">
        <f t="shared" si="63"/>
        <v>Error?</v>
      </c>
    </row>
    <row r="4140" spans="1:4" x14ac:dyDescent="0.2">
      <c r="A4140" s="5">
        <v>4079</v>
      </c>
      <c r="B4140" s="138">
        <f>'Acct Summary 7-8'!G19</f>
        <v>278582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4623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9965000</v>
      </c>
      <c r="C4171" s="2" t="s">
        <v>573</v>
      </c>
      <c r="D4171" s="2" t="str">
        <f t="shared" si="64"/>
        <v>Error?</v>
      </c>
    </row>
    <row r="4172" spans="1:4" x14ac:dyDescent="0.2">
      <c r="A4172" s="5">
        <v>4111</v>
      </c>
      <c r="B4172" s="138">
        <f>'Short-Term Long-Term Debt 24'!J49</f>
        <v>9963659</v>
      </c>
      <c r="C4172" s="2" t="s">
        <v>573</v>
      </c>
      <c r="D4172" s="2" t="str">
        <f t="shared" si="64"/>
        <v>Error?</v>
      </c>
    </row>
    <row r="4173" spans="1:4" x14ac:dyDescent="0.2">
      <c r="A4173" s="5">
        <v>4112</v>
      </c>
      <c r="B4173" s="138">
        <f>'Short-Term Long-Term Debt 24'!H49</f>
        <v>833748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2749.5</v>
      </c>
      <c r="C4265" s="2" t="s">
        <v>573</v>
      </c>
      <c r="D4265" s="2" t="str">
        <f t="shared" si="65"/>
        <v>Error?</v>
      </c>
      <c r="E4265" s="128"/>
    </row>
    <row r="4266" spans="1:5" x14ac:dyDescent="0.2">
      <c r="A4266" s="12">
        <v>4205</v>
      </c>
      <c r="B4266" s="138">
        <f>('FP Info 3'!F10)*100000</f>
        <v>447.1</v>
      </c>
      <c r="C4266" s="2" t="s">
        <v>573</v>
      </c>
      <c r="D4266" s="2" t="str">
        <f t="shared" si="65"/>
        <v>Error?</v>
      </c>
      <c r="E4266" s="128"/>
    </row>
    <row r="4267" spans="1:5" x14ac:dyDescent="0.2">
      <c r="A4267" s="12">
        <v>4206</v>
      </c>
      <c r="B4267" s="138">
        <f>('FP Info 3'!H10)*100000</f>
        <v>368.8</v>
      </c>
      <c r="C4267" s="2" t="s">
        <v>573</v>
      </c>
      <c r="D4267" s="2" t="str">
        <f t="shared" si="65"/>
        <v>Error?</v>
      </c>
      <c r="E4267" s="128"/>
    </row>
    <row r="4268" spans="1:5" x14ac:dyDescent="0.2">
      <c r="A4268" s="12">
        <v>4207</v>
      </c>
      <c r="B4268" s="138">
        <f>('FP Info 3'!J10)*100000</f>
        <v>3565</v>
      </c>
      <c r="C4268" s="2" t="s">
        <v>573</v>
      </c>
      <c r="D4268" s="2" t="str">
        <f t="shared" si="65"/>
        <v>Error?</v>
      </c>
    </row>
    <row r="4269" spans="1:5" x14ac:dyDescent="0.2">
      <c r="A4269" s="12">
        <v>4208</v>
      </c>
      <c r="B4269" s="138">
        <f>'FP Info 3'!J16</f>
        <v>3989793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14887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35372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16841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25610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16937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2204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121511386</v>
      </c>
      <c r="D4995" s="2" t="str">
        <f t="shared" si="77"/>
        <v>Error?</v>
      </c>
    </row>
    <row r="4996" spans="1:4" x14ac:dyDescent="0.2">
      <c r="A4996" s="12">
        <v>4935</v>
      </c>
      <c r="B4996" s="138">
        <f>'FP Info 3'!H31</f>
        <v>16768571.268000001</v>
      </c>
      <c r="D4996" s="2" t="str">
        <f t="shared" si="77"/>
        <v>Error?</v>
      </c>
    </row>
    <row r="4997" spans="1:4" x14ac:dyDescent="0.2">
      <c r="A4997" s="12">
        <v>4936</v>
      </c>
      <c r="B4997" s="138">
        <f>'FP Info 3'!H37</f>
        <v>9965000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3254527</v>
      </c>
      <c r="D5061" s="2" t="str">
        <f t="shared" si="78"/>
        <v>Error?</v>
      </c>
    </row>
    <row r="5062" spans="1:4" x14ac:dyDescent="0.2">
      <c r="A5062" s="10">
        <v>5001</v>
      </c>
      <c r="D5062" s="2" t="str">
        <f t="shared" si="78"/>
        <v>OK</v>
      </c>
    </row>
    <row r="5063" spans="1:4" x14ac:dyDescent="0.2">
      <c r="A5063" s="5">
        <v>5002</v>
      </c>
      <c r="B5063" s="138">
        <f>'Revenues 9-14'!C7</f>
        <v>93653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3348180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102331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102331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48281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48281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51872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3042</v>
      </c>
      <c r="D5094" s="2" t="str">
        <f t="shared" si="78"/>
        <v>Error?</v>
      </c>
    </row>
    <row r="5095" spans="1:4" x14ac:dyDescent="0.2">
      <c r="A5095" s="5">
        <v>5034</v>
      </c>
      <c r="B5095" s="138">
        <f>'Revenues 9-14'!C74</f>
        <v>172</v>
      </c>
      <c r="D5095" s="2" t="str">
        <f t="shared" si="78"/>
        <v>Error?</v>
      </c>
    </row>
    <row r="5096" spans="1:4" x14ac:dyDescent="0.2">
      <c r="A5096" s="5">
        <v>5035</v>
      </c>
      <c r="B5096" s="138">
        <f>'Revenues 9-14'!C75</f>
        <v>125394</v>
      </c>
      <c r="C5096" s="2" t="s">
        <v>573</v>
      </c>
      <c r="D5096" s="2" t="str">
        <f t="shared" si="78"/>
        <v>Error?</v>
      </c>
    </row>
    <row r="5097" spans="1:4" x14ac:dyDescent="0.2">
      <c r="A5097" s="5">
        <v>5036</v>
      </c>
      <c r="B5097" s="138">
        <f>'Revenues 9-14'!C77</f>
        <v>15824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113729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129553</v>
      </c>
      <c r="C5102" s="2" t="s">
        <v>573</v>
      </c>
      <c r="D5102" s="2" t="str">
        <f t="shared" si="78"/>
        <v>Error?</v>
      </c>
    </row>
    <row r="5103" spans="1:4" x14ac:dyDescent="0.2">
      <c r="A5103" s="5">
        <v>5042</v>
      </c>
      <c r="B5103" s="138">
        <f>'Revenues 9-14'!C84</f>
        <v>7589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7589</v>
      </c>
      <c r="C5112" s="2" t="s">
        <v>573</v>
      </c>
      <c r="D5112" s="2" t="str">
        <f t="shared" si="78"/>
        <v>Error?</v>
      </c>
    </row>
    <row r="5113" spans="1:4" x14ac:dyDescent="0.2">
      <c r="A5113" s="5">
        <v>5052</v>
      </c>
      <c r="B5113" s="138">
        <f>'Revenues 9-14'!C95</f>
        <v>50</v>
      </c>
      <c r="D5113" s="2" t="str">
        <f t="shared" si="78"/>
        <v>Error?</v>
      </c>
    </row>
    <row r="5114" spans="1:4" x14ac:dyDescent="0.2">
      <c r="A5114" s="5">
        <v>5053</v>
      </c>
      <c r="B5114" s="138">
        <f>'Revenues 9-14'!C96</f>
        <v>15109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22557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14897</v>
      </c>
      <c r="D5119" s="2" t="str">
        <f t="shared" ref="D5119:D5182" si="79">IF(ISBLANK(B5119),"OK",IF(A5119-B5119=0,"OK","Error?"))</f>
        <v>Error?</v>
      </c>
    </row>
    <row r="5120" spans="1:4" x14ac:dyDescent="0.2">
      <c r="A5120" s="5">
        <v>5059</v>
      </c>
      <c r="B5120" s="138">
        <f>'Revenues 9-14'!C108</f>
        <v>88851</v>
      </c>
      <c r="C5120" s="2" t="s">
        <v>573</v>
      </c>
      <c r="D5120" s="2" t="str">
        <f t="shared" si="79"/>
        <v>Error?</v>
      </c>
    </row>
    <row r="5121" spans="1:4" x14ac:dyDescent="0.2">
      <c r="A5121" s="5">
        <v>5060</v>
      </c>
      <c r="B5121" s="138">
        <f>'Revenues 9-14'!C109</f>
        <v>3850179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4934949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4934949</v>
      </c>
      <c r="C5132" s="2" t="s">
        <v>573</v>
      </c>
      <c r="D5132" s="2" t="str">
        <f t="shared" si="79"/>
        <v>Error?</v>
      </c>
    </row>
    <row r="5133" spans="1:4" x14ac:dyDescent="0.2">
      <c r="A5133" s="5">
        <v>5072</v>
      </c>
      <c r="B5133" s="138">
        <f>'Revenues 9-14'!C125</f>
        <v>364771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183432</v>
      </c>
      <c r="D5137" s="2" t="str">
        <f t="shared" si="79"/>
        <v>Error?</v>
      </c>
    </row>
    <row r="5138" spans="1:4" x14ac:dyDescent="0.2">
      <c r="A5138" s="10">
        <v>5077</v>
      </c>
      <c r="D5138" s="2" t="str">
        <f t="shared" si="79"/>
        <v>OK</v>
      </c>
    </row>
    <row r="5139" spans="1:4" x14ac:dyDescent="0.2">
      <c r="A5139" s="5">
        <v>5078</v>
      </c>
      <c r="B5139" s="138">
        <f>'Revenues 9-14'!C129</f>
        <v>4864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553067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851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5668</v>
      </c>
      <c r="D5167" s="2" t="str">
        <f t="shared" si="79"/>
        <v>Error?</v>
      </c>
    </row>
    <row r="5168" spans="1:4" x14ac:dyDescent="0.2">
      <c r="A5168" s="5">
        <v>5107</v>
      </c>
      <c r="B5168" s="138">
        <f>'Revenues 9-14'!C148</f>
        <v>11643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321698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895131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5830080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265448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58545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8046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332039</v>
      </c>
      <c r="C5246" s="2" t="s">
        <v>573</v>
      </c>
      <c r="D5246" s="2" t="str">
        <f t="shared" si="80"/>
        <v>Error?</v>
      </c>
    </row>
    <row r="5247" spans="1:4" x14ac:dyDescent="0.2">
      <c r="A5247" s="5">
        <v>5186</v>
      </c>
      <c r="B5247" s="138">
        <f>'Revenues 9-14'!C200</f>
        <v>424575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424575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7913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271121</v>
      </c>
      <c r="D5278" s="2" t="str">
        <f t="shared" si="81"/>
        <v>Error?</v>
      </c>
    </row>
    <row r="5279" spans="1:4" x14ac:dyDescent="0.2">
      <c r="A5279" s="5">
        <v>5218</v>
      </c>
      <c r="B5279" s="138">
        <f>'Revenues 9-14'!C214</f>
        <v>181274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460308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1309632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1309632</v>
      </c>
      <c r="C5326" s="2" t="s">
        <v>573</v>
      </c>
      <c r="D5326" s="2" t="str">
        <f t="shared" si="82"/>
        <v>Error?</v>
      </c>
    </row>
    <row r="5327" spans="1:5" x14ac:dyDescent="0.2">
      <c r="A5327" s="5">
        <v>5266</v>
      </c>
      <c r="B5327" s="138">
        <f>'Revenues 9-14'!C268</f>
        <v>10989891</v>
      </c>
      <c r="C5327" s="2" t="s">
        <v>573</v>
      </c>
      <c r="D5327" s="2" t="str">
        <f t="shared" si="82"/>
        <v>Error?</v>
      </c>
    </row>
    <row r="5328" spans="1:5" x14ac:dyDescent="0.2">
      <c r="A5328" s="5">
        <v>5267</v>
      </c>
      <c r="B5328" s="138">
        <f>'Revenues 9-14'!D5</f>
        <v>527367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527367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7069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7069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4765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1595</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6360</v>
      </c>
      <c r="C5355" s="2" t="s">
        <v>573</v>
      </c>
      <c r="D5355" s="2" t="str">
        <f t="shared" si="82"/>
        <v>Error?</v>
      </c>
    </row>
    <row r="5356" spans="1:4" x14ac:dyDescent="0.2">
      <c r="A5356" s="5">
        <v>5295</v>
      </c>
      <c r="B5356" s="138">
        <f>'Revenues 9-14'!D109</f>
        <v>540796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540796</v>
      </c>
      <c r="C5508" s="2" t="s">
        <v>573</v>
      </c>
      <c r="D5508" s="2" t="str">
        <f t="shared" si="85"/>
        <v>Error?</v>
      </c>
    </row>
    <row r="5509" spans="1:4" x14ac:dyDescent="0.2">
      <c r="A5509" s="5">
        <v>5448</v>
      </c>
      <c r="B5509" s="138">
        <f>'Revenues 9-14'!E5</f>
        <v>1261857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1261857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11610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11610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1273467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1273467</v>
      </c>
      <c r="C5552" s="2" t="s">
        <v>573</v>
      </c>
      <c r="D5552" s="2" t="str">
        <f t="shared" si="85"/>
        <v>Error?</v>
      </c>
    </row>
    <row r="5553" spans="1:4" x14ac:dyDescent="0.2">
      <c r="A5553" s="5">
        <v>5492</v>
      </c>
      <c r="B5553" s="138">
        <f>'Revenues 9-14'!F5</f>
        <v>334618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334618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1385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6741</v>
      </c>
      <c r="D5585" s="2" t="str">
        <f t="shared" si="86"/>
        <v>Error?</v>
      </c>
    </row>
    <row r="5586" spans="1:4" x14ac:dyDescent="0.2">
      <c r="A5586" s="5">
        <v>5525</v>
      </c>
      <c r="B5586" s="138">
        <f>'Revenues 9-14'!F107</f>
        <v>627</v>
      </c>
      <c r="D5586" s="2" t="str">
        <f t="shared" si="86"/>
        <v>Error?</v>
      </c>
    </row>
    <row r="5587" spans="1:4" x14ac:dyDescent="0.2">
      <c r="A5587" s="5">
        <v>5526</v>
      </c>
      <c r="B5587" s="138">
        <f>'Revenues 9-14'!F108</f>
        <v>7368</v>
      </c>
      <c r="C5587" s="2" t="s">
        <v>573</v>
      </c>
      <c r="D5587" s="2" t="str">
        <f t="shared" si="86"/>
        <v>Error?</v>
      </c>
    </row>
    <row r="5588" spans="1:4" x14ac:dyDescent="0.2">
      <c r="A5588" s="5">
        <v>5527</v>
      </c>
      <c r="B5588" s="138">
        <f>'Revenues 9-14'!F109</f>
        <v>343371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324707</v>
      </c>
      <c r="D5615" s="2" t="str">
        <f t="shared" si="86"/>
        <v>Error?</v>
      </c>
    </row>
    <row r="5616" spans="1:4" x14ac:dyDescent="0.2">
      <c r="A5616" s="10">
        <v>5555</v>
      </c>
      <c r="D5616" s="2" t="str">
        <f t="shared" si="86"/>
        <v>OK</v>
      </c>
    </row>
    <row r="5617" spans="1:5" x14ac:dyDescent="0.2">
      <c r="A5617" s="5">
        <v>5556</v>
      </c>
      <c r="B5617" s="138">
        <f>'Revenues 9-14'!F153</f>
        <v>144893</v>
      </c>
      <c r="D5617" s="2" t="str">
        <f t="shared" si="86"/>
        <v>Error?</v>
      </c>
    </row>
    <row r="5618" spans="1:5" x14ac:dyDescent="0.2">
      <c r="A5618" s="5">
        <v>5557</v>
      </c>
      <c r="B5618" s="138">
        <f>'Revenues 9-14'!F155</f>
        <v>469600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34402</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504002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504002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10388</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10388</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10388</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10388</v>
      </c>
      <c r="C5719" s="2" t="s">
        <v>573</v>
      </c>
      <c r="D5719" s="2" t="str">
        <f t="shared" si="88"/>
        <v>Error?</v>
      </c>
    </row>
    <row r="5720" spans="1:4" x14ac:dyDescent="0.2">
      <c r="A5720" s="5">
        <v>5659</v>
      </c>
      <c r="B5720" s="138">
        <f>'Revenues 9-14'!F268</f>
        <v>857761</v>
      </c>
      <c r="C5720" s="2" t="s">
        <v>573</v>
      </c>
      <c r="D5720" s="2" t="str">
        <f t="shared" si="88"/>
        <v>Error?</v>
      </c>
    </row>
    <row r="5721" spans="1:4" x14ac:dyDescent="0.2">
      <c r="A5721" s="5">
        <v>5660</v>
      </c>
      <c r="B5721" s="138">
        <f>'Revenues 9-14'!G5</f>
        <v>113586</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102109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215695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101146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101146</v>
      </c>
      <c r="C5730" s="2" t="s">
        <v>573</v>
      </c>
      <c r="D5730" s="2" t="str">
        <f t="shared" si="88"/>
        <v>Error?</v>
      </c>
    </row>
    <row r="5731" spans="1:4" x14ac:dyDescent="0.2">
      <c r="A5731" s="5">
        <v>5670</v>
      </c>
      <c r="B5731" s="138">
        <f>'Revenues 9-14'!G65</f>
        <v>217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317058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49026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49026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14374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14374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63400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64678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64678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3405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3405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68083</v>
      </c>
      <c r="C6023" s="2" t="s">
        <v>573</v>
      </c>
      <c r="D6023" s="2" t="str">
        <f t="shared" si="93"/>
        <v>Error?</v>
      </c>
    </row>
    <row r="6024" spans="1:5" x14ac:dyDescent="0.2">
      <c r="A6024" s="5">
        <v>5963</v>
      </c>
      <c r="B6024" s="138">
        <f>'Revenues 9-14'!G109</f>
        <v>317058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63400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68083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70308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33339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1022.86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72979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72979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72979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72979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72979</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23987</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1417751</v>
      </c>
      <c r="D6267" s="2" t="str">
        <f t="shared" si="96"/>
        <v>Error?</v>
      </c>
      <c r="E6267" s="2" t="s">
        <v>190</v>
      </c>
    </row>
    <row r="6268" spans="1:5" x14ac:dyDescent="0.2">
      <c r="A6268">
        <v>6207</v>
      </c>
      <c r="B6268" s="138">
        <f>'Acct Summary 7-8'!D82</f>
        <v>315</v>
      </c>
      <c r="D6268" s="2" t="str">
        <f t="shared" si="96"/>
        <v>Error?</v>
      </c>
      <c r="E6268" s="2" t="s">
        <v>190</v>
      </c>
    </row>
    <row r="6269" spans="1:5" x14ac:dyDescent="0.2">
      <c r="A6269">
        <v>6208</v>
      </c>
      <c r="B6269" s="138">
        <f>'Acct Summary 7-8'!E82</f>
        <v>-3133</v>
      </c>
      <c r="D6269" s="2" t="str">
        <f t="shared" si="96"/>
        <v>Error?</v>
      </c>
      <c r="E6269" s="2" t="s">
        <v>190</v>
      </c>
    </row>
    <row r="6270" spans="1:5" x14ac:dyDescent="0.2">
      <c r="A6270">
        <v>6209</v>
      </c>
      <c r="B6270" s="138">
        <f>'Acct Summary 7-8'!F82</f>
        <v>-118868</v>
      </c>
      <c r="D6270" s="2" t="str">
        <f t="shared" si="96"/>
        <v>Error?</v>
      </c>
      <c r="E6270" s="2" t="s">
        <v>190</v>
      </c>
    </row>
    <row r="6271" spans="1:5" x14ac:dyDescent="0.2">
      <c r="A6271">
        <v>6210</v>
      </c>
      <c r="B6271" s="138">
        <f>'Acct Summary 7-8'!G82</f>
        <v>38476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63400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63460</v>
      </c>
      <c r="D6275" s="2" t="str">
        <f t="shared" si="97"/>
        <v>Error?</v>
      </c>
      <c r="E6275" s="2" t="s">
        <v>190</v>
      </c>
    </row>
    <row r="6276" spans="1:5" x14ac:dyDescent="0.2">
      <c r="A6276">
        <v>6215</v>
      </c>
      <c r="B6276" s="138">
        <f>'Acct Summary 7-8'!C83</f>
        <v>0.46589772373262106</v>
      </c>
      <c r="D6276" s="2" t="str">
        <f t="shared" si="97"/>
        <v>Error?</v>
      </c>
      <c r="E6276" s="2" t="s">
        <v>190</v>
      </c>
    </row>
    <row r="6277" spans="1:5" x14ac:dyDescent="0.2">
      <c r="A6277">
        <v>6216</v>
      </c>
      <c r="B6277" s="138">
        <f>'Acct Summary 7-8'!D83</f>
        <v>8.0223913857344054E-4</v>
      </c>
      <c r="D6277" s="2" t="str">
        <f t="shared" si="97"/>
        <v>Error?</v>
      </c>
      <c r="E6277" s="2" t="s">
        <v>190</v>
      </c>
    </row>
    <row r="6278" spans="1:5" x14ac:dyDescent="0.2">
      <c r="A6278">
        <v>6217</v>
      </c>
      <c r="B6278" s="138">
        <f>'Acct Summary 7-8'!E83</f>
        <v>-2.3363161819537659</v>
      </c>
      <c r="D6278" s="2" t="str">
        <f t="shared" si="97"/>
        <v>Error?</v>
      </c>
      <c r="E6278" s="2" t="s">
        <v>190</v>
      </c>
    </row>
    <row r="6279" spans="1:5" x14ac:dyDescent="0.2">
      <c r="A6279">
        <v>6218</v>
      </c>
      <c r="B6279" s="138">
        <f>'Acct Summary 7-8'!F83</f>
        <v>-2.283858819912771</v>
      </c>
      <c r="D6279" s="2" t="str">
        <f t="shared" si="97"/>
        <v>Error?</v>
      </c>
      <c r="E6279" s="2" t="s">
        <v>190</v>
      </c>
    </row>
    <row r="6280" spans="1:5" x14ac:dyDescent="0.2">
      <c r="A6280">
        <v>6219</v>
      </c>
      <c r="B6280" s="138">
        <f>'Acct Summary 7-8'!G83</f>
        <v>0.83714453558451729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0.12628400356144792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7.5516872892227208E-2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72906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72906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19301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72979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851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169764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303559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22616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659896</v>
      </c>
      <c r="D6983" s="2" t="str">
        <f t="shared" si="108"/>
        <v>Error?</v>
      </c>
    </row>
    <row r="6984" spans="1:4" x14ac:dyDescent="0.2">
      <c r="A6984">
        <v>6923</v>
      </c>
      <c r="B6984" s="138">
        <f>'Expenditures 15-22'!K86</f>
        <v>659896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19966</v>
      </c>
      <c r="D6991" s="2" t="str">
        <f t="shared" si="108"/>
        <v>Error?</v>
      </c>
    </row>
    <row r="6992" spans="1:4" x14ac:dyDescent="0.2">
      <c r="A6992">
        <v>6931</v>
      </c>
      <c r="B6992" s="138">
        <f>'Expenditures 15-22'!K90</f>
        <v>19966</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679862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72979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72979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7288</v>
      </c>
      <c r="D7073" s="2" t="str">
        <f t="shared" si="109"/>
        <v>Error?</v>
      </c>
    </row>
    <row r="7074" spans="1:4" x14ac:dyDescent="0.2">
      <c r="A7074">
        <v>7013</v>
      </c>
      <c r="B7074" s="138">
        <f>'Expenditures 15-22'!K216</f>
        <v>7288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v>
      </c>
      <c r="D7079" s="2" t="str">
        <f t="shared" si="109"/>
        <v>Error?</v>
      </c>
    </row>
    <row r="7080" spans="1:4" x14ac:dyDescent="0.2">
      <c r="A7080">
        <v>7019</v>
      </c>
      <c r="B7080" s="138">
        <f>'Expenditures 15-22'!K226</f>
        <v>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5200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6024</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6024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25000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25000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72979</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72979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72979</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72979</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37911</v>
      </c>
      <c r="D7246" s="2" t="str">
        <f t="shared" si="112"/>
        <v>Error?</v>
      </c>
    </row>
    <row r="7247" spans="1:4" x14ac:dyDescent="0.2">
      <c r="A7247">
        <f t="shared" si="113"/>
        <v>7186</v>
      </c>
      <c r="B7247" s="138">
        <f>'Expenditures 15-22'!E7</f>
        <v>8288</v>
      </c>
      <c r="D7247" s="2" t="str">
        <f t="shared" si="112"/>
        <v>Error?</v>
      </c>
    </row>
    <row r="7248" spans="1:4" x14ac:dyDescent="0.2">
      <c r="A7248">
        <f t="shared" si="113"/>
        <v>7187</v>
      </c>
      <c r="B7248" s="138">
        <f>'Expenditures 15-22'!F7</f>
        <v>33609</v>
      </c>
      <c r="D7248" s="2" t="str">
        <f t="shared" si="112"/>
        <v>Error?</v>
      </c>
    </row>
    <row r="7249" spans="1:4" x14ac:dyDescent="0.2">
      <c r="A7249">
        <f t="shared" si="113"/>
        <v>7188</v>
      </c>
      <c r="B7249" s="138">
        <f>'Expenditures 15-22'!G7</f>
        <v>53987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22616</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20906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20906</v>
      </c>
      <c r="D7618" s="2" t="str">
        <f t="shared" si="124"/>
        <v>Error?</v>
      </c>
      <c r="E7618" s="2" t="s">
        <v>19</v>
      </c>
    </row>
    <row r="7619" spans="1:5" x14ac:dyDescent="0.2">
      <c r="A7619">
        <f t="shared" si="123"/>
        <v>7558</v>
      </c>
      <c r="B7619" s="138">
        <f>'Cap Outlay Deprec 26'!H14</f>
        <v>19022</v>
      </c>
      <c r="D7619" s="2" t="str">
        <f t="shared" si="124"/>
        <v>Error?</v>
      </c>
      <c r="E7619" s="2" t="s">
        <v>19</v>
      </c>
    </row>
    <row r="7620" spans="1:5" x14ac:dyDescent="0.2">
      <c r="A7620">
        <f t="shared" si="123"/>
        <v>7559</v>
      </c>
      <c r="B7620" s="138">
        <f>'Cap Outlay Deprec 26'!I14</f>
        <v>844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19866</v>
      </c>
      <c r="D7622" s="2" t="str">
        <f t="shared" si="124"/>
        <v>Error?</v>
      </c>
      <c r="E7622" s="2" t="s">
        <v>19</v>
      </c>
    </row>
    <row r="7623" spans="1:5" x14ac:dyDescent="0.2">
      <c r="A7623">
        <f t="shared" si="123"/>
        <v>7562</v>
      </c>
      <c r="B7623" s="138">
        <f>'Cap Outlay Deprec 26'!L14</f>
        <v>1040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695975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36755</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36755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45991</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19301</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11643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30944</v>
      </c>
      <c r="D7719" s="2" t="str">
        <f t="shared" si="126"/>
        <v>Error?</v>
      </c>
      <c r="E7719" s="2" t="s">
        <v>827</v>
      </c>
    </row>
    <row r="7720" spans="1:6" x14ac:dyDescent="0.2">
      <c r="A7720">
        <v>7659</v>
      </c>
      <c r="B7720" s="138">
        <f>'Rest Tax Levies-Tort Im 25'!H14</f>
        <v>93653</v>
      </c>
      <c r="D7720" s="2" t="str">
        <f t="shared" si="126"/>
        <v>Error?</v>
      </c>
      <c r="E7720" s="2" t="s">
        <v>827</v>
      </c>
    </row>
    <row r="7721" spans="1:6" x14ac:dyDescent="0.2">
      <c r="A7721">
        <v>7660</v>
      </c>
      <c r="B7721" s="138">
        <f>'Rest Tax Levies-Tort Im 25'!K14</f>
        <v>22619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6152</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48164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48164</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1932432</v>
      </c>
      <c r="D7797" s="2" t="str">
        <f t="shared" si="127"/>
        <v>Error?</v>
      </c>
      <c r="E7797" s="4" t="s">
        <v>1900</v>
      </c>
    </row>
    <row r="7798" spans="1:5" x14ac:dyDescent="0.2">
      <c r="A7798">
        <v>7737</v>
      </c>
      <c r="B7798" s="138">
        <f>'Contracts Paid in CY 29'!F142</f>
        <v>264762</v>
      </c>
      <c r="D7798" s="2" t="str">
        <f t="shared" si="127"/>
        <v>Error?</v>
      </c>
      <c r="E7798" s="4" t="s">
        <v>1900</v>
      </c>
    </row>
    <row r="7799" spans="1:5" x14ac:dyDescent="0.2">
      <c r="A7799">
        <v>7738</v>
      </c>
      <c r="B7799" s="138">
        <f>'Contracts Paid in CY 29'!G142</f>
        <v>1667670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3" zoomScale="110" zoomScaleNormal="110" workbookViewId="0">
      <selection activeCell="G7" sqref="G7:L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0" t="s">
        <v>1191</v>
      </c>
      <c r="B2" s="2400"/>
      <c r="C2" s="2400"/>
      <c r="D2" s="2400"/>
      <c r="E2" s="2400"/>
      <c r="F2" s="2400"/>
      <c r="G2" s="2400"/>
      <c r="H2" s="2400"/>
      <c r="I2" s="2400"/>
      <c r="J2" s="2400"/>
      <c r="K2" s="2400"/>
      <c r="L2" s="2400"/>
    </row>
    <row r="3" spans="1:29" ht="13.5" customHeight="1" x14ac:dyDescent="0.2">
      <c r="A3" s="2431" t="s">
        <v>1190</v>
      </c>
      <c r="B3" s="2431"/>
      <c r="C3" s="2431"/>
      <c r="D3" s="2431"/>
      <c r="E3" s="2431"/>
      <c r="F3" s="2431"/>
      <c r="G3" s="2431"/>
      <c r="H3" s="2431"/>
      <c r="I3" s="2431"/>
      <c r="J3" s="2431"/>
      <c r="K3" s="2431"/>
      <c r="L3" s="2431"/>
    </row>
    <row r="4" spans="1:29" ht="13.5" customHeight="1" x14ac:dyDescent="0.2">
      <c r="A4" s="2400" t="s">
        <v>1984</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2" t="str">
        <f>COVER!A17</f>
        <v>Momence CUSD 1</v>
      </c>
      <c r="B7" s="2423"/>
      <c r="C7" s="2423"/>
      <c r="D7" s="2424"/>
      <c r="E7" s="2425">
        <f>COVER!A13</f>
        <v>32046001026</v>
      </c>
      <c r="F7" s="2426"/>
      <c r="G7" s="2432" t="str">
        <f>COVER!T23</f>
        <v>066-005281</v>
      </c>
      <c r="H7" s="2433"/>
      <c r="I7" s="2433"/>
      <c r="J7" s="2433"/>
      <c r="K7" s="2433"/>
      <c r="L7" s="243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5"/>
      <c r="B9" s="2436"/>
      <c r="C9" s="2436"/>
      <c r="D9" s="2436"/>
      <c r="E9" s="2436"/>
      <c r="F9" s="2437"/>
      <c r="G9" s="2406" t="str">
        <f>COVER!T13</f>
        <v>Smith, Koelling, Dykstra &amp; Ohm, P.C.</v>
      </c>
      <c r="H9" s="2438"/>
      <c r="I9" s="2438"/>
      <c r="J9" s="2438"/>
      <c r="K9" s="2438"/>
      <c r="L9" s="2439"/>
    </row>
    <row r="10" spans="1:29" ht="13.5" customHeight="1" x14ac:dyDescent="0.2">
      <c r="A10" s="2412" t="str">
        <f>COVER!A38</f>
        <v>Shannon Anderson</v>
      </c>
      <c r="B10" s="2413"/>
      <c r="C10" s="2413"/>
      <c r="D10" s="2413"/>
      <c r="E10" s="2413"/>
      <c r="F10" s="2414"/>
      <c r="G10" s="2406" t="str">
        <f>COVER!T17</f>
        <v>1605 North Convent</v>
      </c>
      <c r="H10" s="2407"/>
      <c r="I10" s="2407"/>
      <c r="J10" s="2407"/>
      <c r="K10" s="2407"/>
      <c r="L10" s="2408"/>
    </row>
    <row r="11" spans="1:29" ht="13.5" customHeight="1" x14ac:dyDescent="0.2">
      <c r="A11" s="1184" t="s">
        <v>1519</v>
      </c>
      <c r="B11" s="1185"/>
      <c r="C11" s="1186"/>
      <c r="D11" s="1191"/>
      <c r="E11" s="1186"/>
      <c r="F11" s="1190"/>
      <c r="G11" s="2406" t="str">
        <f>COVER!T19</f>
        <v>Bourbonnais</v>
      </c>
      <c r="H11" s="2407"/>
      <c r="I11" s="2407"/>
      <c r="J11" s="2407"/>
      <c r="K11" s="2407"/>
      <c r="L11" s="2408"/>
    </row>
    <row r="12" spans="1:29" ht="13.5" customHeight="1" x14ac:dyDescent="0.2">
      <c r="A12" s="2415" t="s">
        <v>1518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1520</v>
      </c>
      <c r="H13" s="2402"/>
      <c r="I13" s="2418" t="str">
        <f>COVER!T25</f>
        <v>marciek@skdocpa.com</v>
      </c>
      <c r="J13" s="2419"/>
      <c r="K13" s="2419"/>
      <c r="L13" s="2420"/>
    </row>
    <row r="14" spans="1:29" ht="13.5" customHeight="1" x14ac:dyDescent="0.2">
      <c r="A14" s="2406" t="str">
        <f>COVER!A19</f>
        <v>400 North Pine Street</v>
      </c>
      <c r="B14" s="2407"/>
      <c r="C14" s="2407"/>
      <c r="D14" s="2407"/>
      <c r="E14" s="2407"/>
      <c r="F14" s="2408"/>
      <c r="G14" s="1195" t="s">
        <v>1185</v>
      </c>
      <c r="H14" s="1193"/>
      <c r="I14" s="1193"/>
      <c r="J14" s="1193"/>
      <c r="K14" s="1193"/>
      <c r="L14" s="1194"/>
    </row>
    <row r="15" spans="1:29" ht="13.5" customHeight="1" x14ac:dyDescent="0.2">
      <c r="A15" s="2406" t="str">
        <f>COVER!A21</f>
        <v xml:space="preserve">Momence  </v>
      </c>
      <c r="B15" s="2407"/>
      <c r="C15" s="2407"/>
      <c r="D15" s="2407"/>
      <c r="E15" s="2407"/>
      <c r="F15" s="2408"/>
      <c r="G15" s="2403" t="str">
        <f>COVER!T15</f>
        <v>Marcie Meents Kolberg</v>
      </c>
      <c r="H15" s="2404"/>
      <c r="I15" s="2404"/>
      <c r="J15" s="2404"/>
      <c r="K15" s="2404"/>
      <c r="L15" s="2405"/>
    </row>
    <row r="16" spans="1:29" ht="12.2" customHeight="1" x14ac:dyDescent="0.2">
      <c r="A16" s="2428">
        <f>COVER!A25</f>
        <v>60954</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5" t="s">
        <v>1184</v>
      </c>
      <c r="H17" s="1193"/>
      <c r="I17" s="1193"/>
      <c r="J17" s="1193"/>
      <c r="K17" s="1197" t="s">
        <v>1183</v>
      </c>
      <c r="L17" s="1190"/>
      <c r="M17" s="1183"/>
    </row>
    <row r="18" spans="1:13" ht="12.2" customHeight="1" x14ac:dyDescent="0.2">
      <c r="A18" s="2412"/>
      <c r="B18" s="2413"/>
      <c r="C18" s="2413"/>
      <c r="D18" s="2413"/>
      <c r="E18" s="2413"/>
      <c r="F18" s="2414"/>
      <c r="G18" s="2422" t="str">
        <f>COVER!T21</f>
        <v>815-937-1997</v>
      </c>
      <c r="H18" s="2423"/>
      <c r="I18" s="2423"/>
      <c r="J18" s="2423"/>
      <c r="K18" s="2422" t="str">
        <f>COVER!X21</f>
        <v>815-935-0360</v>
      </c>
      <c r="L18" s="242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activeCell="B44" sqref="B4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4" t="str">
        <f>'Single Audit Cover'!A7</f>
        <v>Momence CUSD 1</v>
      </c>
      <c r="B1" s="2421"/>
      <c r="C1" s="2421"/>
      <c r="D1" s="2421"/>
    </row>
    <row r="2" spans="1:11" s="1212" customFormat="1" ht="12.75" x14ac:dyDescent="0.2">
      <c r="A2" s="2445">
        <f>'Single Audit Cover'!E7</f>
        <v>32046001026</v>
      </c>
      <c r="B2" s="2446"/>
      <c r="C2" s="2446"/>
      <c r="D2" s="2446"/>
    </row>
    <row r="3" spans="1:11" s="1212" customFormat="1" ht="12.75" x14ac:dyDescent="0.2">
      <c r="A3" s="2444" t="s">
        <v>1513</v>
      </c>
      <c r="B3" s="2421"/>
      <c r="C3" s="2421"/>
      <c r="D3" s="242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opLeftCell="A7" zoomScale="110" zoomScaleNormal="110" zoomScaleSheetLayoutView="100" workbookViewId="0">
      <selection activeCell="E41" sqref="E41:E4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8" t="str">
        <f>'Single Audit Cover'!A7</f>
        <v>Momence CUSD 1</v>
      </c>
      <c r="B1" s="2448"/>
      <c r="C1" s="2448"/>
      <c r="D1" s="2448"/>
      <c r="E1" s="2448"/>
    </row>
    <row r="2" spans="1:5" x14ac:dyDescent="0.2">
      <c r="A2" s="2449">
        <f>'Single Audit Cover'!E7</f>
        <v>32046001026</v>
      </c>
      <c r="B2" s="2449"/>
      <c r="C2" s="2449"/>
      <c r="D2" s="2449"/>
      <c r="E2" s="2449"/>
    </row>
    <row r="3" spans="1:5" ht="4.5" customHeight="1" x14ac:dyDescent="0.2"/>
    <row r="4" spans="1:5" x14ac:dyDescent="0.2">
      <c r="A4" s="2448" t="s">
        <v>1245</v>
      </c>
      <c r="B4" s="2448"/>
      <c r="C4" s="2448"/>
      <c r="D4" s="2448"/>
      <c r="E4" s="2448"/>
    </row>
    <row r="5" spans="1:5" x14ac:dyDescent="0.2">
      <c r="A5" s="2451" t="str">
        <f>'Single Audit Cover'!A4</f>
        <v>Year Ending June 30, 2019</v>
      </c>
      <c r="B5" s="2451"/>
      <c r="C5" s="2451"/>
      <c r="D5" s="2451"/>
      <c r="E5" s="2451"/>
    </row>
    <row r="6" spans="1:5" x14ac:dyDescent="0.2">
      <c r="A6" s="2448" t="s">
        <v>1244</v>
      </c>
      <c r="B6" s="2448"/>
      <c r="C6" s="2448"/>
      <c r="D6" s="2448"/>
      <c r="E6" s="2448"/>
    </row>
    <row r="8" spans="1:5" x14ac:dyDescent="0.2">
      <c r="A8" s="1257" t="s">
        <v>1243</v>
      </c>
    </row>
    <row r="10" spans="1:5" x14ac:dyDescent="0.2">
      <c r="A10" s="1258" t="s">
        <v>1242</v>
      </c>
      <c r="B10" s="1259" t="s">
        <v>1241</v>
      </c>
      <c r="C10" s="1259"/>
      <c r="D10" s="1260">
        <f>SUM('Acct Summary 7-8'!C7:K7)</f>
        <v>1320020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33339</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-35372</v>
      </c>
    </row>
    <row r="19" spans="1:4" ht="13.5" thickBot="1" x14ac:dyDescent="0.25">
      <c r="A19" s="1262" t="s">
        <v>1235</v>
      </c>
      <c r="D19" s="1263">
        <f>SUM(D10:D17)</f>
        <v>1317987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0"/>
      <c r="B24" s="2450"/>
      <c r="D24" s="1265"/>
    </row>
    <row r="25" spans="1:4" x14ac:dyDescent="0.2">
      <c r="A25" s="2447"/>
      <c r="B25" s="2447"/>
      <c r="D25" s="1265"/>
    </row>
    <row r="26" spans="1:4" x14ac:dyDescent="0.2">
      <c r="A26" s="2447"/>
      <c r="B26" s="2447"/>
      <c r="D26" s="1265"/>
    </row>
    <row r="27" spans="1:4" x14ac:dyDescent="0.2">
      <c r="A27" s="2447"/>
      <c r="B27" s="2447"/>
      <c r="D27" s="1265"/>
    </row>
    <row r="28" spans="1:4" x14ac:dyDescent="0.2">
      <c r="A28" s="2447"/>
      <c r="B28" s="2447"/>
      <c r="D28" s="1265"/>
    </row>
    <row r="29" spans="1:4" x14ac:dyDescent="0.2">
      <c r="A29" s="2447"/>
      <c r="B29" s="2447"/>
      <c r="D29" s="1265"/>
    </row>
    <row r="30" spans="1:4" x14ac:dyDescent="0.2">
      <c r="A30" s="2447"/>
      <c r="B30" s="2447"/>
      <c r="D30" s="1265"/>
    </row>
    <row r="32" spans="1:4" x14ac:dyDescent="0.2">
      <c r="A32" s="1257" t="s">
        <v>1233</v>
      </c>
      <c r="D32" s="1260">
        <f>SUM(D19:D30)</f>
        <v>1317987</v>
      </c>
    </row>
    <row r="33" spans="1:4" x14ac:dyDescent="0.2">
      <c r="D33" s="1266"/>
    </row>
    <row r="34" spans="1:4" x14ac:dyDescent="0.2">
      <c r="A34" s="317" t="s">
        <v>1232</v>
      </c>
    </row>
    <row r="35" spans="1:4" x14ac:dyDescent="0.2">
      <c r="A35" s="317" t="s">
        <v>1231</v>
      </c>
      <c r="B35" s="1255" t="s">
        <v>1230</v>
      </c>
      <c r="D35" s="1267">
        <f>' SEFA (4)'!F19</f>
        <v>1318607</v>
      </c>
    </row>
    <row r="37" spans="1:4" x14ac:dyDescent="0.2">
      <c r="A37" s="1257" t="s">
        <v>1229</v>
      </c>
    </row>
    <row r="39" spans="1:4" ht="13.35" customHeight="1" x14ac:dyDescent="0.2">
      <c r="A39" s="1264" t="s">
        <v>1228</v>
      </c>
    </row>
    <row r="40" spans="1:4" x14ac:dyDescent="0.2">
      <c r="A40" s="2447" t="s">
        <v>2136</v>
      </c>
      <c r="B40" s="2447"/>
      <c r="D40" s="1265">
        <v>-620</v>
      </c>
    </row>
    <row r="41" spans="1:4" x14ac:dyDescent="0.2">
      <c r="A41" s="2447"/>
      <c r="B41" s="2447"/>
      <c r="D41" s="1268"/>
    </row>
    <row r="42" spans="1:4" x14ac:dyDescent="0.2">
      <c r="A42" s="2447"/>
      <c r="B42" s="2447"/>
      <c r="D42" s="1268"/>
    </row>
    <row r="43" spans="1:4" x14ac:dyDescent="0.2">
      <c r="A43" s="2447"/>
      <c r="B43" s="2447"/>
      <c r="D43" s="1268"/>
    </row>
    <row r="44" spans="1:4" x14ac:dyDescent="0.2">
      <c r="A44" s="2447"/>
      <c r="B44" s="2447"/>
      <c r="D44" s="1268"/>
    </row>
    <row r="45" spans="1:4" x14ac:dyDescent="0.2">
      <c r="A45" s="2447"/>
      <c r="B45" s="2447"/>
      <c r="D45" s="1268"/>
    </row>
    <row r="47" spans="1:4" x14ac:dyDescent="0.2">
      <c r="B47" s="1269" t="s">
        <v>1227</v>
      </c>
      <c r="C47" s="1269"/>
      <c r="D47" s="1270">
        <f>SUM(D35:D45)</f>
        <v>1317987</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3" zoomScaleNormal="100" workbookViewId="0">
      <selection activeCell="B3" sqref="B3:M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1" t="str">
        <f>'Single Audit Cover'!A7</f>
        <v>Momence CUSD 1</v>
      </c>
      <c r="C1" s="2452"/>
      <c r="D1" s="2452"/>
      <c r="E1" s="2452"/>
      <c r="F1" s="2452"/>
      <c r="G1" s="2452"/>
      <c r="H1" s="2452"/>
      <c r="I1" s="2452"/>
      <c r="J1" s="2452"/>
      <c r="K1" s="2452"/>
      <c r="L1" s="2452"/>
      <c r="M1" s="2452"/>
    </row>
    <row r="2" spans="2:14" ht="15" x14ac:dyDescent="0.2">
      <c r="B2" s="2453">
        <f>'Single Audit Cover'!E7</f>
        <v>32046001026</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19.5" customHeight="1" x14ac:dyDescent="0.2">
      <c r="B11" s="1945" t="s">
        <v>2148</v>
      </c>
      <c r="C11" s="1338"/>
      <c r="D11" s="1339"/>
      <c r="E11" s="1340"/>
      <c r="F11" s="1340"/>
      <c r="G11" s="1340"/>
      <c r="H11" s="1340"/>
      <c r="I11" s="1340"/>
      <c r="J11" s="1340"/>
      <c r="K11" s="1340"/>
      <c r="L11" s="1337">
        <f t="shared" ref="L11:L22" si="0">+G11+I11+K11</f>
        <v>0</v>
      </c>
      <c r="M11" s="1340"/>
    </row>
    <row r="12" spans="2:14" ht="19.5" customHeight="1" x14ac:dyDescent="0.2">
      <c r="B12" s="1940" t="s">
        <v>2087</v>
      </c>
      <c r="C12" s="1338"/>
      <c r="D12" s="1339"/>
      <c r="E12" s="1340"/>
      <c r="F12" s="1340"/>
      <c r="G12" s="1340"/>
      <c r="H12" s="1340"/>
      <c r="I12" s="1340"/>
      <c r="J12" s="1340"/>
      <c r="K12" s="1340"/>
      <c r="L12" s="1337">
        <f t="shared" si="0"/>
        <v>0</v>
      </c>
      <c r="M12" s="1340"/>
    </row>
    <row r="13" spans="2:14" ht="20.100000000000001" customHeight="1" x14ac:dyDescent="0.2">
      <c r="B13" s="1334" t="s">
        <v>2088</v>
      </c>
      <c r="C13" s="1338">
        <v>84.01</v>
      </c>
      <c r="D13" s="1339" t="s">
        <v>2089</v>
      </c>
      <c r="E13" s="1340">
        <v>230879</v>
      </c>
      <c r="F13" s="1340">
        <v>193153</v>
      </c>
      <c r="G13" s="1340">
        <v>322991</v>
      </c>
      <c r="H13" s="1340">
        <v>0</v>
      </c>
      <c r="I13" s="1340">
        <v>101041</v>
      </c>
      <c r="J13" s="1340">
        <v>0</v>
      </c>
      <c r="K13" s="1340">
        <v>0</v>
      </c>
      <c r="L13" s="1337">
        <f t="shared" si="0"/>
        <v>424032</v>
      </c>
      <c r="M13" s="1340">
        <v>482315</v>
      </c>
    </row>
    <row r="14" spans="2:14" ht="20.100000000000001" customHeight="1" x14ac:dyDescent="0.2">
      <c r="B14" s="1334" t="s">
        <v>2088</v>
      </c>
      <c r="C14" s="1338">
        <v>84.01</v>
      </c>
      <c r="D14" s="1339" t="s">
        <v>2090</v>
      </c>
      <c r="E14" s="1340">
        <v>0</v>
      </c>
      <c r="F14" s="1340">
        <v>241810</v>
      </c>
      <c r="G14" s="1340">
        <v>0</v>
      </c>
      <c r="H14" s="1340">
        <v>0</v>
      </c>
      <c r="I14" s="1340">
        <v>331154</v>
      </c>
      <c r="J14" s="1340">
        <v>0</v>
      </c>
      <c r="K14" s="1340">
        <v>85440</v>
      </c>
      <c r="L14" s="1337">
        <f t="shared" si="0"/>
        <v>416594</v>
      </c>
      <c r="M14" s="1340">
        <v>457983</v>
      </c>
    </row>
    <row r="15" spans="2:14" ht="20.100000000000001" customHeight="1" x14ac:dyDescent="0.2">
      <c r="B15" s="1334" t="s">
        <v>2091</v>
      </c>
      <c r="C15" s="1338">
        <v>84.01</v>
      </c>
      <c r="D15" s="1339" t="s">
        <v>2092</v>
      </c>
      <c r="E15" s="1340">
        <v>0</v>
      </c>
      <c r="F15" s="1340">
        <v>0</v>
      </c>
      <c r="G15" s="1340">
        <v>0</v>
      </c>
      <c r="H15" s="1340">
        <v>0</v>
      </c>
      <c r="I15" s="1340">
        <v>16299</v>
      </c>
      <c r="J15" s="1340">
        <v>0</v>
      </c>
      <c r="K15" s="1340">
        <v>25636</v>
      </c>
      <c r="L15" s="1337">
        <f t="shared" si="0"/>
        <v>41935</v>
      </c>
      <c r="M15" s="1340">
        <v>49646</v>
      </c>
    </row>
    <row r="16" spans="2:14" ht="20.100000000000001" customHeight="1" x14ac:dyDescent="0.2">
      <c r="B16" s="1941" t="s">
        <v>2093</v>
      </c>
      <c r="C16" s="1338"/>
      <c r="D16" s="1339"/>
      <c r="E16" s="1942">
        <f t="shared" ref="E16:K16" si="1">SUBTOTAL(9,E13:E15)</f>
        <v>230879</v>
      </c>
      <c r="F16" s="1942">
        <f t="shared" si="1"/>
        <v>434963</v>
      </c>
      <c r="G16" s="1942">
        <f t="shared" si="1"/>
        <v>322991</v>
      </c>
      <c r="H16" s="1942">
        <f t="shared" si="1"/>
        <v>0</v>
      </c>
      <c r="I16" s="1942">
        <f t="shared" si="1"/>
        <v>448494</v>
      </c>
      <c r="J16" s="1942">
        <f t="shared" si="1"/>
        <v>0</v>
      </c>
      <c r="K16" s="1942">
        <f t="shared" si="1"/>
        <v>111076</v>
      </c>
      <c r="L16" s="1337">
        <f t="shared" si="0"/>
        <v>882561</v>
      </c>
      <c r="M16" s="1340"/>
    </row>
    <row r="17" spans="2:14" ht="20.100000000000001" customHeight="1" x14ac:dyDescent="0.2">
      <c r="B17" s="1334" t="s">
        <v>2094</v>
      </c>
      <c r="C17" s="1338">
        <v>84.367000000000004</v>
      </c>
      <c r="D17" s="1339" t="s">
        <v>2095</v>
      </c>
      <c r="E17" s="1340">
        <v>47771</v>
      </c>
      <c r="F17" s="1340">
        <v>11501</v>
      </c>
      <c r="G17" s="1340">
        <v>57680</v>
      </c>
      <c r="H17" s="1340">
        <v>0</v>
      </c>
      <c r="I17" s="1340">
        <v>1592</v>
      </c>
      <c r="J17" s="1340">
        <v>0</v>
      </c>
      <c r="K17" s="1340">
        <v>0</v>
      </c>
      <c r="L17" s="1337">
        <f t="shared" si="0"/>
        <v>59272</v>
      </c>
      <c r="M17" s="1340">
        <v>73198</v>
      </c>
    </row>
    <row r="18" spans="2:14" ht="20.100000000000001" customHeight="1" x14ac:dyDescent="0.2">
      <c r="B18" s="1334" t="s">
        <v>2094</v>
      </c>
      <c r="C18" s="1338">
        <v>84.367000000000004</v>
      </c>
      <c r="D18" s="1339" t="s">
        <v>2096</v>
      </c>
      <c r="E18" s="1340">
        <v>0</v>
      </c>
      <c r="F18" s="1340">
        <v>14109</v>
      </c>
      <c r="G18" s="1340">
        <v>0</v>
      </c>
      <c r="H18" s="1340">
        <v>0</v>
      </c>
      <c r="I18" s="1340">
        <v>49287</v>
      </c>
      <c r="J18" s="1340">
        <v>0</v>
      </c>
      <c r="K18" s="1340">
        <v>3244</v>
      </c>
      <c r="L18" s="1337">
        <f t="shared" si="0"/>
        <v>52531</v>
      </c>
      <c r="M18" s="1340">
        <v>86782</v>
      </c>
    </row>
    <row r="19" spans="2:14" ht="20.100000000000001" customHeight="1" x14ac:dyDescent="0.2">
      <c r="B19" s="1941" t="s">
        <v>2097</v>
      </c>
      <c r="C19" s="1338"/>
      <c r="D19" s="1339"/>
      <c r="E19" s="1942">
        <f t="shared" ref="E19:K19" si="2">SUBTOTAL(9,E17:E18)</f>
        <v>47771</v>
      </c>
      <c r="F19" s="1942">
        <f t="shared" si="2"/>
        <v>25610</v>
      </c>
      <c r="G19" s="1942">
        <f t="shared" si="2"/>
        <v>57680</v>
      </c>
      <c r="H19" s="1942">
        <f t="shared" si="2"/>
        <v>0</v>
      </c>
      <c r="I19" s="1942">
        <f t="shared" si="2"/>
        <v>50879</v>
      </c>
      <c r="J19" s="1942">
        <f t="shared" si="2"/>
        <v>0</v>
      </c>
      <c r="K19" s="1942">
        <f t="shared" si="2"/>
        <v>3244</v>
      </c>
      <c r="L19" s="1337">
        <f t="shared" si="0"/>
        <v>111803</v>
      </c>
      <c r="M19" s="1340"/>
    </row>
    <row r="20" spans="2:14" ht="20.100000000000001" customHeight="1" x14ac:dyDescent="0.2">
      <c r="B20" s="1334" t="s">
        <v>2098</v>
      </c>
      <c r="C20" s="1338">
        <v>84.364999999999995</v>
      </c>
      <c r="D20" s="1339" t="s">
        <v>2099</v>
      </c>
      <c r="E20" s="1943">
        <v>5464</v>
      </c>
      <c r="F20" s="1943">
        <v>7846</v>
      </c>
      <c r="G20" s="1943">
        <v>12567</v>
      </c>
      <c r="H20" s="1943">
        <v>0</v>
      </c>
      <c r="I20" s="1943">
        <v>743</v>
      </c>
      <c r="J20" s="1943">
        <v>0</v>
      </c>
      <c r="K20" s="1340">
        <v>0</v>
      </c>
      <c r="L20" s="1337">
        <f t="shared" si="0"/>
        <v>13310</v>
      </c>
      <c r="M20" s="1340">
        <v>19691</v>
      </c>
    </row>
    <row r="21" spans="2:14" ht="20.100000000000001" customHeight="1" x14ac:dyDescent="0.2">
      <c r="B21" s="1334" t="s">
        <v>2098</v>
      </c>
      <c r="C21" s="1338">
        <v>84.364999999999995</v>
      </c>
      <c r="D21" s="1339" t="s">
        <v>2100</v>
      </c>
      <c r="E21" s="1340">
        <v>0</v>
      </c>
      <c r="F21" s="1340">
        <v>8995</v>
      </c>
      <c r="G21" s="1340">
        <v>0</v>
      </c>
      <c r="H21" s="1340">
        <v>0</v>
      </c>
      <c r="I21" s="1340">
        <v>18245</v>
      </c>
      <c r="J21" s="1340">
        <v>0</v>
      </c>
      <c r="K21" s="1340">
        <v>2728</v>
      </c>
      <c r="L21" s="1337">
        <f t="shared" si="0"/>
        <v>20973</v>
      </c>
      <c r="M21" s="1340">
        <v>23074</v>
      </c>
    </row>
    <row r="22" spans="2:14" ht="20.100000000000001" customHeight="1" x14ac:dyDescent="0.2">
      <c r="B22" s="1941" t="s">
        <v>2101</v>
      </c>
      <c r="C22" s="1338"/>
      <c r="D22" s="1339"/>
      <c r="E22" s="1942">
        <f t="shared" ref="E22:K22" si="3">SUBTOTAL(9,E20:E21)</f>
        <v>5464</v>
      </c>
      <c r="F22" s="1942">
        <f t="shared" si="3"/>
        <v>16841</v>
      </c>
      <c r="G22" s="1942">
        <f t="shared" si="3"/>
        <v>12567</v>
      </c>
      <c r="H22" s="1942">
        <f t="shared" si="3"/>
        <v>0</v>
      </c>
      <c r="I22" s="1942">
        <f t="shared" si="3"/>
        <v>18988</v>
      </c>
      <c r="J22" s="1942">
        <f t="shared" si="3"/>
        <v>0</v>
      </c>
      <c r="K22" s="1942">
        <f t="shared" si="3"/>
        <v>2728</v>
      </c>
      <c r="L22" s="1337">
        <f t="shared" si="0"/>
        <v>34283</v>
      </c>
      <c r="M22" s="1340"/>
    </row>
    <row r="23" spans="2:14" ht="20.100000000000001" customHeight="1" x14ac:dyDescent="0.2">
      <c r="B23" s="1334"/>
      <c r="C23" s="1338"/>
      <c r="D23" s="1339"/>
      <c r="E23" s="1340"/>
      <c r="F23" s="1340"/>
      <c r="G23" s="1340"/>
      <c r="H23" s="1340"/>
      <c r="I23" s="1340"/>
      <c r="J23" s="1340"/>
      <c r="K23" s="1340"/>
      <c r="L23" s="1337">
        <f t="shared" ref="L23:L27" si="4">+G23+I23+K23</f>
        <v>0</v>
      </c>
      <c r="M23" s="1340"/>
    </row>
    <row r="24" spans="2:14" ht="20.100000000000001" customHeight="1" x14ac:dyDescent="0.2">
      <c r="B24" s="1334"/>
      <c r="C24" s="1338"/>
      <c r="D24" s="1339"/>
      <c r="E24" s="1340"/>
      <c r="F24" s="1340"/>
      <c r="G24" s="1340"/>
      <c r="H24" s="1340"/>
      <c r="I24" s="1340"/>
      <c r="J24" s="1340"/>
      <c r="K24" s="1340"/>
      <c r="L24" s="1337">
        <f t="shared" si="4"/>
        <v>0</v>
      </c>
      <c r="M24" s="1340"/>
    </row>
    <row r="25" spans="2:14" ht="20.100000000000001" customHeight="1" x14ac:dyDescent="0.2">
      <c r="B25" s="1334"/>
      <c r="C25" s="1338"/>
      <c r="D25" s="1339"/>
      <c r="E25" s="1340"/>
      <c r="F25" s="1340"/>
      <c r="G25" s="1340"/>
      <c r="H25" s="1340"/>
      <c r="I25" s="1340"/>
      <c r="J25" s="1340"/>
      <c r="K25" s="1340"/>
      <c r="L25" s="1337">
        <f t="shared" si="4"/>
        <v>0</v>
      </c>
      <c r="M25" s="1340"/>
    </row>
    <row r="26" spans="2:14" ht="20.100000000000001" customHeight="1" x14ac:dyDescent="0.2">
      <c r="B26" s="1334"/>
      <c r="C26" s="1338"/>
      <c r="D26" s="1339"/>
      <c r="E26" s="1340"/>
      <c r="F26" s="1340"/>
      <c r="G26" s="1340"/>
      <c r="H26" s="1340"/>
      <c r="I26" s="1340"/>
      <c r="J26" s="1340"/>
      <c r="K26" s="1340"/>
      <c r="L26" s="1337">
        <f t="shared" si="4"/>
        <v>0</v>
      </c>
      <c r="M26" s="1340"/>
    </row>
    <row r="27" spans="2:14" ht="20.100000000000001" customHeight="1" x14ac:dyDescent="0.2">
      <c r="B27" s="1334"/>
      <c r="C27" s="1338"/>
      <c r="D27" s="1339"/>
      <c r="E27" s="1340"/>
      <c r="F27" s="1340"/>
      <c r="G27" s="1340"/>
      <c r="H27" s="1340"/>
      <c r="I27" s="1340"/>
      <c r="J27" s="1340"/>
      <c r="K27" s="1340"/>
      <c r="L27" s="1337">
        <f t="shared" si="4"/>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zoomScaleNormal="100" workbookViewId="0">
      <selection activeCell="M14" sqref="M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1" t="str">
        <f>'Single Audit Cover'!A7</f>
        <v>Momence CUSD 1</v>
      </c>
      <c r="C1" s="2452"/>
      <c r="D1" s="2452"/>
      <c r="E1" s="2452"/>
      <c r="F1" s="2452"/>
      <c r="G1" s="2452"/>
      <c r="H1" s="2452"/>
      <c r="I1" s="2452"/>
      <c r="J1" s="2452"/>
      <c r="K1" s="2452"/>
      <c r="L1" s="2452"/>
      <c r="M1" s="2452"/>
    </row>
    <row r="2" spans="2:14" ht="15" x14ac:dyDescent="0.2">
      <c r="B2" s="2453">
        <f>'Single Audit Cover'!E7</f>
        <v>32046001026</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8" t="s">
        <v>2120</v>
      </c>
      <c r="C11" s="1338"/>
      <c r="D11" s="1339"/>
      <c r="E11" s="1340"/>
      <c r="F11" s="1340"/>
      <c r="G11" s="1340"/>
      <c r="H11" s="1340"/>
      <c r="I11" s="1340"/>
      <c r="J11" s="1340"/>
      <c r="K11" s="1340"/>
      <c r="L11" s="1337">
        <f t="shared" ref="L11:L23" si="0">+G11+I11+K11</f>
        <v>0</v>
      </c>
      <c r="M11" s="1337"/>
    </row>
    <row r="12" spans="2:14" ht="20.100000000000001" customHeight="1" x14ac:dyDescent="0.2">
      <c r="B12" s="1334" t="s">
        <v>2118</v>
      </c>
      <c r="C12" s="1338">
        <v>84.027000000000001</v>
      </c>
      <c r="D12" s="1339" t="s">
        <v>2119</v>
      </c>
      <c r="E12" s="1943">
        <v>103150</v>
      </c>
      <c r="F12" s="1943">
        <v>96973</v>
      </c>
      <c r="G12" s="1943">
        <v>151555</v>
      </c>
      <c r="H12" s="1943">
        <v>0</v>
      </c>
      <c r="I12" s="1943">
        <v>48568</v>
      </c>
      <c r="J12" s="1943">
        <v>0</v>
      </c>
      <c r="K12" s="1340">
        <v>0</v>
      </c>
      <c r="L12" s="1337">
        <f t="shared" si="0"/>
        <v>200123</v>
      </c>
      <c r="M12" s="1340" t="s">
        <v>2103</v>
      </c>
    </row>
    <row r="13" spans="2:14" ht="20.100000000000001" customHeight="1" x14ac:dyDescent="0.2">
      <c r="B13" s="1334" t="s">
        <v>2118</v>
      </c>
      <c r="C13" s="1338">
        <v>84.027000000000001</v>
      </c>
      <c r="D13" s="1339" t="s">
        <v>2117</v>
      </c>
      <c r="E13" s="1340">
        <v>0</v>
      </c>
      <c r="F13" s="1340">
        <v>84301</v>
      </c>
      <c r="G13" s="1340">
        <v>0</v>
      </c>
      <c r="H13" s="1340">
        <v>0</v>
      </c>
      <c r="I13" s="1340">
        <v>92182</v>
      </c>
      <c r="J13" s="1340">
        <v>0</v>
      </c>
      <c r="K13" s="1340">
        <v>0</v>
      </c>
      <c r="L13" s="1337">
        <f t="shared" si="0"/>
        <v>92182</v>
      </c>
      <c r="M13" s="1340" t="s">
        <v>2103</v>
      </c>
    </row>
    <row r="14" spans="2:14" ht="20.100000000000001" customHeight="1" x14ac:dyDescent="0.2">
      <c r="B14" s="1334" t="s">
        <v>2115</v>
      </c>
      <c r="C14" s="1338">
        <v>84.027000000000001</v>
      </c>
      <c r="D14" s="1339" t="s">
        <v>2116</v>
      </c>
      <c r="E14" s="1340">
        <v>174724</v>
      </c>
      <c r="F14" s="1340">
        <v>106325</v>
      </c>
      <c r="G14" s="1340">
        <v>242249</v>
      </c>
      <c r="H14" s="1340">
        <v>0</v>
      </c>
      <c r="I14" s="1340">
        <v>38800</v>
      </c>
      <c r="J14" s="1340">
        <v>0</v>
      </c>
      <c r="K14" s="1340">
        <v>0</v>
      </c>
      <c r="L14" s="1337">
        <f t="shared" si="0"/>
        <v>281049</v>
      </c>
      <c r="M14" s="1340">
        <v>285877</v>
      </c>
    </row>
    <row r="15" spans="2:14" ht="20.100000000000001" customHeight="1" x14ac:dyDescent="0.2">
      <c r="B15" s="1334" t="s">
        <v>2115</v>
      </c>
      <c r="C15" s="1338">
        <v>84.027000000000001</v>
      </c>
      <c r="D15" s="1339" t="s">
        <v>2114</v>
      </c>
      <c r="E15" s="1340">
        <v>0</v>
      </c>
      <c r="F15" s="1340">
        <v>164796</v>
      </c>
      <c r="G15" s="1340">
        <v>0</v>
      </c>
      <c r="H15" s="1340">
        <v>0</v>
      </c>
      <c r="I15" s="1340">
        <v>247424</v>
      </c>
      <c r="J15" s="1340">
        <v>0</v>
      </c>
      <c r="K15" s="1340">
        <v>32940</v>
      </c>
      <c r="L15" s="1337">
        <f t="shared" si="0"/>
        <v>280364</v>
      </c>
      <c r="M15" s="1340">
        <v>280364</v>
      </c>
    </row>
    <row r="16" spans="2:14" ht="20.100000000000001" customHeight="1" x14ac:dyDescent="0.2">
      <c r="B16" s="1941" t="s">
        <v>2113</v>
      </c>
      <c r="C16" s="1338"/>
      <c r="D16" s="1339"/>
      <c r="E16" s="1942">
        <f t="shared" ref="E16:K16" si="1">SUBTOTAL(9,E11:E15)</f>
        <v>277874</v>
      </c>
      <c r="F16" s="1942">
        <f t="shared" si="1"/>
        <v>452395</v>
      </c>
      <c r="G16" s="1942">
        <f t="shared" si="1"/>
        <v>393804</v>
      </c>
      <c r="H16" s="1942">
        <f t="shared" si="1"/>
        <v>0</v>
      </c>
      <c r="I16" s="1942">
        <f t="shared" si="1"/>
        <v>426974</v>
      </c>
      <c r="J16" s="1942">
        <f t="shared" si="1"/>
        <v>0</v>
      </c>
      <c r="K16" s="1942">
        <f t="shared" si="1"/>
        <v>32940</v>
      </c>
      <c r="L16" s="1947">
        <f t="shared" si="0"/>
        <v>853718</v>
      </c>
      <c r="M16" s="1340"/>
    </row>
    <row r="17" spans="2:14" ht="20.100000000000001" customHeight="1" x14ac:dyDescent="0.2">
      <c r="B17" s="1334" t="s">
        <v>2111</v>
      </c>
      <c r="C17" s="1338">
        <v>84.173000000000002</v>
      </c>
      <c r="D17" s="1339" t="s">
        <v>2112</v>
      </c>
      <c r="E17" s="1340">
        <v>0</v>
      </c>
      <c r="F17" s="1340">
        <v>5479</v>
      </c>
      <c r="G17" s="1340">
        <v>4967</v>
      </c>
      <c r="H17" s="1340">
        <v>0</v>
      </c>
      <c r="I17" s="1340">
        <v>512</v>
      </c>
      <c r="J17" s="1340">
        <v>0</v>
      </c>
      <c r="K17" s="1340">
        <v>0</v>
      </c>
      <c r="L17" s="1337">
        <f t="shared" si="0"/>
        <v>5479</v>
      </c>
      <c r="M17" s="1340">
        <v>5483</v>
      </c>
    </row>
    <row r="18" spans="2:14" ht="20.100000000000001" customHeight="1" x14ac:dyDescent="0.2">
      <c r="B18" s="1334" t="s">
        <v>2111</v>
      </c>
      <c r="C18" s="1338">
        <v>84.173000000000002</v>
      </c>
      <c r="D18" s="1339" t="s">
        <v>2110</v>
      </c>
      <c r="E18" s="1340">
        <v>0</v>
      </c>
      <c r="F18" s="1340">
        <v>2434</v>
      </c>
      <c r="G18" s="1340">
        <v>0</v>
      </c>
      <c r="H18" s="1340">
        <v>0</v>
      </c>
      <c r="I18" s="1340">
        <v>5704</v>
      </c>
      <c r="J18" s="1340">
        <v>0</v>
      </c>
      <c r="K18" s="1340">
        <v>340</v>
      </c>
      <c r="L18" s="1337">
        <f t="shared" si="0"/>
        <v>6044</v>
      </c>
      <c r="M18" s="1340">
        <v>6044</v>
      </c>
    </row>
    <row r="19" spans="2:14" ht="20.100000000000001" customHeight="1" x14ac:dyDescent="0.2">
      <c r="B19" s="1941" t="s">
        <v>2109</v>
      </c>
      <c r="C19" s="1338"/>
      <c r="D19" s="1339"/>
      <c r="E19" s="1942">
        <f t="shared" ref="E19:K19" si="2">SUBTOTAL(9,E17:E18)</f>
        <v>0</v>
      </c>
      <c r="F19" s="1942">
        <f t="shared" si="2"/>
        <v>7913</v>
      </c>
      <c r="G19" s="1942">
        <f t="shared" si="2"/>
        <v>4967</v>
      </c>
      <c r="H19" s="1942">
        <f t="shared" si="2"/>
        <v>0</v>
      </c>
      <c r="I19" s="1942">
        <f t="shared" si="2"/>
        <v>6216</v>
      </c>
      <c r="J19" s="1942">
        <f t="shared" si="2"/>
        <v>0</v>
      </c>
      <c r="K19" s="1942">
        <f t="shared" si="2"/>
        <v>340</v>
      </c>
      <c r="L19" s="1947">
        <f t="shared" si="0"/>
        <v>11523</v>
      </c>
      <c r="M19" s="1340"/>
    </row>
    <row r="20" spans="2:14" ht="20.100000000000001" customHeight="1" x14ac:dyDescent="0.2">
      <c r="B20" s="1948" t="s">
        <v>2108</v>
      </c>
      <c r="C20" s="1338"/>
      <c r="D20" s="1339"/>
      <c r="E20" s="1942">
        <f t="shared" ref="E20:K20" si="3">SUBTOTAL(9,E12:E19)</f>
        <v>277874</v>
      </c>
      <c r="F20" s="1942">
        <f t="shared" si="3"/>
        <v>460308</v>
      </c>
      <c r="G20" s="1942">
        <f t="shared" si="3"/>
        <v>398771</v>
      </c>
      <c r="H20" s="1942">
        <f t="shared" si="3"/>
        <v>0</v>
      </c>
      <c r="I20" s="1942">
        <f t="shared" si="3"/>
        <v>433190</v>
      </c>
      <c r="J20" s="1942">
        <f t="shared" si="3"/>
        <v>0</v>
      </c>
      <c r="K20" s="1942">
        <f t="shared" si="3"/>
        <v>33280</v>
      </c>
      <c r="L20" s="1947">
        <f t="shared" si="0"/>
        <v>865241</v>
      </c>
      <c r="M20" s="1340"/>
    </row>
    <row r="21" spans="2:14" ht="20.100000000000001" customHeight="1" x14ac:dyDescent="0.2">
      <c r="B21" s="1945" t="s">
        <v>2107</v>
      </c>
      <c r="C21" s="1338"/>
      <c r="D21" s="1339"/>
      <c r="E21" s="1944">
        <f>SUBTOTAL(9,' SEFA'!E12:E27,' SEFA (2)'!E11:E20)</f>
        <v>561988</v>
      </c>
      <c r="F21" s="1944">
        <f>SUBTOTAL(9,' SEFA'!F12:F27,' SEFA (2)'!F11:F20)</f>
        <v>937722</v>
      </c>
      <c r="G21" s="1944">
        <f>SUBTOTAL(9,' SEFA'!G12:G27,' SEFA (2)'!G11:G20)</f>
        <v>792009</v>
      </c>
      <c r="H21" s="1944">
        <f>SUBTOTAL(9,' SEFA'!H12:H27,' SEFA (2)'!H11:H20)</f>
        <v>0</v>
      </c>
      <c r="I21" s="1944">
        <f>SUBTOTAL(9,' SEFA'!I12:I27,' SEFA (2)'!I11:I20)</f>
        <v>951551</v>
      </c>
      <c r="J21" s="1944">
        <f>SUBTOTAL(9,' SEFA'!J12:J27,' SEFA (2)'!J11:J20)</f>
        <v>0</v>
      </c>
      <c r="K21" s="1944">
        <f>SUBTOTAL(9,' SEFA'!K12:K27,' SEFA (2)'!K11:K20)</f>
        <v>150328</v>
      </c>
      <c r="L21" s="1946">
        <f t="shared" si="0"/>
        <v>1893888</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945" t="s">
        <v>2106</v>
      </c>
      <c r="C23" s="1338"/>
      <c r="D23" s="1339"/>
      <c r="E23" s="1340"/>
      <c r="F23" s="1340"/>
      <c r="G23" s="1340"/>
      <c r="H23" s="1340"/>
      <c r="I23" s="1340"/>
      <c r="J23" s="1340"/>
      <c r="K23" s="1340"/>
      <c r="L23" s="1337">
        <f t="shared" si="0"/>
        <v>0</v>
      </c>
      <c r="M23" s="1340"/>
    </row>
    <row r="24" spans="2:14" ht="20.100000000000001" customHeight="1" x14ac:dyDescent="0.2">
      <c r="B24" s="1940" t="s">
        <v>2105</v>
      </c>
      <c r="C24" s="1338"/>
      <c r="D24" s="1339"/>
      <c r="E24" s="1340"/>
      <c r="F24" s="1340"/>
      <c r="G24" s="1340"/>
      <c r="H24" s="1340"/>
      <c r="I24" s="1340"/>
      <c r="J24" s="1340"/>
      <c r="K24" s="1340"/>
      <c r="L24" s="1337"/>
      <c r="M24" s="1340"/>
    </row>
    <row r="25" spans="2:14" ht="20.100000000000001" customHeight="1" x14ac:dyDescent="0.2">
      <c r="B25" s="1334" t="s">
        <v>2104</v>
      </c>
      <c r="C25" s="1338">
        <v>93.778000000000006</v>
      </c>
      <c r="D25" s="1339" t="s">
        <v>1836</v>
      </c>
      <c r="E25" s="1340">
        <v>21174</v>
      </c>
      <c r="F25" s="1340">
        <v>0</v>
      </c>
      <c r="G25" s="1340">
        <v>21174</v>
      </c>
      <c r="H25" s="1340">
        <v>0</v>
      </c>
      <c r="I25" s="1340">
        <v>0</v>
      </c>
      <c r="J25" s="1340">
        <v>0</v>
      </c>
      <c r="K25" s="1340">
        <v>0</v>
      </c>
      <c r="L25" s="1337">
        <f>+G25+I25+K25</f>
        <v>21174</v>
      </c>
      <c r="M25" s="1340" t="s">
        <v>2103</v>
      </c>
    </row>
    <row r="26" spans="2:14" ht="20.100000000000001" customHeight="1" x14ac:dyDescent="0.2">
      <c r="B26" s="1334" t="s">
        <v>2104</v>
      </c>
      <c r="C26" s="1338">
        <v>93.778000000000006</v>
      </c>
      <c r="D26" s="1339" t="s">
        <v>1985</v>
      </c>
      <c r="E26" s="1340">
        <v>0</v>
      </c>
      <c r="F26" s="1340">
        <v>15507</v>
      </c>
      <c r="G26" s="1340">
        <v>0</v>
      </c>
      <c r="H26" s="1340">
        <v>0</v>
      </c>
      <c r="I26" s="1340">
        <v>28812</v>
      </c>
      <c r="J26" s="1340">
        <v>0</v>
      </c>
      <c r="K26" s="1340">
        <v>0</v>
      </c>
      <c r="L26" s="1337">
        <f>+G26+I26+K26</f>
        <v>28812</v>
      </c>
      <c r="M26" s="1340" t="s">
        <v>2103</v>
      </c>
    </row>
    <row r="27" spans="2:14" ht="20.100000000000001" customHeight="1" x14ac:dyDescent="0.2">
      <c r="B27" s="1945" t="s">
        <v>2102</v>
      </c>
      <c r="C27" s="1338"/>
      <c r="D27" s="1339"/>
      <c r="E27" s="1944">
        <f>SUBTOTAL(9,E25:E26)</f>
        <v>21174</v>
      </c>
      <c r="F27" s="1944">
        <f t="shared" ref="F27:K27" si="4">SUBTOTAL(9,F25:F26)</f>
        <v>15507</v>
      </c>
      <c r="G27" s="1944">
        <f t="shared" si="4"/>
        <v>21174</v>
      </c>
      <c r="H27" s="1944">
        <f t="shared" si="4"/>
        <v>0</v>
      </c>
      <c r="I27" s="1944">
        <f t="shared" si="4"/>
        <v>28812</v>
      </c>
      <c r="J27" s="1944">
        <f t="shared" si="4"/>
        <v>0</v>
      </c>
      <c r="K27" s="1944">
        <f t="shared" si="4"/>
        <v>0</v>
      </c>
      <c r="L27" s="1337">
        <f>+G27+I27+K27</f>
        <v>49986</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zoomScaleNormal="100" workbookViewId="0">
      <selection activeCell="B16" sqref="B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1" t="str">
        <f>'Single Audit Cover'!A7</f>
        <v>Momence CUSD 1</v>
      </c>
      <c r="C1" s="2452"/>
      <c r="D1" s="2452"/>
      <c r="E1" s="2452"/>
      <c r="F1" s="2452"/>
      <c r="G1" s="2452"/>
      <c r="H1" s="2452"/>
      <c r="I1" s="2452"/>
      <c r="J1" s="2452"/>
      <c r="K1" s="2452"/>
      <c r="L1" s="2452"/>
      <c r="M1" s="2452"/>
    </row>
    <row r="2" spans="2:14" ht="15" x14ac:dyDescent="0.2">
      <c r="B2" s="2453">
        <f>'Single Audit Cover'!E7</f>
        <v>32046001026</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5" t="s">
        <v>2130</v>
      </c>
      <c r="C11" s="1335"/>
      <c r="D11" s="1336"/>
      <c r="E11" s="1337"/>
      <c r="F11" s="1337"/>
      <c r="G11" s="1337"/>
      <c r="H11" s="1337"/>
      <c r="I11" s="1337"/>
      <c r="J11" s="1337"/>
      <c r="K11" s="1337"/>
      <c r="L11" s="1337">
        <f t="shared" ref="L11:L25" si="0">+G11+I11+K11</f>
        <v>0</v>
      </c>
      <c r="M11" s="1337"/>
    </row>
    <row r="12" spans="2:14" ht="20.100000000000001" customHeight="1" x14ac:dyDescent="0.2">
      <c r="B12" s="1940" t="s">
        <v>2087</v>
      </c>
      <c r="C12" s="1338"/>
      <c r="D12" s="1339"/>
      <c r="E12" s="1340"/>
      <c r="F12" s="1340"/>
      <c r="G12" s="1340"/>
      <c r="H12" s="1340"/>
      <c r="I12" s="1340"/>
      <c r="J12" s="1340"/>
      <c r="K12" s="1340"/>
      <c r="L12" s="1337">
        <f t="shared" si="0"/>
        <v>0</v>
      </c>
      <c r="M12" s="1340"/>
    </row>
    <row r="13" spans="2:14" ht="20.100000000000001" customHeight="1" x14ac:dyDescent="0.2">
      <c r="B13" s="1334" t="s">
        <v>2128</v>
      </c>
      <c r="C13" s="1338">
        <v>10.558</v>
      </c>
      <c r="D13" s="1339" t="s">
        <v>2129</v>
      </c>
      <c r="E13" s="1340">
        <v>0</v>
      </c>
      <c r="F13" s="1340">
        <v>1232</v>
      </c>
      <c r="G13" s="1340">
        <v>0</v>
      </c>
      <c r="H13" s="1340">
        <v>0</v>
      </c>
      <c r="I13" s="1340">
        <v>1232</v>
      </c>
      <c r="J13" s="1340">
        <v>0</v>
      </c>
      <c r="K13" s="1340">
        <v>0</v>
      </c>
      <c r="L13" s="1337">
        <f t="shared" si="0"/>
        <v>1232</v>
      </c>
      <c r="M13" s="1340" t="s">
        <v>2103</v>
      </c>
    </row>
    <row r="14" spans="2:14" ht="20.100000000000001" customHeight="1" x14ac:dyDescent="0.2">
      <c r="B14" s="1334" t="s">
        <v>2128</v>
      </c>
      <c r="C14" s="1338">
        <v>10.558</v>
      </c>
      <c r="D14" s="1339" t="s">
        <v>2127</v>
      </c>
      <c r="E14" s="1340">
        <v>0</v>
      </c>
      <c r="F14" s="1340">
        <v>6814</v>
      </c>
      <c r="G14" s="1340">
        <v>0</v>
      </c>
      <c r="H14" s="1340">
        <v>0</v>
      </c>
      <c r="I14" s="1340">
        <v>6814</v>
      </c>
      <c r="J14" s="1340">
        <v>0</v>
      </c>
      <c r="K14" s="1340">
        <v>0</v>
      </c>
      <c r="L14" s="1337">
        <f t="shared" si="0"/>
        <v>6814</v>
      </c>
      <c r="M14" s="1340" t="s">
        <v>2103</v>
      </c>
    </row>
    <row r="15" spans="2:14" ht="20.100000000000001" customHeight="1" x14ac:dyDescent="0.2">
      <c r="B15" s="1941" t="s">
        <v>2126</v>
      </c>
      <c r="C15" s="1338"/>
      <c r="D15" s="1339"/>
      <c r="E15" s="1942">
        <f t="shared" ref="E15:K15" si="1">SUBTOTAL(9,E11:E14)</f>
        <v>0</v>
      </c>
      <c r="F15" s="1942">
        <f t="shared" si="1"/>
        <v>8046</v>
      </c>
      <c r="G15" s="1942">
        <f t="shared" si="1"/>
        <v>0</v>
      </c>
      <c r="H15" s="1942">
        <f t="shared" si="1"/>
        <v>0</v>
      </c>
      <c r="I15" s="1942">
        <f t="shared" si="1"/>
        <v>8046</v>
      </c>
      <c r="J15" s="1942">
        <f t="shared" si="1"/>
        <v>0</v>
      </c>
      <c r="K15" s="1942">
        <f t="shared" si="1"/>
        <v>0</v>
      </c>
      <c r="L15" s="1947">
        <f t="shared" si="0"/>
        <v>8046</v>
      </c>
      <c r="M15" s="1340"/>
    </row>
    <row r="16" spans="2:14" ht="20.100000000000001" customHeight="1" x14ac:dyDescent="0.2">
      <c r="B16" s="1940"/>
      <c r="C16" s="1338"/>
      <c r="D16" s="1339"/>
      <c r="E16" s="1340"/>
      <c r="F16" s="1340"/>
      <c r="G16" s="1340"/>
      <c r="H16" s="1340"/>
      <c r="I16" s="1340"/>
      <c r="J16" s="1340"/>
      <c r="K16" s="1340"/>
      <c r="L16" s="1337">
        <f t="shared" si="0"/>
        <v>0</v>
      </c>
      <c r="M16" s="1340"/>
    </row>
    <row r="17" spans="2:14" ht="20.100000000000001" customHeight="1" x14ac:dyDescent="0.2">
      <c r="B17" s="1948" t="s">
        <v>2199</v>
      </c>
      <c r="C17" s="1338"/>
      <c r="D17" s="1339"/>
      <c r="E17" s="1340"/>
      <c r="F17" s="1340"/>
      <c r="G17" s="1340"/>
      <c r="H17" s="1340"/>
      <c r="I17" s="1340"/>
      <c r="J17" s="1340"/>
      <c r="K17" s="1340"/>
      <c r="L17" s="1337">
        <f t="shared" si="0"/>
        <v>0</v>
      </c>
      <c r="M17" s="1340"/>
    </row>
    <row r="18" spans="2:14" ht="20.100000000000001" customHeight="1" x14ac:dyDescent="0.2">
      <c r="B18" s="1334" t="s">
        <v>2194</v>
      </c>
      <c r="C18" s="1338">
        <v>10.553000000000001</v>
      </c>
      <c r="D18" s="1338" t="s">
        <v>2125</v>
      </c>
      <c r="E18" s="1340">
        <v>46647</v>
      </c>
      <c r="F18" s="1340">
        <v>11276</v>
      </c>
      <c r="G18" s="1340">
        <v>46647</v>
      </c>
      <c r="H18" s="1340">
        <v>0</v>
      </c>
      <c r="I18" s="1340">
        <v>11276</v>
      </c>
      <c r="J18" s="1340">
        <v>0</v>
      </c>
      <c r="K18" s="1340">
        <v>0</v>
      </c>
      <c r="L18" s="1337">
        <f t="shared" si="0"/>
        <v>57923</v>
      </c>
      <c r="M18" s="1340" t="s">
        <v>2103</v>
      </c>
    </row>
    <row r="19" spans="2:14" ht="20.100000000000001" customHeight="1" x14ac:dyDescent="0.2">
      <c r="B19" s="1334" t="s">
        <v>2194</v>
      </c>
      <c r="C19" s="1338">
        <v>10.553000000000001</v>
      </c>
      <c r="D19" s="1338" t="s">
        <v>2124</v>
      </c>
      <c r="E19" s="1340">
        <v>0</v>
      </c>
      <c r="F19" s="1340">
        <v>47269</v>
      </c>
      <c r="G19" s="1340">
        <v>0</v>
      </c>
      <c r="H19" s="1340">
        <v>0</v>
      </c>
      <c r="I19" s="1340">
        <v>47269</v>
      </c>
      <c r="J19" s="1340">
        <v>0</v>
      </c>
      <c r="K19" s="1340">
        <v>0</v>
      </c>
      <c r="L19" s="1337">
        <f t="shared" si="0"/>
        <v>47269</v>
      </c>
      <c r="M19" s="1340" t="s">
        <v>2103</v>
      </c>
    </row>
    <row r="20" spans="2:14" ht="20.100000000000001" customHeight="1" x14ac:dyDescent="0.2">
      <c r="B20" s="1941" t="s">
        <v>2195</v>
      </c>
      <c r="C20" s="1338"/>
      <c r="D20" s="1338"/>
      <c r="E20" s="1942">
        <f t="shared" ref="E20:K20" si="2">SUBTOTAL(9,E18:E19)</f>
        <v>46647</v>
      </c>
      <c r="F20" s="1942">
        <f t="shared" si="2"/>
        <v>58545</v>
      </c>
      <c r="G20" s="1942">
        <f t="shared" si="2"/>
        <v>46647</v>
      </c>
      <c r="H20" s="1942">
        <f t="shared" si="2"/>
        <v>0</v>
      </c>
      <c r="I20" s="1942">
        <f t="shared" si="2"/>
        <v>58545</v>
      </c>
      <c r="J20" s="1942">
        <f t="shared" si="2"/>
        <v>0</v>
      </c>
      <c r="K20" s="1942">
        <f t="shared" si="2"/>
        <v>0</v>
      </c>
      <c r="L20" s="1947">
        <f t="shared" si="0"/>
        <v>105192</v>
      </c>
      <c r="M20" s="1340"/>
    </row>
    <row r="21" spans="2:14" ht="20.100000000000001" customHeight="1" x14ac:dyDescent="0.2">
      <c r="B21" s="1334" t="s">
        <v>2196</v>
      </c>
      <c r="C21" s="1338">
        <v>10.555</v>
      </c>
      <c r="D21" s="1338" t="s">
        <v>2123</v>
      </c>
      <c r="E21" s="1340">
        <v>214115</v>
      </c>
      <c r="F21" s="1340">
        <v>43834</v>
      </c>
      <c r="G21" s="1340">
        <v>214115</v>
      </c>
      <c r="H21" s="1340">
        <v>0</v>
      </c>
      <c r="I21" s="1340">
        <v>43834</v>
      </c>
      <c r="J21" s="1340">
        <v>0</v>
      </c>
      <c r="K21" s="1340">
        <v>0</v>
      </c>
      <c r="L21" s="1337">
        <f t="shared" si="0"/>
        <v>257949</v>
      </c>
      <c r="M21" s="1340" t="s">
        <v>2103</v>
      </c>
    </row>
    <row r="22" spans="2:14" ht="20.100000000000001" customHeight="1" x14ac:dyDescent="0.2">
      <c r="B22" s="1334" t="s">
        <v>2196</v>
      </c>
      <c r="C22" s="1338">
        <v>10.555</v>
      </c>
      <c r="D22" s="1338" t="s">
        <v>2122</v>
      </c>
      <c r="E22" s="1340">
        <v>0</v>
      </c>
      <c r="F22" s="1340">
        <v>221614</v>
      </c>
      <c r="G22" s="1340">
        <v>0</v>
      </c>
      <c r="H22" s="1340">
        <v>0</v>
      </c>
      <c r="I22" s="1340">
        <v>221614</v>
      </c>
      <c r="J22" s="1340">
        <v>0</v>
      </c>
      <c r="K22" s="1340">
        <v>0</v>
      </c>
      <c r="L22" s="1337">
        <f t="shared" si="0"/>
        <v>221614</v>
      </c>
      <c r="M22" s="1340" t="s">
        <v>2103</v>
      </c>
    </row>
    <row r="23" spans="2:14" ht="20.100000000000001" customHeight="1" x14ac:dyDescent="0.2">
      <c r="B23" s="1334" t="s">
        <v>2197</v>
      </c>
      <c r="C23" s="1338">
        <v>10.555</v>
      </c>
      <c r="D23" s="1339" t="s">
        <v>1836</v>
      </c>
      <c r="E23" s="1340">
        <v>29358</v>
      </c>
      <c r="F23" s="1340">
        <v>0</v>
      </c>
      <c r="G23" s="1340">
        <v>29358</v>
      </c>
      <c r="H23" s="1340">
        <v>0</v>
      </c>
      <c r="I23" s="1340">
        <v>0</v>
      </c>
      <c r="J23" s="1340">
        <v>0</v>
      </c>
      <c r="K23" s="1340">
        <v>0</v>
      </c>
      <c r="L23" s="1337">
        <f t="shared" si="0"/>
        <v>29358</v>
      </c>
      <c r="M23" s="1340" t="s">
        <v>2103</v>
      </c>
    </row>
    <row r="24" spans="2:14" ht="20.100000000000001" customHeight="1" x14ac:dyDescent="0.2">
      <c r="B24" s="1334" t="s">
        <v>2197</v>
      </c>
      <c r="C24" s="1338">
        <v>10.555</v>
      </c>
      <c r="D24" s="1339" t="s">
        <v>1985</v>
      </c>
      <c r="E24" s="1340">
        <v>0</v>
      </c>
      <c r="F24" s="1340">
        <v>20181</v>
      </c>
      <c r="G24" s="1340">
        <v>0</v>
      </c>
      <c r="H24" s="1340">
        <v>0</v>
      </c>
      <c r="I24" s="1340">
        <v>20181</v>
      </c>
      <c r="J24" s="1340">
        <v>0</v>
      </c>
      <c r="K24" s="1340">
        <v>0</v>
      </c>
      <c r="L24" s="1337">
        <f t="shared" si="0"/>
        <v>20181</v>
      </c>
      <c r="M24" s="1340" t="s">
        <v>2103</v>
      </c>
    </row>
    <row r="25" spans="2:14" ht="20.100000000000001" customHeight="1" x14ac:dyDescent="0.2">
      <c r="B25" s="1945" t="s">
        <v>2121</v>
      </c>
      <c r="C25" s="1338"/>
      <c r="D25" s="1339"/>
      <c r="E25" s="1944">
        <f t="shared" ref="E25:K25" si="3">SUBTOTAL(9,E11:E24)</f>
        <v>290120</v>
      </c>
      <c r="F25" s="1944">
        <f t="shared" si="3"/>
        <v>352220</v>
      </c>
      <c r="G25" s="1944">
        <f t="shared" si="3"/>
        <v>290120</v>
      </c>
      <c r="H25" s="1944">
        <f t="shared" si="3"/>
        <v>0</v>
      </c>
      <c r="I25" s="1944">
        <f t="shared" si="3"/>
        <v>352220</v>
      </c>
      <c r="J25" s="1944">
        <f t="shared" si="3"/>
        <v>0</v>
      </c>
      <c r="K25" s="1944">
        <f t="shared" si="3"/>
        <v>0</v>
      </c>
      <c r="L25" s="1946">
        <f t="shared" si="0"/>
        <v>642340</v>
      </c>
      <c r="M25" s="1340"/>
    </row>
    <row r="26" spans="2:14" ht="20.100000000000001" customHeight="1" x14ac:dyDescent="0.2">
      <c r="B26" s="1334"/>
      <c r="C26" s="1338"/>
      <c r="D26" s="1339"/>
      <c r="E26" s="1340"/>
      <c r="F26" s="1340"/>
      <c r="G26" s="1340"/>
      <c r="H26" s="1340"/>
      <c r="I26" s="1340"/>
      <c r="J26" s="1340"/>
      <c r="K26" s="1340"/>
      <c r="L26" s="1337">
        <f t="shared" ref="L26:L27" si="4">+G26+I26+K26</f>
        <v>0</v>
      </c>
      <c r="M26" s="1340"/>
    </row>
    <row r="27" spans="2:14" ht="20.100000000000001" customHeight="1" x14ac:dyDescent="0.2">
      <c r="B27" s="1334"/>
      <c r="C27" s="1338"/>
      <c r="D27" s="1339"/>
      <c r="E27" s="1340"/>
      <c r="F27" s="1340"/>
      <c r="G27" s="1340"/>
      <c r="H27" s="1340"/>
      <c r="I27" s="1340"/>
      <c r="J27" s="1340"/>
      <c r="K27" s="1340"/>
      <c r="L27" s="1337">
        <f t="shared" si="4"/>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7" zoomScaleNormal="100" workbookViewId="0">
      <selection activeCell="I24" sqref="I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1" t="str">
        <f>'Single Audit Cover'!A7</f>
        <v>Momence CUSD 1</v>
      </c>
      <c r="C1" s="2452"/>
      <c r="D1" s="2452"/>
      <c r="E1" s="2452"/>
      <c r="F1" s="2452"/>
      <c r="G1" s="2452"/>
      <c r="H1" s="2452"/>
      <c r="I1" s="2452"/>
      <c r="J1" s="2452"/>
      <c r="K1" s="2452"/>
      <c r="L1" s="2452"/>
      <c r="M1" s="2452"/>
    </row>
    <row r="2" spans="2:14" ht="15" x14ac:dyDescent="0.2">
      <c r="B2" s="2453">
        <f>'Single Audit Cover'!E7</f>
        <v>32046001026</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5" t="s">
        <v>2133</v>
      </c>
      <c r="C11" s="1335"/>
      <c r="D11" s="1336"/>
      <c r="E11" s="1337"/>
      <c r="F11" s="1337"/>
      <c r="G11" s="1337"/>
      <c r="H11" s="1337"/>
      <c r="I11" s="1337"/>
      <c r="J11" s="1337"/>
      <c r="K11" s="1337"/>
      <c r="L11" s="1337">
        <f t="shared" ref="L11:L19" si="0">+G11+I11+K11</f>
        <v>0</v>
      </c>
      <c r="M11" s="1337"/>
    </row>
    <row r="12" spans="2:14" ht="20.100000000000001" customHeight="1" x14ac:dyDescent="0.2">
      <c r="B12" s="1940" t="s">
        <v>2087</v>
      </c>
      <c r="C12" s="1338"/>
      <c r="D12" s="1339"/>
      <c r="E12" s="1340"/>
      <c r="F12" s="1340"/>
      <c r="G12" s="1340"/>
      <c r="H12" s="1340"/>
      <c r="I12" s="1340"/>
      <c r="J12" s="1340"/>
      <c r="K12" s="1340"/>
      <c r="L12" s="1337">
        <f t="shared" si="0"/>
        <v>0</v>
      </c>
      <c r="M12" s="1340"/>
    </row>
    <row r="13" spans="2:14" ht="20.100000000000001" customHeight="1" x14ac:dyDescent="0.2">
      <c r="B13" s="1334" t="s">
        <v>2197</v>
      </c>
      <c r="C13" s="1338">
        <v>10.555</v>
      </c>
      <c r="D13" s="1339" t="s">
        <v>1836</v>
      </c>
      <c r="E13" s="1340">
        <v>9978</v>
      </c>
      <c r="F13" s="1340">
        <v>0</v>
      </c>
      <c r="G13" s="1340">
        <v>9978</v>
      </c>
      <c r="H13" s="1340">
        <v>0</v>
      </c>
      <c r="I13" s="1340">
        <v>0</v>
      </c>
      <c r="J13" s="1340">
        <v>0</v>
      </c>
      <c r="K13" s="1340">
        <v>0</v>
      </c>
      <c r="L13" s="1337">
        <f t="shared" si="0"/>
        <v>9978</v>
      </c>
      <c r="M13" s="1340" t="s">
        <v>2103</v>
      </c>
    </row>
    <row r="14" spans="2:14" ht="20.100000000000001" customHeight="1" x14ac:dyDescent="0.2">
      <c r="B14" s="1334" t="s">
        <v>2197</v>
      </c>
      <c r="C14" s="1338">
        <v>10.555</v>
      </c>
      <c r="D14" s="1339" t="s">
        <v>1985</v>
      </c>
      <c r="E14" s="1340">
        <v>0</v>
      </c>
      <c r="F14" s="1340">
        <v>13158</v>
      </c>
      <c r="G14" s="1340">
        <v>0</v>
      </c>
      <c r="H14" s="1340">
        <v>0</v>
      </c>
      <c r="I14" s="1340">
        <v>13158</v>
      </c>
      <c r="J14" s="1340">
        <v>0</v>
      </c>
      <c r="K14" s="1340">
        <v>0</v>
      </c>
      <c r="L14" s="1337">
        <f t="shared" si="0"/>
        <v>13158</v>
      </c>
      <c r="M14" s="1340" t="s">
        <v>2103</v>
      </c>
    </row>
    <row r="15" spans="2:14" ht="20.100000000000001" customHeight="1" x14ac:dyDescent="0.2">
      <c r="B15" s="1945" t="s">
        <v>2132</v>
      </c>
      <c r="C15" s="1338"/>
      <c r="D15" s="1339"/>
      <c r="E15" s="1944">
        <f t="shared" ref="E15:K15" si="1">SUBTOTAL(9,E13:E14)</f>
        <v>9978</v>
      </c>
      <c r="F15" s="1944">
        <f t="shared" si="1"/>
        <v>13158</v>
      </c>
      <c r="G15" s="1944">
        <f t="shared" si="1"/>
        <v>9978</v>
      </c>
      <c r="H15" s="1944">
        <f t="shared" si="1"/>
        <v>0</v>
      </c>
      <c r="I15" s="1944">
        <f t="shared" si="1"/>
        <v>13158</v>
      </c>
      <c r="J15" s="1944">
        <f t="shared" si="1"/>
        <v>0</v>
      </c>
      <c r="K15" s="1944">
        <f t="shared" si="1"/>
        <v>0</v>
      </c>
      <c r="L15" s="1337">
        <f t="shared" si="0"/>
        <v>23136</v>
      </c>
      <c r="M15" s="1340"/>
    </row>
    <row r="16" spans="2:14" ht="20.100000000000001" customHeight="1" x14ac:dyDescent="0.2">
      <c r="B16" s="1941" t="s">
        <v>2198</v>
      </c>
      <c r="C16" s="1338"/>
      <c r="D16" s="1339"/>
      <c r="E16" s="1942">
        <f>SUBTOTAL(9,' SEFA (3)'!E21:E24)+SUBTOTAL(9,E11:E15)</f>
        <v>253451</v>
      </c>
      <c r="F16" s="1942">
        <f>SUBTOTAL(9,' SEFA (3)'!F21:F24)+SUBTOTAL(9,F11:F15)</f>
        <v>298787</v>
      </c>
      <c r="G16" s="1942">
        <f>SUBTOTAL(9,' SEFA (3)'!G21:G24)+SUBTOTAL(9,G11:G15)</f>
        <v>253451</v>
      </c>
      <c r="H16" s="1942">
        <f>SUBTOTAL(9,' SEFA (3)'!H21:H24)+SUBTOTAL(9,H11:H15)</f>
        <v>0</v>
      </c>
      <c r="I16" s="1942">
        <f>SUBTOTAL(9,' SEFA (3)'!I21:I24)+SUBTOTAL(9,I11:I15)</f>
        <v>298787</v>
      </c>
      <c r="J16" s="1942">
        <f>SUBTOTAL(9,' SEFA (3)'!J21:J24)+SUBTOTAL(9,J11:J15)</f>
        <v>0</v>
      </c>
      <c r="K16" s="1942">
        <f>SUBTOTAL(9,' SEFA (3)'!K21:K24)+SUBTOTAL(9,K11:K15)</f>
        <v>0</v>
      </c>
      <c r="L16" s="1947">
        <f t="shared" si="0"/>
        <v>552238</v>
      </c>
      <c r="M16" s="1340"/>
    </row>
    <row r="17" spans="2:14" ht="20.100000000000001" customHeight="1" x14ac:dyDescent="0.2">
      <c r="B17" s="1948" t="s">
        <v>2199</v>
      </c>
      <c r="C17" s="1338"/>
      <c r="D17" s="1339"/>
      <c r="E17" s="1942">
        <f>SUBTOTAL(9,' SEFA (3)'!E18:E24)+SUBTOTAL(9,E11:E16)</f>
        <v>300098</v>
      </c>
      <c r="F17" s="1942">
        <f>SUBTOTAL(9,' SEFA (3)'!F18:F24)+SUBTOTAL(9,F11:F16)</f>
        <v>357332</v>
      </c>
      <c r="G17" s="1942">
        <f>SUBTOTAL(9,' SEFA (3)'!G18:G24)+SUBTOTAL(9,G11:G16)</f>
        <v>300098</v>
      </c>
      <c r="H17" s="1942">
        <f>SUBTOTAL(9,' SEFA (3)'!H18:H24)+SUBTOTAL(9,H11:H16)</f>
        <v>0</v>
      </c>
      <c r="I17" s="1942">
        <f>SUBTOTAL(9,' SEFA (3)'!I18:I24)+SUBTOTAL(9,I11:I16)</f>
        <v>357332</v>
      </c>
      <c r="J17" s="1942">
        <f>SUBTOTAL(9,' SEFA (3)'!J18:J24)+SUBTOTAL(9,J11:J16)</f>
        <v>0</v>
      </c>
      <c r="K17" s="1942">
        <f>SUBTOTAL(9,' SEFA (3)'!K18:K24)+SUBTOTAL(9,K11:K16)</f>
        <v>0</v>
      </c>
      <c r="L17" s="1947">
        <f t="shared" si="0"/>
        <v>657430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951" t="s">
        <v>2131</v>
      </c>
      <c r="C19" s="1338"/>
      <c r="D19" s="1339"/>
      <c r="E19" s="1950">
        <f>SUBTOTAL(9,' SEFA'!E12:E27,' SEFA (2)'!E11:E27,' SEFA (3)'!E11:E27,' SEFA (4)'!E11:E18)</f>
        <v>883260</v>
      </c>
      <c r="F19" s="1950">
        <f>SUBTOTAL(9,' SEFA'!F12:F27,' SEFA (2)'!F11:F27,' SEFA (3)'!F11:F27,' SEFA (4)'!F11:F18)</f>
        <v>1318607</v>
      </c>
      <c r="G19" s="1950">
        <f>SUBTOTAL(9,' SEFA'!G12:G27,' SEFA (2)'!G11:G27,' SEFA (3)'!G11:G27,' SEFA (4)'!G11:G18)</f>
        <v>1113281</v>
      </c>
      <c r="H19" s="1950">
        <f>SUBTOTAL(9,' SEFA'!H12:H27,' SEFA (2)'!H11:H27,' SEFA (3)'!H11:H27,' SEFA (4)'!H11:H18)</f>
        <v>0</v>
      </c>
      <c r="I19" s="1950">
        <f>SUBTOTAL(9,' SEFA'!I12:I27,' SEFA (2)'!I11:I27,' SEFA (3)'!I11:I27,' SEFA (4)'!I11:I18)</f>
        <v>1345741</v>
      </c>
      <c r="J19" s="1950">
        <f>SUBTOTAL(9,' SEFA'!J12:J27,' SEFA (2)'!J11:J27,' SEFA (3)'!J11:J27,' SEFA (4)'!J11:J18)</f>
        <v>0</v>
      </c>
      <c r="K19" s="1950">
        <f>SUBTOTAL(9,' SEFA'!K12:K27,' SEFA (2)'!K11:K27,' SEFA (3)'!K11:K27,' SEFA (4)'!K11:K18)</f>
        <v>150328</v>
      </c>
      <c r="L19" s="1949">
        <f t="shared" si="0"/>
        <v>2609350</v>
      </c>
      <c r="M19" s="1340"/>
    </row>
    <row r="20" spans="2:14" ht="20.100000000000001" customHeight="1" x14ac:dyDescent="0.2">
      <c r="B20" s="1334"/>
      <c r="C20" s="1338"/>
      <c r="D20" s="1339"/>
      <c r="E20" s="1340"/>
      <c r="F20" s="1340"/>
      <c r="G20" s="1340"/>
      <c r="H20" s="1340"/>
      <c r="I20" s="1340"/>
      <c r="J20" s="1340"/>
      <c r="K20" s="1340"/>
      <c r="L20" s="1337">
        <f t="shared" ref="L20:L27" si="2">+G20+I20+K20</f>
        <v>0</v>
      </c>
      <c r="M20" s="1340"/>
    </row>
    <row r="21" spans="2:14" ht="20.100000000000001" customHeight="1" x14ac:dyDescent="0.2">
      <c r="B21" s="1334"/>
      <c r="C21" s="1338"/>
      <c r="D21" s="1339"/>
      <c r="E21" s="1340"/>
      <c r="F21" s="1340"/>
      <c r="G21" s="1340"/>
      <c r="H21" s="1340"/>
      <c r="I21" s="1340"/>
      <c r="J21" s="1340"/>
      <c r="K21" s="1340"/>
      <c r="L21" s="1337">
        <f t="shared" si="2"/>
        <v>0</v>
      </c>
      <c r="M21" s="1340"/>
    </row>
    <row r="22" spans="2:14" ht="20.100000000000001" customHeight="1" x14ac:dyDescent="0.2">
      <c r="B22" s="1334"/>
      <c r="C22" s="1338"/>
      <c r="D22" s="1339"/>
      <c r="E22" s="1340"/>
      <c r="F22" s="1340"/>
      <c r="G22" s="1340"/>
      <c r="H22" s="1340"/>
      <c r="I22" s="1340"/>
      <c r="J22" s="1340"/>
      <c r="K22" s="1340"/>
      <c r="L22" s="1337">
        <f t="shared" si="2"/>
        <v>0</v>
      </c>
      <c r="M22" s="1340"/>
    </row>
    <row r="23" spans="2:14" ht="20.100000000000001" customHeight="1" x14ac:dyDescent="0.2">
      <c r="B23" s="1334"/>
      <c r="C23" s="1338"/>
      <c r="D23" s="1339"/>
      <c r="E23" s="1340"/>
      <c r="F23" s="1340"/>
      <c r="G23" s="1340"/>
      <c r="H23" s="1340"/>
      <c r="I23" s="1340"/>
      <c r="J23" s="1340"/>
      <c r="K23" s="1340"/>
      <c r="L23" s="1337">
        <f t="shared" si="2"/>
        <v>0</v>
      </c>
      <c r="M23" s="1340"/>
    </row>
    <row r="24" spans="2:14" ht="20.100000000000001" customHeight="1" x14ac:dyDescent="0.2">
      <c r="B24" s="1334"/>
      <c r="C24" s="1338"/>
      <c r="D24" s="1339"/>
      <c r="E24" s="1340"/>
      <c r="F24" s="1340"/>
      <c r="G24" s="1340"/>
      <c r="H24" s="1340"/>
      <c r="I24" s="1340"/>
      <c r="J24" s="1340"/>
      <c r="K24" s="1340"/>
      <c r="L24" s="1337">
        <f t="shared" si="2"/>
        <v>0</v>
      </c>
      <c r="M24" s="1340"/>
    </row>
    <row r="25" spans="2:14" ht="20.100000000000001" customHeight="1" x14ac:dyDescent="0.2">
      <c r="B25" s="1334"/>
      <c r="C25" s="1338"/>
      <c r="D25" s="1339"/>
      <c r="E25" s="1340"/>
      <c r="F25" s="1340"/>
      <c r="G25" s="1340"/>
      <c r="H25" s="1340"/>
      <c r="I25" s="1340"/>
      <c r="J25" s="1340"/>
      <c r="K25" s="1340"/>
      <c r="L25" s="1337">
        <f t="shared" si="2"/>
        <v>0</v>
      </c>
      <c r="M25" s="1340"/>
    </row>
    <row r="26" spans="2:14" ht="20.100000000000001" customHeight="1" x14ac:dyDescent="0.2">
      <c r="B26" s="1334"/>
      <c r="C26" s="1338"/>
      <c r="D26" s="1339"/>
      <c r="E26" s="1340"/>
      <c r="F26" s="1340"/>
      <c r="G26" s="1340"/>
      <c r="H26" s="1340"/>
      <c r="I26" s="1340"/>
      <c r="J26" s="1340"/>
      <c r="K26" s="1340"/>
      <c r="L26" s="1337">
        <f t="shared" si="2"/>
        <v>0</v>
      </c>
      <c r="M26" s="1340"/>
    </row>
    <row r="27" spans="2:14" ht="20.100000000000001" customHeight="1" x14ac:dyDescent="0.2">
      <c r="B27" s="1334"/>
      <c r="C27" s="1338"/>
      <c r="D27" s="1339"/>
      <c r="E27" s="1340"/>
      <c r="F27" s="1340"/>
      <c r="G27" s="1340"/>
      <c r="H27" s="1340"/>
      <c r="I27" s="1340"/>
      <c r="J27" s="1340"/>
      <c r="K27" s="1340"/>
      <c r="L27" s="1337">
        <f t="shared" si="2"/>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B21" sqref="B2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Momence CUSD 1</v>
      </c>
      <c r="B1" s="2465"/>
      <c r="C1" s="2465"/>
      <c r="D1" s="2465"/>
      <c r="E1" s="2465"/>
      <c r="F1" s="2465"/>
    </row>
    <row r="2" spans="1:7" ht="13.5" customHeight="1" x14ac:dyDescent="0.2">
      <c r="A2" s="2453">
        <f>'Single Audit Cover'!E7</f>
        <v>32046001026</v>
      </c>
      <c r="B2" s="2453"/>
      <c r="C2" s="2453"/>
      <c r="D2" s="2453"/>
      <c r="E2" s="2453"/>
      <c r="F2" s="2453"/>
      <c r="G2" s="1272"/>
    </row>
    <row r="3" spans="1:7" ht="15.75" customHeight="1" x14ac:dyDescent="0.2">
      <c r="A3" s="2466" t="s">
        <v>1271</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7"/>
      <c r="D5" s="317"/>
    </row>
    <row r="6" spans="1:7" ht="13.5" customHeight="1" x14ac:dyDescent="0.2">
      <c r="A6" s="1273" t="s">
        <v>1728</v>
      </c>
      <c r="C6" s="317"/>
      <c r="D6" s="317"/>
    </row>
    <row r="7" spans="1:7" ht="60.95" customHeight="1" x14ac:dyDescent="0.2">
      <c r="A7" s="2464" t="s">
        <v>2138</v>
      </c>
      <c r="B7" s="2464"/>
      <c r="C7" s="2464"/>
      <c r="D7" s="2464"/>
      <c r="E7" s="2464"/>
      <c r="F7" s="246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2137</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64" t="s">
        <v>2201</v>
      </c>
      <c r="B13" s="2464"/>
      <c r="C13" s="2464"/>
      <c r="D13" s="2464"/>
      <c r="E13" s="2464"/>
      <c r="F13" s="2464"/>
    </row>
    <row r="14" spans="1:7" ht="9.75" customHeight="1" x14ac:dyDescent="0.2">
      <c r="C14" s="1257"/>
      <c r="D14" s="1257"/>
    </row>
    <row r="15" spans="1:7" ht="13.5" customHeight="1" x14ac:dyDescent="0.2">
      <c r="C15" s="1846" t="s">
        <v>1270</v>
      </c>
      <c r="D15" s="2462" t="s">
        <v>1269</v>
      </c>
      <c r="E15" s="2462"/>
      <c r="F15" s="2462"/>
    </row>
    <row r="16" spans="1:7" ht="13.5" customHeight="1" x14ac:dyDescent="0.2">
      <c r="A16" s="1279"/>
      <c r="B16" s="1273" t="s">
        <v>1268</v>
      </c>
      <c r="C16" s="1846" t="s">
        <v>1267</v>
      </c>
      <c r="D16" s="2463" t="s">
        <v>1588</v>
      </c>
      <c r="E16" s="2463"/>
      <c r="F16" s="2463"/>
    </row>
    <row r="17" spans="1:6" ht="20.45" customHeight="1" x14ac:dyDescent="0.2">
      <c r="A17" s="1280"/>
      <c r="B17" s="1281" t="s">
        <v>2200</v>
      </c>
      <c r="C17" s="1282"/>
      <c r="D17" s="2457"/>
      <c r="E17" s="2457"/>
      <c r="F17" s="2457"/>
    </row>
    <row r="18" spans="1:6" ht="20.65" customHeight="1" x14ac:dyDescent="0.2">
      <c r="A18" s="1280"/>
      <c r="B18" s="1281"/>
      <c r="C18" s="1282"/>
      <c r="D18" s="2457"/>
      <c r="E18" s="2457"/>
      <c r="F18" s="2457"/>
    </row>
    <row r="19" spans="1:6" ht="20.65" customHeight="1" x14ac:dyDescent="0.2">
      <c r="A19" s="1280"/>
      <c r="B19" s="1281"/>
      <c r="C19" s="1282"/>
      <c r="D19" s="2457"/>
      <c r="E19" s="2457"/>
      <c r="F19" s="2457"/>
    </row>
    <row r="20" spans="1:6" ht="20.65" customHeight="1" x14ac:dyDescent="0.2">
      <c r="A20" s="1280"/>
      <c r="B20" s="1281"/>
      <c r="C20" s="1282"/>
      <c r="D20" s="2457"/>
      <c r="E20" s="2457"/>
      <c r="F20" s="2457"/>
    </row>
    <row r="21" spans="1:6" ht="20.65" customHeight="1" x14ac:dyDescent="0.2">
      <c r="A21" s="1280"/>
      <c r="B21" s="1281"/>
      <c r="C21" s="1282"/>
      <c r="D21" s="2457"/>
      <c r="E21" s="2457"/>
      <c r="F21" s="2457"/>
    </row>
    <row r="22" spans="1:6" ht="20.65" customHeight="1" x14ac:dyDescent="0.2">
      <c r="A22" s="1280"/>
      <c r="B22" s="1281"/>
      <c r="C22" s="1282"/>
      <c r="D22" s="2457"/>
      <c r="E22" s="2457"/>
      <c r="F22" s="2457"/>
    </row>
    <row r="23" spans="1:6" ht="20.65" customHeight="1" x14ac:dyDescent="0.2">
      <c r="A23" s="1280"/>
      <c r="B23" s="1281"/>
      <c r="C23" s="1282"/>
      <c r="D23" s="2457"/>
      <c r="E23" s="2457"/>
      <c r="F23" s="2457"/>
    </row>
    <row r="24" spans="1:6" ht="20.65" customHeight="1" x14ac:dyDescent="0.2">
      <c r="A24" s="1280"/>
      <c r="B24" s="1281"/>
      <c r="C24" s="1282"/>
      <c r="D24" s="2457"/>
      <c r="E24" s="2457"/>
      <c r="F24" s="2457"/>
    </row>
    <row r="25" spans="1:6" ht="20.65" customHeight="1" x14ac:dyDescent="0.2">
      <c r="A25" s="1280"/>
      <c r="B25" s="1281"/>
      <c r="C25" s="1282"/>
      <c r="D25" s="2457"/>
      <c r="E25" s="2457"/>
      <c r="F25" s="2457"/>
    </row>
    <row r="26" spans="1:6" ht="20.65" customHeight="1" x14ac:dyDescent="0.2">
      <c r="A26" s="1280"/>
      <c r="B26" s="1281"/>
      <c r="C26" s="1282"/>
      <c r="D26" s="2457"/>
      <c r="E26" s="2457"/>
      <c r="F26" s="2457"/>
    </row>
    <row r="27" spans="1:6" ht="20.65" customHeight="1" x14ac:dyDescent="0.2">
      <c r="A27" s="1280"/>
      <c r="B27" s="1281"/>
      <c r="C27" s="1282"/>
      <c r="D27" s="2457"/>
      <c r="E27" s="2457"/>
      <c r="F27" s="2457"/>
    </row>
    <row r="28" spans="1:6" ht="20.65" customHeight="1" x14ac:dyDescent="0.2">
      <c r="A28" s="1280"/>
      <c r="B28" s="1281"/>
      <c r="C28" s="1282"/>
      <c r="D28" s="2457"/>
      <c r="E28" s="2457"/>
      <c r="F28" s="2457"/>
    </row>
    <row r="29" spans="1:6" ht="20.65" customHeight="1" x14ac:dyDescent="0.2">
      <c r="A29" s="1280"/>
      <c r="B29" s="1281"/>
      <c r="C29" s="1282"/>
      <c r="D29" s="2457"/>
      <c r="E29" s="2457"/>
      <c r="F29" s="245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8" t="s">
        <v>2139</v>
      </c>
      <c r="B32" s="2458"/>
      <c r="C32" s="2458"/>
      <c r="D32" s="2458"/>
      <c r="E32" s="2458"/>
      <c r="F32" s="2458"/>
    </row>
    <row r="33" spans="1:6" ht="13.5" customHeight="1" x14ac:dyDescent="0.2">
      <c r="A33" s="328" t="s">
        <v>1434</v>
      </c>
      <c r="B33" s="328"/>
      <c r="C33" s="1285">
        <f>' SEFA (3)'!I24</f>
        <v>20181</v>
      </c>
      <c r="D33" s="1903"/>
      <c r="E33" s="1283"/>
    </row>
    <row r="34" spans="1:6" ht="13.5" customHeight="1" x14ac:dyDescent="0.2">
      <c r="A34" s="328" t="s">
        <v>1835</v>
      </c>
      <c r="B34" s="328"/>
      <c r="C34" s="1286">
        <f>' SEFA (4)'!I15</f>
        <v>13158</v>
      </c>
      <c r="D34" s="1903" t="s">
        <v>1589</v>
      </c>
      <c r="E34" s="2459">
        <f>+C33+C34</f>
        <v>33339</v>
      </c>
      <c r="F34" s="246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383</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383</v>
      </c>
      <c r="D40" s="1903"/>
      <c r="E40" s="1283"/>
    </row>
    <row r="41" spans="1:6" ht="14.25" customHeight="1" x14ac:dyDescent="0.2">
      <c r="A41" s="328"/>
      <c r="B41" s="328" t="s">
        <v>1438</v>
      </c>
      <c r="C41" s="1289" t="s">
        <v>383</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1" t="s">
        <v>1590</v>
      </c>
      <c r="C49" s="2461"/>
      <c r="D49" s="2461"/>
      <c r="E49" s="1396"/>
    </row>
    <row r="50" spans="1:5" s="1297" customFormat="1" ht="3.75" customHeight="1" x14ac:dyDescent="0.2">
      <c r="A50" s="1296"/>
      <c r="B50" s="1845"/>
      <c r="C50" s="1845"/>
      <c r="D50" s="1845"/>
      <c r="E50" s="1396"/>
    </row>
    <row r="51" spans="1:5" s="1297" customFormat="1" ht="20.25" customHeight="1" x14ac:dyDescent="0.2">
      <c r="A51" s="1298">
        <v>6</v>
      </c>
      <c r="B51" s="2456" t="s">
        <v>1551</v>
      </c>
      <c r="C51" s="2456"/>
      <c r="D51" s="2456"/>
    </row>
    <row r="52" spans="1:5" ht="14.25" customHeight="1" x14ac:dyDescent="0.2">
      <c r="A52" s="1298"/>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topLeftCell="A25"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Momence CUSD 1</v>
      </c>
      <c r="C1" s="2480"/>
      <c r="D1" s="2480"/>
      <c r="E1" s="2480"/>
      <c r="F1" s="2480"/>
      <c r="G1" s="2480"/>
      <c r="H1" s="2480"/>
      <c r="I1" s="2480"/>
      <c r="J1" s="1406"/>
    </row>
    <row r="2" spans="2:10" s="317" customFormat="1" ht="12.75" customHeight="1" x14ac:dyDescent="0.2">
      <c r="B2" s="2481">
        <f>'Single Audit Cover'!E7</f>
        <v>32046001026</v>
      </c>
      <c r="C2" s="2482"/>
      <c r="D2" s="2482"/>
      <c r="E2" s="2482"/>
      <c r="F2" s="2482"/>
      <c r="G2" s="2482"/>
      <c r="H2" s="2482"/>
      <c r="I2" s="2482"/>
      <c r="J2" s="1406"/>
    </row>
    <row r="3" spans="2:10" s="317" customFormat="1" ht="12.75" customHeight="1" x14ac:dyDescent="0.2">
      <c r="B3" s="2483" t="s">
        <v>1285</v>
      </c>
      <c r="C3" s="2484"/>
      <c r="D3" s="2484"/>
      <c r="E3" s="2484"/>
      <c r="F3" s="2484"/>
      <c r="G3" s="2484"/>
      <c r="H3" s="2484"/>
      <c r="I3" s="2484"/>
      <c r="J3" s="1407"/>
    </row>
    <row r="4" spans="2:10" s="317" customFormat="1" ht="12.75" customHeight="1" x14ac:dyDescent="0.2">
      <c r="B4" s="2483" t="str">
        <f>'Single Audit Cover'!A4</f>
        <v>Year Ending June 30, 2019</v>
      </c>
      <c r="C4" s="2484"/>
      <c r="D4" s="2484"/>
      <c r="E4" s="2484"/>
      <c r="F4" s="2484"/>
      <c r="G4" s="2484"/>
      <c r="H4" s="2484"/>
      <c r="I4" s="248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3" t="s">
        <v>1284</v>
      </c>
      <c r="C7" s="2484"/>
      <c r="D7" s="2484"/>
      <c r="E7" s="2484"/>
      <c r="F7" s="2484"/>
      <c r="G7" s="2484"/>
      <c r="H7" s="2484"/>
      <c r="I7" s="248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85" t="s">
        <v>2140</v>
      </c>
      <c r="D11" s="248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2137</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2137</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2137</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2137</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2137</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86" t="s">
        <v>2141</v>
      </c>
      <c r="E29" s="2486"/>
      <c r="F29" s="2486"/>
      <c r="G29" s="2486"/>
      <c r="H29" s="2486"/>
      <c r="I29" s="2486"/>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2137</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87" t="s">
        <v>1748</v>
      </c>
      <c r="D37" s="2488"/>
      <c r="E37" s="2488"/>
      <c r="F37" s="2489"/>
      <c r="G37" s="2487" t="s">
        <v>1592</v>
      </c>
      <c r="H37" s="2488"/>
      <c r="I37" s="2489"/>
    </row>
    <row r="38" spans="2:9" ht="16.5" customHeight="1" x14ac:dyDescent="0.2">
      <c r="B38" s="1428">
        <v>84.01</v>
      </c>
      <c r="C38" s="2475" t="s">
        <v>918</v>
      </c>
      <c r="D38" s="2476"/>
      <c r="E38" s="2476"/>
      <c r="F38" s="2477"/>
      <c r="G38" s="2490">
        <f>' SEFA'!I16</f>
        <v>448494</v>
      </c>
      <c r="H38" s="2491"/>
      <c r="I38" s="2492"/>
    </row>
    <row r="39" spans="2:9" ht="16.5" customHeight="1" x14ac:dyDescent="0.2">
      <c r="B39" s="1428" t="s">
        <v>2142</v>
      </c>
      <c r="C39" s="2475" t="s">
        <v>2143</v>
      </c>
      <c r="D39" s="2476"/>
      <c r="E39" s="2476"/>
      <c r="F39" s="2477"/>
      <c r="G39" s="2478">
        <f>' SEFA (4)'!I17</f>
        <v>357332</v>
      </c>
      <c r="H39" s="2478"/>
      <c r="I39" s="2478"/>
    </row>
    <row r="40" spans="2:9" ht="16.5" customHeight="1" x14ac:dyDescent="0.2">
      <c r="B40" s="1428"/>
      <c r="C40" s="2475"/>
      <c r="D40" s="2476"/>
      <c r="E40" s="2476"/>
      <c r="F40" s="2477"/>
      <c r="G40" s="2478"/>
      <c r="H40" s="2478"/>
      <c r="I40" s="2478"/>
    </row>
    <row r="41" spans="2:9" ht="16.5" customHeight="1" x14ac:dyDescent="0.2">
      <c r="B41" s="1428"/>
      <c r="C41" s="2475"/>
      <c r="D41" s="2476"/>
      <c r="E41" s="2476"/>
      <c r="F41" s="2477"/>
      <c r="G41" s="2478"/>
      <c r="H41" s="2478"/>
      <c r="I41" s="2478"/>
    </row>
    <row r="42" spans="2:9" ht="16.5" customHeight="1" x14ac:dyDescent="0.2">
      <c r="B42" s="1428"/>
      <c r="C42" s="2475"/>
      <c r="D42" s="2476"/>
      <c r="E42" s="2476"/>
      <c r="F42" s="2477"/>
      <c r="G42" s="2478"/>
      <c r="H42" s="2478"/>
      <c r="I42" s="2478"/>
    </row>
    <row r="43" spans="2:9" ht="16.5" customHeight="1" x14ac:dyDescent="0.2">
      <c r="B43" s="1428"/>
      <c r="C43" s="2468" t="s">
        <v>1593</v>
      </c>
      <c r="D43" s="2469"/>
      <c r="E43" s="2469"/>
      <c r="F43" s="2470"/>
      <c r="G43" s="2471">
        <f>SUM(G38:I42)</f>
        <v>805826</v>
      </c>
      <c r="H43" s="2471"/>
      <c r="I43" s="2471"/>
    </row>
    <row r="44" spans="2:9" ht="12.75" customHeight="1" x14ac:dyDescent="0.2"/>
    <row r="45" spans="2:9" ht="12.75" customHeight="1" x14ac:dyDescent="0.2">
      <c r="B45" s="1419" t="s">
        <v>2084</v>
      </c>
      <c r="D45" s="2472">
        <f>' SEFA (4)'!I19</f>
        <v>1345741</v>
      </c>
      <c r="E45" s="2473"/>
    </row>
    <row r="46" spans="2:9" ht="5.25" customHeight="1" x14ac:dyDescent="0.2">
      <c r="B46" s="1429"/>
      <c r="D46" s="1430"/>
      <c r="E46" s="1431"/>
    </row>
    <row r="47" spans="2:9" ht="12.75" customHeight="1" x14ac:dyDescent="0.2">
      <c r="B47" s="1297" t="s">
        <v>1594</v>
      </c>
      <c r="C47" s="1297"/>
      <c r="D47" s="1432">
        <f>+G43/D45</f>
        <v>0.59879724256004685</v>
      </c>
      <c r="E47" s="1433"/>
      <c r="F47" s="1434"/>
      <c r="I47" s="1435"/>
    </row>
    <row r="48" spans="2:9" ht="9.9499999999999993" customHeight="1" x14ac:dyDescent="0.2"/>
    <row r="49" spans="1:9" x14ac:dyDescent="0.2">
      <c r="B49" s="1365" t="s">
        <v>1273</v>
      </c>
      <c r="C49" s="1279"/>
      <c r="D49" s="1279"/>
      <c r="E49" s="2474">
        <v>750000</v>
      </c>
      <c r="F49" s="2474"/>
      <c r="G49" s="2474"/>
      <c r="H49" s="322"/>
    </row>
    <row r="51" spans="1:9" ht="13.5" customHeight="1" x14ac:dyDescent="0.2">
      <c r="B51" s="1365" t="s">
        <v>1272</v>
      </c>
      <c r="C51" s="1279"/>
      <c r="E51" s="1422"/>
      <c r="F51" s="1297" t="s">
        <v>885</v>
      </c>
      <c r="G51" s="1422" t="s">
        <v>2137</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Momence CUSD 1</v>
      </c>
      <c r="C1" s="2479"/>
      <c r="D1" s="2479"/>
      <c r="E1" s="2479"/>
      <c r="F1" s="2479"/>
      <c r="G1" s="2479"/>
      <c r="H1" s="2479"/>
      <c r="I1" s="2479"/>
      <c r="J1" s="2479"/>
      <c r="K1" s="2479"/>
      <c r="L1" s="1371"/>
      <c r="M1" s="1371"/>
    </row>
    <row r="2" spans="1:13" ht="12" customHeight="1" x14ac:dyDescent="0.2">
      <c r="B2" s="2481">
        <f>'Single Audit Cover'!E7</f>
        <v>32046001026</v>
      </c>
      <c r="C2" s="2481"/>
      <c r="D2" s="2481"/>
      <c r="E2" s="2481"/>
      <c r="F2" s="2481"/>
      <c r="G2" s="2481"/>
      <c r="H2" s="2481"/>
      <c r="I2" s="2481"/>
      <c r="J2" s="2481"/>
      <c r="K2" s="2481"/>
      <c r="L2" s="1372"/>
      <c r="M2" s="1373"/>
    </row>
    <row r="3" spans="1:13" ht="10.35" customHeight="1" x14ac:dyDescent="0.2">
      <c r="B3" s="2495" t="s">
        <v>1285</v>
      </c>
      <c r="C3" s="2495"/>
      <c r="D3" s="2495"/>
      <c r="E3" s="2495"/>
      <c r="F3" s="2495"/>
      <c r="G3" s="2495"/>
      <c r="H3" s="2495"/>
      <c r="I3" s="2495"/>
      <c r="J3" s="2495"/>
      <c r="K3" s="2495"/>
      <c r="L3" s="1374"/>
      <c r="M3" s="1374"/>
    </row>
    <row r="4" spans="1:13" ht="14.25" customHeight="1" x14ac:dyDescent="0.2">
      <c r="B4" s="2496" t="str">
        <f>'Single Audit Cover'!A4</f>
        <v>Year Ending June 30, 2019</v>
      </c>
      <c r="C4" s="2496"/>
      <c r="D4" s="2496"/>
      <c r="E4" s="2496"/>
      <c r="F4" s="2496"/>
      <c r="G4" s="2496"/>
      <c r="H4" s="2496"/>
      <c r="I4" s="2496"/>
      <c r="J4" s="2496"/>
      <c r="K4" s="249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6" t="s">
        <v>1296</v>
      </c>
      <c r="C7" s="2496"/>
      <c r="D7" s="2497"/>
      <c r="E7" s="2497"/>
      <c r="F7" s="2497"/>
      <c r="G7" s="2497"/>
      <c r="H7" s="2497"/>
      <c r="I7" s="2497"/>
      <c r="J7" s="2497"/>
      <c r="K7" s="249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2144</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4"/>
      <c r="C14" s="2494"/>
      <c r="D14" s="2494"/>
      <c r="E14" s="2494"/>
      <c r="F14" s="2494"/>
      <c r="G14" s="2494"/>
      <c r="H14" s="2494"/>
      <c r="I14" s="2494"/>
      <c r="J14" s="2494"/>
      <c r="K14" s="249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4"/>
      <c r="C17" s="2494"/>
      <c r="D17" s="2494"/>
      <c r="E17" s="2494"/>
      <c r="F17" s="2494"/>
      <c r="G17" s="2494"/>
      <c r="H17" s="2494"/>
      <c r="I17" s="2494"/>
      <c r="J17" s="2494"/>
      <c r="K17" s="249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8"/>
      <c r="C20" s="2498"/>
      <c r="D20" s="2494"/>
      <c r="E20" s="2494"/>
      <c r="F20" s="2494"/>
      <c r="G20" s="2494"/>
      <c r="H20" s="2494"/>
      <c r="I20" s="2494"/>
      <c r="J20" s="2494"/>
      <c r="K20" s="249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4"/>
      <c r="C23" s="2494"/>
      <c r="D23" s="2494"/>
      <c r="E23" s="2494"/>
      <c r="F23" s="2494"/>
      <c r="G23" s="2494"/>
      <c r="H23" s="2494"/>
      <c r="I23" s="2494"/>
      <c r="J23" s="2494"/>
      <c r="K23" s="249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4"/>
      <c r="C26" s="2494"/>
      <c r="D26" s="2494"/>
      <c r="E26" s="2494"/>
      <c r="F26" s="2494"/>
      <c r="G26" s="2494"/>
      <c r="H26" s="2494"/>
      <c r="I26" s="2494"/>
      <c r="J26" s="2494"/>
      <c r="K26" s="249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3"/>
      <c r="C29" s="2493"/>
      <c r="D29" s="2494"/>
      <c r="E29" s="2494"/>
      <c r="F29" s="2494"/>
      <c r="G29" s="2494"/>
      <c r="H29" s="2494"/>
      <c r="I29" s="2494"/>
      <c r="J29" s="2494"/>
      <c r="K29" s="249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3"/>
      <c r="C32" s="2493"/>
      <c r="D32" s="2494"/>
      <c r="E32" s="2494"/>
      <c r="F32" s="2494"/>
      <c r="G32" s="2494"/>
      <c r="H32" s="2494"/>
      <c r="I32" s="2494"/>
      <c r="J32" s="2494"/>
      <c r="K32" s="249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Momence CUSD 1</v>
      </c>
      <c r="C1" s="2502"/>
      <c r="D1" s="2502"/>
      <c r="E1" s="2502"/>
      <c r="F1" s="2502"/>
      <c r="G1" s="2502"/>
      <c r="H1" s="2502"/>
      <c r="I1" s="2502"/>
      <c r="J1" s="2502"/>
      <c r="K1" s="2502"/>
      <c r="L1" s="1449"/>
    </row>
    <row r="2" spans="1:12" ht="12.75" customHeight="1" x14ac:dyDescent="0.2">
      <c r="B2" s="2503">
        <f>'Single Audit Cover'!E7</f>
        <v>32046001026</v>
      </c>
      <c r="C2" s="2503"/>
      <c r="D2" s="2503"/>
      <c r="E2" s="2503"/>
      <c r="F2" s="2503"/>
      <c r="G2" s="2503"/>
      <c r="H2" s="2503"/>
      <c r="I2" s="2503"/>
      <c r="J2" s="2503"/>
      <c r="K2" s="2503"/>
      <c r="L2" s="1450"/>
    </row>
    <row r="3" spans="1:12" ht="12.75" customHeight="1" x14ac:dyDescent="0.2">
      <c r="B3" s="2495" t="s">
        <v>1285</v>
      </c>
      <c r="C3" s="2495"/>
      <c r="D3" s="2495"/>
      <c r="E3" s="2495"/>
      <c r="F3" s="2495"/>
      <c r="G3" s="2495"/>
      <c r="H3" s="2495"/>
      <c r="I3" s="2495"/>
      <c r="J3" s="2495"/>
      <c r="K3" s="2495"/>
      <c r="L3" s="1374"/>
    </row>
    <row r="4" spans="1:12" ht="12.75" customHeight="1" x14ac:dyDescent="0.2">
      <c r="B4" s="2495" t="str">
        <f>'Single Audit Cover'!A4</f>
        <v>Year Ending June 30, 2019</v>
      </c>
      <c r="C4" s="2495"/>
      <c r="D4" s="2495"/>
      <c r="E4" s="2495"/>
      <c r="F4" s="2495"/>
      <c r="G4" s="2495"/>
      <c r="H4" s="2495"/>
      <c r="I4" s="2495"/>
      <c r="J4" s="2495"/>
      <c r="K4" s="2495"/>
      <c r="L4" s="1374"/>
    </row>
    <row r="5" spans="1:12" ht="5.25" customHeight="1" x14ac:dyDescent="0.2">
      <c r="B5" s="1257" t="s">
        <v>1169</v>
      </c>
      <c r="C5" s="1257"/>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2144</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86"/>
      <c r="G12" s="2486"/>
      <c r="H12" s="2486"/>
      <c r="I12" s="2486"/>
      <c r="J12" s="2486"/>
      <c r="K12" s="248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9"/>
      <c r="E14" s="2499"/>
      <c r="F14" s="2499"/>
      <c r="H14" s="1459" t="s">
        <v>1303</v>
      </c>
      <c r="I14" s="2500"/>
      <c r="J14" s="2500"/>
      <c r="K14" s="250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0"/>
      <c r="E16" s="2500"/>
      <c r="F16" s="2500"/>
      <c r="G16" s="2500"/>
      <c r="H16" s="2500"/>
      <c r="I16" s="2500"/>
      <c r="J16" s="2500"/>
      <c r="K16" s="2500"/>
      <c r="L16" s="322"/>
    </row>
    <row r="17" spans="2:12" ht="13.5" customHeight="1" x14ac:dyDescent="0.2">
      <c r="B17" s="1384" t="s">
        <v>1301</v>
      </c>
      <c r="C17" s="1384"/>
      <c r="D17" s="2501"/>
      <c r="E17" s="2501"/>
      <c r="F17" s="2501"/>
      <c r="G17" s="2501"/>
      <c r="H17" s="2501"/>
      <c r="I17" s="2501"/>
      <c r="J17" s="2501"/>
      <c r="K17" s="250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4"/>
      <c r="C20" s="2494"/>
      <c r="D20" s="2494"/>
      <c r="E20" s="2494"/>
      <c r="F20" s="2494"/>
      <c r="G20" s="2494"/>
      <c r="H20" s="2494"/>
      <c r="I20" s="2494"/>
      <c r="J20" s="2494"/>
      <c r="K20" s="249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F24" sqref="F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9" t="str">
        <f>'Single Audit Cover'!A7</f>
        <v>Momence CUSD 1</v>
      </c>
      <c r="C1" s="2479"/>
      <c r="D1" s="2479"/>
      <c r="E1" s="1469"/>
    </row>
    <row r="2" spans="2:5" s="1279" customFormat="1" ht="12.75" customHeight="1" x14ac:dyDescent="0.2">
      <c r="B2" s="2481">
        <f>'Single Audit Cover'!E7</f>
        <v>32046001026</v>
      </c>
      <c r="C2" s="2481"/>
      <c r="D2" s="2481"/>
      <c r="E2" s="1470"/>
    </row>
    <row r="3" spans="2:5" ht="12.75" customHeight="1" x14ac:dyDescent="0.2">
      <c r="B3" s="2495" t="s">
        <v>1763</v>
      </c>
      <c r="C3" s="2495"/>
      <c r="D3" s="2495"/>
      <c r="E3" s="1271"/>
    </row>
    <row r="4" spans="2:5" s="1279" customFormat="1" ht="12.75" customHeight="1" x14ac:dyDescent="0.2">
      <c r="B4" s="2505" t="str">
        <f>'Single Audit Cover'!A4</f>
        <v>Year Ending June 30, 2019</v>
      </c>
      <c r="C4" s="2505"/>
      <c r="D4" s="250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02" x14ac:dyDescent="0.2">
      <c r="B7" s="1474" t="s">
        <v>2145</v>
      </c>
      <c r="C7" s="1953" t="s">
        <v>2146</v>
      </c>
      <c r="D7" s="1953" t="s">
        <v>2147</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6ce3111e-7420-4802-b50a-75d4e9a0b980"/>
    <ds:schemaRef ds:uri="http://schemas.microsoft.com/office/2006/documentManagement/types"/>
    <ds:schemaRef ds:uri="4d435f69-8686-490b-bd6d-b153bf22ab50"/>
    <ds:schemaRef ds:uri="http://schemas.microsoft.com/office/2006/metadata/properties"/>
    <ds:schemaRef ds:uri="http://schemas.microsoft.com/office/infopath/2007/PartnerControls"/>
    <ds:schemaRef ds:uri="http://schemas.microsoft.com/sharepoint/v3"/>
    <ds:schemaRef ds:uri="http://purl.org/dc/dcmitype/"/>
    <ds:schemaRef ds:uri="d21dc803-237d-4c68-8692-8d731fd2911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2019-10-17T14:10:55Z</cp:lastPrinted>
  <dcterms:created xsi:type="dcterms:W3CDTF">2003-10-29T19:06:34Z</dcterms:created>
  <dcterms:modified xsi:type="dcterms:W3CDTF">2019-12-03T14:39:17Z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