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DF6FD48-D5CC-4A01-902C-10A754952362}" xr6:coauthVersionLast="36" xr6:coauthVersionMax="36" xr10:uidLastSave="{00000000-0000-0000-0000-000000000000}"/>
  <bookViews>
    <workbookView xWindow="1908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48" i="29" l="1"/>
  <c r="L319" i="29"/>
  <c r="L267" i="29"/>
  <c r="L241" i="29"/>
  <c r="L182" i="29"/>
  <c r="L124" i="29"/>
  <c r="L79" i="29"/>
  <c r="L63" i="29"/>
  <c r="L60" i="29"/>
  <c r="L55" i="29"/>
  <c r="L51" i="29"/>
  <c r="L50" i="29"/>
  <c r="L49" i="29"/>
  <c r="L45" i="29"/>
  <c r="L44" i="29"/>
  <c r="L40" i="29"/>
  <c r="L37" i="29"/>
  <c r="L36" i="29"/>
  <c r="L18" i="29"/>
  <c r="L17" i="29"/>
  <c r="L14" i="29"/>
  <c r="L13" i="29"/>
  <c r="L10" i="29"/>
  <c r="L7" i="29"/>
  <c r="L5" i="29"/>
  <c r="C18" i="29" l="1"/>
  <c r="F45" i="29"/>
  <c r="E45" i="29"/>
  <c r="D45" i="29"/>
  <c r="C45" i="29"/>
  <c r="D267" i="29" l="1"/>
  <c r="D241" i="29"/>
  <c r="D182" i="29"/>
  <c r="C182" i="29"/>
  <c r="F10" i="29"/>
  <c r="E10" i="29"/>
  <c r="C10"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G27"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B3647" i="106"/>
  <c r="D3647" i="106" s="1"/>
  <c r="C352" i="29"/>
  <c r="K76" i="4"/>
  <c r="B3586" i="106" s="1"/>
  <c r="D3586" i="106" s="1"/>
  <c r="L13" i="11"/>
  <c r="B2060" i="106" s="1"/>
  <c r="D2060" i="106" s="1"/>
  <c r="K184" i="29"/>
  <c r="F13" i="4" s="1"/>
  <c r="B2596" i="106" s="1"/>
  <c r="D2596" i="106" s="1"/>
  <c r="F19" i="7"/>
  <c r="B1807" i="106" s="1"/>
  <c r="D1807" i="106" s="1"/>
  <c r="G210" i="29"/>
  <c r="E29" i="108"/>
  <c r="G29"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J16" i="4" l="1"/>
  <c r="B6226" i="106" s="1"/>
  <c r="D6226" i="106" s="1"/>
  <c r="D41" i="108"/>
  <c r="E43" i="108" s="1"/>
  <c r="F41" i="108"/>
  <c r="G43" i="108" s="1"/>
  <c r="L114" i="29"/>
  <c r="L16" i="11"/>
  <c r="B2061" i="106" s="1"/>
  <c r="D2061" i="106" s="1"/>
  <c r="K342" i="29"/>
  <c r="F13" i="34" s="1"/>
  <c r="B1365" i="106"/>
  <c r="D1365" i="106" s="1"/>
  <c r="F65" i="34"/>
  <c r="C114" i="29"/>
  <c r="B757" i="106" s="1"/>
  <c r="D757" i="106" s="1"/>
  <c r="N23" i="3"/>
  <c r="B284" i="106" s="1"/>
  <c r="D284"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<sst xmlns="http://schemas.openxmlformats.org/spreadsheetml/2006/main" count="5050" uniqueCount="2084">
  <si>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</si>
  <si>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</si>
  <si>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</si>
  <si>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</si>
  <si>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</si>
  <si>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</si>
  <si>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</si>
  <si>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</si>
  <si>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</si>
  <si>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</si>
  <si>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</si>
  <si>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</si>
  <si>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</si>
  <si>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</si>
  <si>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</si>
  <si>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</si>
  <si>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</si>
  <si>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</si>
  <si>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</si>
  <si>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</si>
  <si>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</si>
  <si>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</si>
  <si>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</si>
  <si>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</si>
  <si>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</si>
  <si>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</si>
  <si>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</si>
  <si>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</si>
  <si>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</si>
  <si>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</si>
  <si>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</si>
  <si>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</si>
  <si>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</si>
  <si>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</si>
  <si>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</si>
  <si>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</si>
  <si>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</si>
  <si>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</si>
  <si>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</si>
  <si>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</si>
  <si>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</si>
  <si>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</si>
  <si>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</si>
  <si>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</si>
  <si>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</si>
  <si>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</si>
  <si>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</si>
  <si>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</si>
  <si>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</si>
  <si>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</si>
  <si>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</si>
  <si>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</si>
  <si>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</si>
  <si>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</si>
  <si>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</si>
  <si>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</si>
  <si>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</si>
  <si>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</si>
  <si>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</si>
  <si>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</si>
  <si>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</si>
  <si>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</si>
  <si>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</si>
  <si>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</si>
  <si>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</si>
  <si>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</si>
  <si>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</si>
  <si>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</si>
  <si>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</si>
  <si>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</si>
  <si>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</si>
  <si>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</si>
  <si>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</si>
  <si>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</si>
  <si>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</si>
  <si>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</si>
  <si>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</si>
  <si>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</si>
  <si>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</si>
  <si>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</si>
  <si>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</si>
  <si>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</si>
  <si>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</si>
  <si>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</si>
  <si>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</si>
  <si>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</si>
  <si>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</si>
  <si>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</si>
  <si>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</si>
  <si>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</si>
  <si>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</si>
  <si>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</si>
  <si>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</si>
  <si>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</si>
  <si>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</si>
  <si>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</si>
  <si>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</si>
  <si>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</si>
  <si>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</si>
  <si>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</si>
  <si>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</si>
  <si>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</si>
  <si>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</si>
  <si>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</si>
  <si>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</si>
  <si>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</si>
  <si>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</si>
  <si>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</si>
  <si>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</si>
  <si>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</si>
  <si>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</si>
  <si>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</si>
  <si>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</si>
  <si>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</si>
  <si>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</si>
  <si>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</si>
  <si>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</si>
  <si>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</si>
  <si>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</si>
  <si>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</si>
  <si>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</si>
  <si>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</si>
  <si>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</si>
  <si>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</si>
  <si>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</si>
  <si>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</si>
  <si>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</si>
  <si>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</si>
  <si>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</si>
  <si>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</si>
  <si>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</si>
  <si>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</si>
  <si>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</si>
  <si>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</si>
  <si>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</si>
  <si>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</si>
  <si>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</si>
  <si>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</si>
  <si>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</si>
  <si>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</si>
  <si>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</si>
  <si>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</si>
  <si>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</si>
  <si>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</si>
  <si>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</si>
  <si>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</si>
  <si>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</si>
  <si>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</si>
  <si>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</si>
  <si>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</si>
  <si>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</si>
  <si>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</si>
  <si>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</si>
  <si>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</si>
  <si>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</si>
  <si>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</si>
  <si>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</si>
  <si>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</si>
  <si>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</si>
  <si>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</si>
  <si>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</si>
  <si>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</si>
  <si>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</si>
  <si>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</si>
  <si>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</si>
  <si>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</si>
  <si>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</si>
  <si>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</si>
  <si>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</si>
  <si>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</si>
  <si>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</si>
  <si>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</si>
  <si>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</si>
  <si>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</si>
  <si>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</si>
  <si>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</si>
  <si>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</si>
  <si>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</si>
  <si>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</si>
  <si>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</si>
  <si>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</si>
  <si>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</si>
  <si>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</si>
  <si>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</si>
  <si>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</si>
  <si>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</si>
  <si>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</si>
  <si>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</si>
  <si>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</si>
  <si>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</si>
  <si>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</si>
  <si>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</si>
  <si>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</si>
  <si>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</si>
  <si>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</si>
  <si>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</si>
  <si>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</si>
  <si>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</si>
  <si>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</si>
  <si>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</si>
  <si>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</si>
  <si>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</si>
  <si>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</si>
  <si>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</si>
  <si>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</si>
  <si>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</si>
  <si>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</si>
  <si>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</si>
  <si>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</si>
  <si>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</si>
  <si>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</si>
  <si>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</si>
  <si>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</si>
  <si>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</si>
  <si>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</si>
  <si>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</si>
  <si>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</si>
  <si>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</si>
  <si>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</si>
  <si>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</si>
  <si>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</si>
  <si>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</si>
  <si>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</si>
  <si>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</si>
  <si>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</si>
  <si>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</si>
  <si>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</si>
  <si>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</si>
  <si>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</si>
  <si>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</si>
  <si>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</si>
  <si>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</si>
  <si>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</si>
  <si>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</si>
  <si>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</si>
  <si>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</si>
  <si>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</si>
  <si>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</si>
  <si>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</si>
  <si>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</si>
  <si>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</si>
  <si>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</si>
  <si>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</si>
  <si>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</si>
  <si>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</si>
  <si>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</si>
  <si>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</si>
  <si>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</si>
  <si>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</si>
  <si>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</si>
  <si>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</si>
  <si>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</si>
  <si>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</si>
  <si>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</si>
  <si>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</si>
  <si>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</si>
  <si>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</si>
  <si>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</si>
  <si>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</si>
  <si>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</si>
  <si>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</si>
  <si>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</si>
  <si>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</si>
  <si>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</si>
  <si>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</si>
  <si>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</si>
  <si>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</si>
  <si>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</si>
  <si>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</si>
  <si>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</si>
  <si>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</si>
  <si>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</si>
  <si>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</si>
  <si>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</si>
  <si>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</si>
  <si>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</si>
  <si>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</si>
  <si>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</si>
  <si>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</si>
  <si>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</si>
  <si>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</si>
  <si>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</si>
  <si>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</si>
  <si>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</si>
  <si>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</si>
  <si>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</si>
  <si>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</si>
  <si>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</si>
  <si>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</si>
  <si>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</si>
  <si>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</si>
  <si>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</si>
  <si>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</si>
  <si>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</si>
  <si>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</si>
  <si>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</si>
  <si>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</si>
  <si>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</si>
  <si>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</si>
  <si>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</si>
  <si>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</si>
  <si>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</si>
  <si>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</si>
  <si>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</si>
  <si>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</si>
  <si>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</si>
  <si>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</si>
  <si>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</si>
  <si>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</si>
  <si>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</si>
  <si>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</si>
  <si>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</si>
  <si>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</si>
  <si>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</si>
  <si>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</si>
  <si>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</si>
  <si>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</si>
  <si>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</si>
  <si>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</si>
  <si>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</si>
  <si>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</si>
  <si>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</si>
  <si>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</si>
  <si>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</si>
  <si>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</si>
  <si>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</si>
  <si>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</si>
  <si>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</si>
  <si>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</si>
  <si>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</si>
  <si>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</si>
  <si>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</si>
  <si>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</si>
  <si>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</si>
  <si>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</si>
  <si>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</si>
  <si>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</si>
  <si>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</si>
  <si>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</si>
  <si>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</si>
  <si>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</si>
  <si>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</si>
  <si>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</si>
  <si>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</si>
  <si>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</si>
  <si>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</si>
  <si>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</si>
  <si>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</si>
  <si>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</si>
  <si>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</si>
  <si>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</si>
  <si>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</si>
  <si>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</si>
  <si>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</si>
  <si>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</si>
  <si>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</si>
  <si>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</si>
  <si>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</si>
  <si>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</si>
  <si>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</si>
  <si>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</si>
  <si>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</si>
  <si>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</si>
  <si>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</si>
  <si>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</si>
  <si>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</si>
  <si>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</si>
  <si>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</si>
  <si>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</si>
  <si>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</si>
  <si>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</si>
  <si>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</si>
  <si>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</si>
  <si>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</si>
  <si>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</si>
  <si>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</si>
  <si>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</si>
  <si>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</si>
  <si>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</si>
  <si>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</si>
  <si>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</si>
  <si>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</si>
  <si>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</si>
  <si>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</si>
  <si>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</si>
  <si>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</si>
  <si>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</si>
  <si>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</si>
  <si>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</si>
  <si>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</si>
  <si>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</si>
  <si>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</si>
  <si>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</si>
  <si>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</si>
  <si>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</si>
  <si>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</si>
  <si>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</si>
  <si>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</si>
  <si>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</si>
  <si>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</si>
  <si>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</si>
  <si>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</si>
  <si>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</si>
  <si>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</si>
  <si>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</si>
  <si>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</si>
  <si>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</si>
  <si>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</si>
  <si>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</si>
  <si>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</si>
  <si>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</si>
  <si>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</si>
  <si>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</si>
  <si>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</si>
  <si>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</si>
  <si>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</si>
  <si>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</si>
  <si>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</si>
  <si>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</si>
  <si>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</si>
  <si>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</si>
  <si>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</si>
  <si>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</si>
  <si>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</si>
  <si>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</si>
  <si>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</si>
  <si>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</si>
  <si>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</si>
  <si>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</si>
  <si>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</si>
  <si>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</si>
  <si>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</si>
  <si>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</si>
  <si>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</si>
  <si>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</si>
  <si>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</si>
  <si>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</si>
  <si>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</si>
  <si>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</si>
  <si>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</si>
  <si>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</si>
  <si>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</si>
  <si>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</si>
  <si>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</si>
  <si>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</si>
  <si>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</si>
  <si>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</si>
  <si>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</si>
  <si>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</si>
  <si>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</si>
  <si>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</si>
  <si>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</si>
  <si>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</si>
  <si>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</si>
  <si>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</si>
  <si>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</si>
  <si>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</si>
  <si>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</si>
  <si>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</si>
  <si>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</si>
  <si>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</si>
  <si>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</si>
  <si>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</si>
  <si>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</si>
  <si>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</si>
  <si>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</si>
  <si>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</si>
  <si>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</si>
  <si>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</si>
  <si>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</si>
  <si>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</si>
  <si>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</si>
  <si>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</si>
  <si>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</si>
  <si>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</si>
  <si>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</si>
  <si>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</si>
  <si>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</si>
  <si>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</si>
  <si>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</si>
  <si>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</si>
  <si>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</si>
  <si>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</si>
  <si>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</si>
  <si>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</si>
  <si>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</si>
  <si>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</si>
  <si>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</si>
  <si>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</si>
  <si>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</si>
  <si>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</si>
  <si>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</si>
  <si>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</si>
  <si>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</si>
  <si>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</si>
  <si>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</si>
  <si>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</si>
  <si>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</si>
  <si>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</si>
  <si>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</si>
  <si>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</si>
  <si>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</si>
  <si>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</si>
  <si>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</si>
  <si>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</si>
  <si>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</si>
  <si>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</si>
  <si>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</si>
  <si>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</si>
  <si>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</si>
  <si>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</si>
  <si>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</si>
  <si>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</si>
  <si>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</si>
  <si>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</si>
  <si>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</si>
  <si>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</si>
  <si>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</si>
  <si>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</si>
  <si>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</si>
  <si>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</si>
  <si>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</si>
  <si>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</si>
  <si>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</si>
  <si>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</si>
  <si>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</si>
  <si>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</si>
  <si>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</si>
  <si>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</si>
  <si>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</si>
  <si>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</si>
  <si>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</si>
  <si>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</si>
  <si>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</si>
  <si>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</si>
  <si>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</si>
  <si>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</si>
  <si>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</si>
  <si>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</si>
  <si>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</si>
  <si>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</si>
  <si>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</si>
  <si>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</si>
  <si>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</si>
  <si>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</si>
  <si>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</si>
  <si>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</si>
  <si>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</si>
  <si>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</si>
  <si>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</si>
  <si>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</si>
  <si>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</si>
  <si>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</si>
  <si>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</si>
  <si>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</si>
  <si>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</si>
  <si>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</si>
  <si>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</si>
  <si>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</si>
  <si>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</si>
  <si>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</si>
  <si>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</si>
  <si>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</si>
  <si>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</si>
  <si>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</si>
  <si>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</si>
  <si>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</si>
  <si>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</si>
  <si>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</si>
  <si>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</si>
  <si>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</si>
  <si>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</si>
  <si>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</si>
  <si>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</si>
  <si>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</si>
  <si>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</si>
  <si>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</si>
  <si>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</si>
  <si>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</si>
  <si>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</si>
  <si>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</si>
  <si>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</si>
  <si>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</si>
  <si>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</si>
  <si>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</si>
  <si>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</si>
  <si>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</si>
  <si>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</si>
  <si>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</si>
  <si>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</si>
  <si>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</si>
  <si>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</si>
  <si>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</si>
  <si>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</si>
  <si>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</si>
  <si>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</si>
  <si>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</si>
  <si>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</si>
  <si>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</si>
  <si>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</si>
  <si>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</si>
  <si>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</si>
  <si>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</si>
  <si>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</si>
  <si>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</si>
  <si>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</si>
  <si>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</si>
  <si>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</si>
  <si>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</si>
  <si>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</si>
  <si>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</si>
  <si>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</si>
  <si>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</si>
  <si>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</si>
  <si>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</si>
  <si>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</si>
  <si>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</si>
  <si>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</si>
  <si>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</si>
  <si>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</si>
  <si>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</si>
  <si>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</si>
  <si>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</si>
  <si>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</si>
  <si>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</si>
  <si>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</si>
  <si>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</si>
  <si>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</si>
  <si>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</si>
  <si>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</si>
  <si>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</si>
  <si>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</si>
  <si>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</si>
  <si>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</si>
  <si>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</si>
  <si>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</si>
  <si>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</si>
  <si>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</si>
  <si>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</si>
  <si>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</si>
  <si>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</si>
  <si>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</si>
  <si>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</si>
  <si>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</si>
  <si>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</si>
  <si>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</si>
  <si>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</si>
  <si>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</si>
  <si>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</si>
  <si>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</si>
  <si>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</si>
  <si>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</si>
  <si>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</si>
  <si>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</si>
  <si>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</si>
  <si>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</si>
  <si>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</si>
  <si>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</si>
  <si>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</si>
  <si>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</si>
  <si>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</si>
  <si>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</si>
  <si>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</si>
  <si>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</si>
  <si>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</si>
  <si>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</si>
  <si>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</si>
  <si>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</si>
  <si>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</si>
  <si>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</si>
  <si>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</si>
  <si>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</si>
  <si>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</si>
  <si>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</si>
  <si>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</si>
  <si>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</si>
  <si>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</si>
  <si>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</si>
  <si>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</si>
  <si>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</si>
  <si>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</si>
  <si>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</si>
  <si>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</si>
  <si>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</si>
  <si>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</si>
  <si>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</si>
  <si>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</si>
  <si>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</si>
  <si>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</si>
  <si>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</si>
  <si>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</si>
  <si>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</si>
  <si>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</si>
  <si>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</si>
  <si>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</si>
  <si>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</si>
  <si>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</si>
  <si>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</si>
  <si>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</si>
  <si>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</si>
  <si>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</si>
  <si>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</si>
  <si>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</si>
  <si>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</si>
  <si>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</si>
  <si>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</si>
  <si>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</si>
  <si>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</si>
  <si>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</si>
  <si>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</si>
  <si>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</si>
  <si>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</si>
  <si>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</si>
  <si>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</si>
  <si>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</si>
  <si>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</si>
  <si>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</si>
  <si>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</si>
  <si>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</si>
  <si>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</si>
  <si>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</si>
  <si>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</si>
  <si>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</si>
  <si>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</si>
  <si>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</si>
  <si>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</si>
  <si>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</si>
  <si>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</si>
  <si>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</si>
  <si>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</si>
  <si>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</si>
  <si>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</si>
  <si>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</si>
  <si>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</si>
  <si>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</si>
  <si>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</si>
  <si>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</si>
  <si>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</si>
  <si>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</si>
  <si>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</si>
  <si>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</si>
  <si>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</si>
  <si>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</si>
  <si>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</si>
  <si>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</si>
  <si>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</si>
  <si>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</si>
  <si>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</si>
  <si>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</si>
  <si>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</si>
  <si>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</si>
  <si>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</si>
  <si>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</si>
  <si>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</si>
  <si>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</si>
  <si>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</si>
  <si>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</si>
  <si>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</si>
  <si>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</si>
  <si>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</si>
  <si>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</si>
  <si>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</si>
  <si>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</si>
  <si>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</si>
  <si>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</si>
  <si>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</si>
  <si>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</si>
  <si>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</si>
  <si>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</si>
  <si>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</si>
  <si>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</si>
  <si>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</si>
  <si>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</si>
  <si>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</si>
  <si>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</si>
  <si>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</si>
  <si>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</si>
  <si>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</si>
  <si>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</si>
  <si>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</si>
  <si>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</si>
  <si>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</si>
  <si>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</si>
  <si>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</si>
  <si>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</si>
  <si>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</si>
  <si>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</si>
  <si>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</si>
  <si>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</si>
  <si>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</si>
  <si>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</si>
  <si>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</si>
  <si>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</si>
  <si>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</si>
  <si>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</si>
  <si>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</si>
  <si>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</si>
  <si>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</si>
  <si>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</si>
  <si>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</si>
  <si>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</si>
  <si>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</si>
  <si>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</si>
  <si>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</si>
  <si>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</si>
  <si>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</si>
  <si>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</si>
  <si>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</si>
  <si>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</si>
  <si>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</si>
  <si>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</si>
  <si>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</si>
  <si>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</si>
  <si>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</si>
  <si>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</si>
  <si>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</si>
  <si>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</si>
  <si>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</si>
  <si>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</si>
  <si>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</si>
  <si>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</si>
  <si>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</si>
  <si>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</si>
  <si>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</si>
  <si>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</si>
  <si>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</si>
  <si>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</si>
  <si>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</si>
  <si>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</si>
  <si>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</si>
  <si>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</si>
  <si>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</si>
  <si>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</si>
  <si>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</si>
  <si>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</si>
  <si>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</si>
  <si>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</si>
  <si>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</si>
  <si>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</si>
  <si>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</si>
  <si>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</si>
  <si>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</si>
  <si>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</si>
  <si>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</si>
  <si>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</si>
  <si>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</si>
  <si>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</si>
  <si>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</si>
  <si>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</si>
  <si>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</si>
  <si>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</si>
  <si>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</si>
  <si>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</si>
  <si>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</si>
  <si>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</si>
  <si>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</si>
  <si>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</si>
  <si>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</si>
  <si>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</si>
  <si>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</si>
  <si>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</si>
  <si>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</si>
  <si>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</si>
  <si>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</si>
  <si>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</si>
  <si>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</si>
  <si>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</si>
  <si>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</si>
  <si>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</si>
  <si>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</si>
  <si>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</si>
  <si>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</si>
  <si>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</si>
  <si>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</si>
  <si>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</si>
  <si>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</si>
  <si>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</si>
  <si>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</si>
  <si>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</si>
  <si>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</si>
  <si>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</si>
  <si>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</si>
  <si>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</si>
  <si>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</si>
  <si>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</si>
  <si>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</si>
  <si>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</si>
  <si>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</si>
  <si>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</si>
  <si>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</si>
  <si>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</si>
  <si>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</si>
  <si>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</si>
  <si>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</si>
  <si>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</si>
  <si>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</si>
  <si>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</si>
  <si>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</si>
  <si>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</si>
  <si>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</si>
  <si>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</si>
  <si>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</si>
  <si>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</si>
  <si>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</si>
  <si>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</si>
  <si>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</si>
  <si>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</si>
  <si>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</si>
  <si>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</si>
  <si>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</si>
  <si>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</si>
  <si>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</si>
  <si>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</si>
  <si>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</si>
  <si>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</si>
  <si>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</si>
  <si>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</si>
  <si>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</si>
  <si>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</si>
  <si>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</si>
  <si>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</si>
  <si>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</si>
  <si>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</si>
  <si>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</si>
  <si>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</si>
  <si>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</si>
  <si>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</si>
  <si>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</si>
  <si>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</si>
  <si>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</si>
  <si>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</si>
  <si>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</si>
  <si>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</si>
  <si>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</si>
  <si>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</si>
  <si>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</si>
  <si>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</si>
  <si>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</si>
  <si>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</si>
  <si>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</si>
  <si>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</si>
  <si>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</si>
  <si>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</si>
  <si>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</si>
  <si>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</si>
  <si>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</si>
  <si>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</si>
  <si>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</si>
  <si>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</si>
  <si>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</si>
  <si>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</si>
  <si>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</si>
  <si>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</si>
  <si>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</si>
  <si>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</si>
  <si>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</si>
  <si>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</si>
  <si>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</si>
  <si>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</si>
  <si>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</si>
  <si>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</si>
  <si>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</si>
  <si>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</si>
  <si>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</si>
  <si>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</si>
  <si>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</si>
  <si>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</si>
  <si>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</si>
  <si>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</si>
  <si>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</si>
  <si>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</si>
  <si>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</si>
  <si>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</si>
  <si>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</si>
  <si>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</si>
  <si>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</si>
  <si>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</si>
  <si>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</si>
  <si>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</si>
  <si>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</si>
  <si>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</si>
  <si>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</si>
  <si>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</si>
  <si>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</si>
  <si>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</si>
  <si>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</si>
  <si>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</si>
  <si>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</si>
  <si>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</si>
  <si>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</si>
  <si>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</si>
  <si>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</si>
  <si>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</si>
  <si>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</si>
  <si>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</si>
  <si>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</si>
  <si>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</si>
  <si>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</si>
  <si>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</si>
  <si>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</si>
  <si>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</si>
  <si>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</si>
  <si>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</si>
  <si>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</si>
  <si>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</si>
  <si>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</si>
  <si>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</si>
  <si>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</si>
  <si>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</si>
  <si>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</si>
  <si>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</si>
  <si>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</si>
  <si>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</si>
  <si>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</si>
  <si>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</si>
  <si>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</si>
  <si>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</si>
  <si>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</si>
  <si>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</si>
  <si>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</si>
  <si>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</si>
  <si>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</si>
  <si>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</si>
  <si>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</si>
  <si>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</si>
  <si>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</si>
  <si>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</si>
  <si>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</si>
  <si>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</si>
  <si>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</si>
  <si>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</si>
  <si>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</si>
  <si>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</si>
  <si>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</si>
  <si>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</si>
  <si>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</si>
  <si>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</si>
  <si>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</si>
  <si>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</si>
  <si>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</si>
  <si>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</si>
  <si>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</si>
  <si>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</si>
  <si>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</si>
  <si>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</si>
  <si>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</si>
  <si>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</si>
  <si>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</si>
  <si>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</si>
  <si>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</si>
  <si>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</si>
  <si>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</si>
  <si>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</si>
  <si>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</si>
  <si>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</si>
  <si>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</si>
  <si>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</si>
  <si>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</si>
  <si>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</si>
  <si>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</si>
  <si>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</si>
  <si>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</si>
  <si>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</si>
  <si>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</si>
  <si>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</si>
  <si>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</si>
  <si>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</si>
  <si>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</si>
  <si>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</si>
  <si>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</si>
  <si>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</si>
  <si>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</si>
  <si>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</si>
  <si>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</si>
  <si>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</si>
  <si>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</si>
  <si>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</si>
  <si>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</si>
  <si>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</si>
  <si>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</si>
  <si>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</si>
  <si>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</si>
  <si>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</si>
  <si>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</si>
  <si>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</si>
  <si>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</si>
  <si>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</si>
  <si>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</si>
  <si>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</si>
  <si>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</si>
  <si>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</si>
  <si>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</si>
  <si>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</si>
  <si>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</si>
  <si>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</si>
  <si>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</si>
  <si>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</si>
  <si>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</si>
  <si>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</si>
  <si>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</si>
  <si>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</si>
  <si>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</si>
  <si>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</si>
  <si>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</si>
  <si>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</si>
  <si>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</si>
  <si>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</si>
  <si>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</si>
  <si>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</si>
  <si>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</si>
  <si>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</si>
  <si>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</si>
  <si>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</si>
  <si>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</si>
  <si>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</si>
  <si>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</si>
  <si>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</si>
  <si>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</si>
  <si>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</si>
  <si>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</si>
  <si>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</si>
  <si>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</si>
  <si>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</si>
  <si>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</si>
  <si>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</si>
  <si>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</si>
  <si>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</si>
  <si>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</si>
  <si>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</si>
  <si>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</si>
  <si>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</si>
  <si>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</si>
  <si>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</si>
  <si>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</si>
  <si>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</si>
  <si>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</si>
  <si>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</si>
  <si>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</si>
  <si>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</si>
  <si>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</si>
  <si>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</si>
  <si>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</si>
  <si>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</si>
  <si>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</si>
  <si>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</si>
  <si>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</si>
  <si>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</si>
  <si>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</si>
  <si>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</si>
  <si>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</si>
  <si>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</si>
  <si>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</si>
  <si>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</si>
  <si>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</si>
  <si>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</si>
  <si>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</si>
  <si>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</si>
  <si>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</si>
  <si>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</si>
  <si>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</si>
  <si>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</si>
  <si>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</si>
  <si>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</si>
  <si>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</si>
  <si>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</si>
  <si>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</si>
  <si>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</si>
  <si>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</si>
  <si>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</si>
  <si>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</si>
  <si>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</si>
  <si>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</si>
  <si>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</si>
  <si>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</si>
  <si>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</si>
  <si>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</si>
  <si>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</si>
  <si>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</si>
  <si>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</si>
  <si>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</si>
  <si>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</si>
  <si>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</si>
  <si>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</si>
  <si>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</si>
  <si>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</si>
  <si>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</si>
  <si>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</si>
  <si>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</si>
  <si>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</si>
  <si>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</si>
  <si>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</si>
  <si>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</si>
  <si>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</si>
  <si>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</si>
  <si>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</si>
  <si>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</si>
  <si>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</si>
  <si>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</si>
  <si>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</si>
  <si>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</si>
  <si>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</si>
  <si>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</si>
  <si>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</si>
  <si>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</si>
  <si>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</si>
  <si>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</si>
  <si>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</si>
  <si>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</si>
  <si>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</si>
  <si>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</si>
  <si>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</si>
  <si>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</si>
  <si>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</si>
  <si>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</si>
  <si>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</si>
  <si>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</si>
  <si>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</si>
  <si>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</si>
  <si>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</si>
  <si>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</si>
  <si>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</si>
  <si>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</si>
  <si>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</si>
  <si>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</si>
  <si>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</si>
  <si>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</si>
  <si>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</si>
  <si>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</si>
  <si>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</si>
  <si>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</si>
  <si>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</si>
  <si>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</si>
  <si>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</si>
  <si>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</si>
  <si>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</si>
  <si>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</si>
  <si>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</si>
  <si>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</si>
  <si>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</si>
  <si>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</si>
  <si>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</si>
  <si>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</si>
  <si>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</si>
  <si>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</si>
  <si>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</si>
  <si>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</si>
  <si>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</si>
  <si>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</si>
  <si>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</si>
  <si>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</si>
  <si>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</si>
  <si>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</si>
  <si>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</si>
  <si>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</si>
  <si>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</si>
  <si>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</si>
  <si>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</si>
  <si>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</si>
  <si>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</si>
  <si>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</si>
  <si>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</si>
  <si>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</si>
  <si>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</si>
  <si>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</si>
  <si>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</si>
  <si>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</si>
  <si>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</si>
  <si>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</si>
  <si>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</si>
  <si>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</si>
  <si>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</si>
  <si>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</si>
  <si>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</si>
  <si>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</si>
  <si>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</si>
  <si>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</si>
  <si>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</si>
  <si>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</si>
  <si>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</si>
  <si>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</si>
  <si>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</si>
  <si>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</si>
  <si>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</si>
  <si>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</si>
  <si>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</si>
  <si>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</si>
  <si>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</si>
  <si>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</si>
  <si>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</si>
  <si>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</si>
  <si>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</si>
  <si>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</si>
  <si>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</si>
  <si>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</si>
  <si>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</si>
  <si>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</si>
  <si>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</si>
  <si>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</si>
  <si>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</si>
  <si>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</si>
  <si>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</si>
  <si>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</si>
  <si>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</si>
  <si>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</si>
  <si>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</si>
  <si>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</si>
  <si>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</si>
  <si>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</si>
  <si>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</si>
  <si>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</si>
  <si>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</si>
  <si>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</si>
  <si>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</si>
  <si>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</si>
  <si>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</si>
  <si>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</si>
  <si>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</si>
  <si>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</si>
  <si>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</si>
  <si>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</si>
  <si>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</si>
  <si>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</si>
  <si>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</si>
  <si>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</si>
  <si>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</si>
  <si>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</si>
  <si>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</si>
  <si>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</si>
  <si>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</si>
  <si>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</si>
  <si>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</si>
  <si>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</si>
  <si>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</si>
  <si>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</si>
  <si>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</si>
  <si>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</si>
  <si>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</si>
  <si>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</si>
  <si>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</si>
  <si>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</si>
  <si>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</si>
  <si>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</si>
  <si>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</si>
  <si>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</si>
  <si>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</si>
  <si>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</si>
  <si>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</si>
  <si>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</si>
  <si>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</si>
  <si>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</si>
  <si>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</si>
  <si>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</si>
  <si>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</si>
  <si>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</si>
  <si>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</si>
  <si>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</si>
  <si>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</si>
  <si>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</si>
  <si>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</si>
  <si>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</si>
  <si>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</si>
  <si>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</si>
  <si>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</si>
  <si>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</si>
  <si>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</si>
  <si>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</si>
  <si>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</si>
  <si>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</si>
  <si>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</si>
  <si>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</si>
  <si>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</si>
  <si>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</si>
  <si>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</si>
  <si>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</si>
  <si>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</si>
  <si>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</si>
  <si>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</si>
  <si>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</si>
  <si>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</si>
  <si>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</si>
  <si>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</si>
  <si>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</si>
  <si>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</si>
  <si>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</si>
  <si>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</si>
  <si>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</si>
  <si>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</si>
  <si>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</si>
  <si>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</si>
  <si>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</si>
  <si>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</si>
  <si>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</si>
  <si>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</si>
  <si>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</si>
  <si>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</si>
  <si>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</si>
  <si>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</si>
  <si>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</si>
  <si>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</si>
  <si>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</si>
  <si>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</si>
  <si>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</si>
  <si>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</si>
  <si>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</si>
  <si>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</si>
  <si>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</si>
  <si>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</si>
  <si>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</si>
  <si>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</si>
  <si>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</si>
  <si>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</si>
  <si>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</si>
  <si>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</si>
  <si>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</si>
  <si>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</si>
  <si>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</si>
  <si>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</si>
  <si>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</si>
  <si>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</si>
  <si>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</si>
  <si>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</si>
  <si>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</si>
  <si>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</si>
  <si>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</si>
  <si>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</si>
  <si>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</si>
  <si>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</si>
  <si>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</si>
  <si>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</si>
  <si>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</si>
  <si>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</si>
  <si>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</si>
  <si>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</si>
  <si>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</si>
  <si>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</si>
  <si>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</si>
  <si>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</si>
  <si>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</si>
  <si>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</si>
  <si>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</si>
  <si>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</si>
  <si>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</si>
  <si>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</si>
  <si>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</si>
  <si>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</si>
  <si>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</si>
  <si>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</si>
  <si>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</si>
  <si>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</si>
  <si>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</si>
  <si>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</si>
  <si>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</si>
  <si>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</si>
  <si>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</si>
  <si>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</si>
  <si>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</si>
  <si>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</si>
  <si>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</si>
  <si>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</si>
  <si>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</si>
  <si>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</si>
  <si>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</si>
  <si>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</si>
  <si>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</si>
  <si>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</si>
  <si>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</si>
  <si>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</si>
  <si>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</si>
  <si>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</si>
  <si>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</si>
  <si>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</si>
  <si>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</si>
  <si>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</si>
  <si>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</si>
  <si>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</si>
  <si>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</si>
  <si>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</si>
  <si>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</si>
  <si>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</si>
  <si>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</si>
  <si>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</si>
  <si>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</si>
  <si>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</si>
  <si>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</si>
  <si>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</si>
  <si>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</si>
  <si>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</si>
  <si>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</si>
  <si>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</si>
  <si>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</si>
  <si>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</si>
  <si>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</si>
  <si>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</si>
  <si>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</si>
  <si>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</si>
  <si>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</si>
  <si>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</si>
  <si>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</si>
  <si>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</si>
  <si>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</si>
  <si>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</si>
  <si>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</si>
  <si>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</si>
  <si>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</si>
  <si>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</si>
  <si>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</si>
  <si>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</si>
  <si>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</si>
  <si>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</si>
  <si>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</si>
  <si>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</si>
  <si>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</si>
  <si>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</si>
  <si>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</si>
  <si>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</si>
  <si>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</si>
  <si>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</si>
  <si>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</si>
  <si>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</si>
  <si>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</si>
  <si>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</si>
  <si>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</si>
  <si>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</si>
  <si>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</si>
  <si>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</si>
  <si>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</si>
  <si>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</si>
  <si>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</si>
  <si>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</si>
  <si>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</si>
  <si>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</si>
  <si>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</si>
  <si>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</si>
  <si>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</si>
  <si>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</si>
  <si>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</si>
  <si>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</si>
  <si>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</si>
  <si>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</si>
  <si>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</si>
  <si>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</si>
  <si>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</si>
  <si>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</si>
  <si>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</si>
  <si>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</si>
  <si>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</si>
  <si>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</si>
  <si>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</si>
  <si>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</si>
  <si>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</si>
  <si>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</si>
  <si>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</si>
  <si>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</si>
  <si>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</si>
  <si>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</si>
  <si>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</si>
  <si>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</si>
  <si>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</si>
  <si>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</si>
  <si>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</si>
  <si>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</si>
  <si>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</si>
  <si>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</si>
  <si>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</si>
  <si>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</si>
  <si>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</si>
  <si>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</si>
  <si>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</si>
  <si>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</si>
  <si>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</si>
  <si>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</si>
  <si>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</si>
  <si>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</si>
  <si>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</si>
  <si>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</si>
  <si>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</si>
  <si>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</si>
  <si>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</si>
  <si>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</si>
  <si>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</si>
  <si>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</si>
  <si>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</si>
  <si>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</si>
  <si>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</si>
  <si>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</si>
  <si>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</si>
  <si>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</si>
  <si>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</si>
  <si>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</si>
  <si>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</si>
  <si>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</si>
  <si>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</si>
  <si>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</si>
  <si>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</si>
  <si>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</si>
  <si>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</si>
  <si>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</si>
  <si>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</si>
  <si>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</si>
  <si>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</si>
  <si>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</si>
  <si>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</si>
  <si>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</si>
  <si>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</si>
  <si>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</si>
  <si>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</si>
  <si>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</si>
  <si>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</si>
  <si>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</si>
  <si>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</si>
  <si>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</si>
  <si>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</si>
  <si>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</si>
  <si>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</si>
  <si>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</si>
  <si>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</si>
  <si>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</si>
  <si>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</si>
  <si>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</si>
  <si>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</si>
  <si>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</si>
  <si>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</si>
  <si>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</si>
  <si>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</si>
  <si>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</si>
  <si>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</si>
  <si>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</si>
  <si>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</si>
  <si>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</si>
  <si>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</si>
  <si>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</si>
  <si>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</si>
  <si>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</si>
  <si>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</si>
  <si>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</si>
  <si>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</si>
  <si>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</si>
  <si>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</si>
  <si>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</si>
  <si>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</si>
  <si>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</si>
  <si>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</si>
  <si>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</si>
  <si>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</si>
  <si>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</si>
  <si>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</si>
  <si>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</si>
  <si>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</si>
  <si>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</si>
  <si>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</si>
  <si>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</si>
  <si>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</si>
  <si>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</si>
  <si>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</si>
  <si>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</si>
  <si>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</si>
  <si>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</si>
  <si>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</si>
  <si>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</si>
  <si>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</si>
  <si>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</si>
  <si>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</si>
  <si>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</si>
  <si>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</si>
  <si>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</si>
  <si>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</si>
  <si>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</si>
  <si>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</si>
  <si>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</si>
  <si>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</si>
  <si>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</si>
  <si>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</si>
  <si>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</si>
  <si>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</si>
  <si>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</si>
  <si>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</si>
  <si>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</si>
  <si>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</si>
  <si>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</si>
  <si>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</si>
  <si>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</si>
  <si>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</si>
  <si>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</si>
  <si>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</si>
  <si>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</si>
  <si>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</si>
  <si>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</si>
  <si>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</si>
  <si>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</si>
  <si>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</si>
  <si>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</si>
  <si>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</si>
  <si>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</si>
  <si>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</si>
  <si>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</si>
  <si>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</si>
  <si>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</si>
  <si>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</si>
  <si>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</si>
  <si>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</si>
  <si>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</si>
  <si>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</si>
  <si>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</si>
  <si>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</si>
  <si>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</si>
  <si>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</si>
  <si>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</si>
  <si>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</si>
  <si>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</si>
  <si>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</si>
  <si>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</si>
  <si>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</si>
  <si>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</si>
  <si>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</si>
  <si>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</si>
  <si>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</si>
  <si>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</si>
  <si>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</si>
  <si>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</si>
  <si>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</si>
  <si>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</si>
  <si>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</si>
  <si>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</si>
  <si>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</si>
  <si>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</si>
  <si>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</si>
  <si>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</si>
  <si>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</si>
  <si>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</si>
  <si>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</si>
  <si>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</si>
  <si>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</si>
  <si>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</si>
  <si>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</si>
  <si>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</si>
  <si>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</si>
  <si>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</si>
  <si>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</si>
  <si>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</si>
  <si>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</si>
  <si>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</si>
  <si>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</si>
  <si>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</si>
  <si>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</si>
  <si>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</si>
  <si>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</si>
  <si>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</si>
  <si>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</si>
  <si>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</si>
  <si>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</si>
  <si>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</si>
  <si>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</si>
  <si>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</si>
  <si>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</si>
  <si>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</si>
  <si>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</si>
  <si>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</si>
  <si>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</si>
  <si>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</si>
  <si>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</si>
  <si>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</si>
  <si>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</si>
  <si>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</si>
  <si>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</si>
  <si>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</si>
  <si>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</si>
  <si>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</si>
  <si>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</si>
  <si>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</si>
  <si>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</si>
  <si>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</si>
  <si>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</si>
  <si>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</si>
  <si>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</si>
  <si>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</si>
  <si>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</si>
  <si>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</si>
  <si>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</si>
  <si>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</si>
  <si>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</si>
  <si>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</si>
  <si>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</si>
  <si>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</si>
  <si>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</si>
  <si>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</si>
  <si>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</si>
  <si>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</si>
  <si>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</si>
  <si>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</si>
  <si>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</si>
  <si>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</si>
  <si>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</si>
  <si>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</si>
  <si>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</si>
  <si>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</si>
  <si>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</si>
  <si>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</si>
  <si>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</si>
  <si>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</si>
  <si>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</si>
  <si>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</si>
  <si>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</si>
  <si>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</si>
  <si>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</si>
  <si>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</si>
  <si>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</si>
  <si>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</si>
  <si>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</si>
  <si>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</si>
  <si>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</si>
  <si>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</si>
  <si>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</si>
  <si>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</si>
  <si>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</si>
  <si>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</si>
  <si>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</si>
  <si>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</si>
  <si>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</si>
  <si>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</si>
  <si>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</si>
  <si>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</si>
  <si>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</si>
  <si>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</si>
  <si>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</si>
  <si>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</si>
  <si>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</si>
  <si>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</si>
  <si>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</si>
  <si>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</si>
  <si>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</si>
  <si>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</si>
  <si>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</si>
  <si>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</si>
  <si>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</si>
  <si>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</si>
  <si>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</si>
  <si>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</si>
  <si>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</si>
  <si>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</si>
  <si>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</si>
  <si>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</si>
  <si>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</si>
  <si>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</si>
  <si>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</si>
  <si>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</si>
  <si>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</si>
  <si>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</si>
  <si>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</si>
  <si>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</si>
  <si>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</si>
  <si>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</si>
  <si>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</si>
  <si>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</si>
  <si>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</si>
  <si>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</si>
  <si>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</si>
  <si>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</si>
  <si>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</si>
  <si>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</si>
  <si>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</si>
  <si>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</si>
  <si>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</si>
  <si>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</si>
  <si>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</si>
  <si>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</si>
  <si>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</si>
  <si>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</si>
  <si>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</si>
  <si>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</si>
  <si>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</si>
  <si>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</si>
  <si>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</si>
  <si>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</si>
  <si>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</si>
  <si>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</si>
  <si>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</si>
  <si>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</si>
  <si>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</si>
  <si>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</si>
  <si>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</si>
  <si>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</si>
  <si>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</si>
  <si>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</si>
  <si>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</si>
  <si>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</si>
  <si>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</si>
  <si>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</si>
  <si>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</si>
  <si>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</si>
  <si>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</si>
  <si>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</si>
  <si>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</si>
  <si>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</si>
  <si>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</si>
  <si>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</si>
  <si>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</si>
  <si>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</si>
  <si>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</si>
  <si>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</si>
  <si>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</si>
  <si>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</si>
  <si>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</si>
  <si>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</si>
  <si>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</si>
  <si>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</si>
  <si>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</si>
  <si>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</si>
  <si>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</si>
  <si>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</si>
  <si>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</si>
  <si>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</si>
  <si>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</si>
  <si>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</si>
  <si>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</si>
  <si>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</si>
  <si>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</si>
  <si>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</si>
  <si>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</si>
  <si>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</si>
  <si>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</si>
  <si>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</si>
  <si>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</si>
  <si>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</si>
  <si>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</si>
  <si>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</si>
  <si>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</si>
  <si>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</si>
  <si>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</si>
  <si>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</si>
  <si>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</si>
  <si>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</si>
  <si>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</si>
  <si>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</si>
  <si>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</si>
  <si>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</si>
  <si>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</si>
  <si>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</si>
  <si>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</si>
  <si>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</si>
  <si>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</si>
  <si>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</si>
  <si>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</si>
  <si>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</si>
  <si>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</si>
  <si>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</si>
  <si>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</si>
  <si>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</si>
  <si>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</si>
  <si>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</si>
  <si>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</si>
  <si>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</si>
  <si>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</si>
  <si>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</si>
  <si>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</si>
  <si>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</si>
  <si>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</si>
  <si>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</si>
  <si>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</si>
  <si>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</si>
  <si>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</si>
  <si>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</si>
  <si>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</si>
  <si>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</si>
  <si>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</si>
  <si>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</si>
  <si>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</si>
  <si>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</si>
  <si>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</si>
  <si>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</si>
  <si>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</si>
  <si>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</si>
  <si>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</si>
  <si>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</si>
  <si>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</si>
  <si>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</si>
  <si>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</si>
  <si>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</si>
  <si>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</si>
  <si>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</si>
  <si>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</si>
  <si>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</si>
  <si>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</si>
  <si>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</si>
  <si>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</si>
  <si>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</si>
  <si>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</si>
  <si>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</si>
  <si>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</si>
  <si>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</si>
  <si>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</si>
  <si>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</si>
  <si>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</si>
  <si>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</si>
  <si>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</si>
  <si>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</si>
  <si>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</si>
  <si>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</si>
  <si>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</si>
  <si>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</si>
  <si>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</si>
  <si>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</si>
  <si>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</si>
  <si>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</si>
  <si>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</si>
  <si>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</si>
  <si>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</si>
  <si>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</si>
  <si>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</si>
  <si>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</si>
  <si>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</si>
  <si>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</si>
  <si>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</si>
  <si>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</si>
  <si>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</si>
  <si>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</si>
  <si>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</si>
  <si>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</si>
  <si>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</si>
  <si>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</si>
  <si>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</si>
  <si>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</si>
  <si>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</si>
  <si>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</si>
  <si>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</si>
  <si>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</si>
  <si>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</si>
  <si>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</si>
  <si>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</si>
  <si>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</si>
  <si>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</si>
  <si>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</si>
  <si>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</si>
  <si>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</si>
  <si>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</si>
  <si>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</si>
  <si>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</si>
  <si>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</si>
  <si>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</si>
  <si>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</si>
  <si>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</si>
  <si>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</si>
  <si>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</si>
  <si>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</si>
  <si>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</si>
  <si>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</si>
  <si>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</si>
  <si>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</si>
  <si>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</si>
  <si>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</si>
  <si>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</si>
  <si>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</si>
  <si>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</si>
  <si>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</si>
  <si>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</si>
  <si>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</si>
  <si>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</si>
  <si>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</si>
  <si>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</si>
  <si>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</si>
  <si>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</si>
  <si>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</si>
  <si>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</si>
  <si>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</si>
  <si>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</si>
  <si>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</si>
  <si>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</si>
  <si>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Iroquois</t>
  </si>
  <si>
    <t>529 E Second St.</t>
  </si>
  <si>
    <t>Gilman</t>
  </si>
  <si>
    <t>Dr. Robert Bagby</t>
  </si>
  <si>
    <t>rbagby@iwest.k12.il.us</t>
  </si>
  <si>
    <t>815-265-4642</t>
  </si>
  <si>
    <t>815-265-7008</t>
  </si>
  <si>
    <t>Burke, Montague &amp; Associates LLC</t>
  </si>
  <si>
    <t>Ray Raymond</t>
  </si>
  <si>
    <t>253 W. Broadway</t>
  </si>
  <si>
    <t>Bradley</t>
  </si>
  <si>
    <t>IL</t>
  </si>
  <si>
    <t>815-933-5641</t>
  </si>
  <si>
    <t>815-939-0016</t>
  </si>
  <si>
    <t>066-003660</t>
  </si>
  <si>
    <t>Working Cash Bonds</t>
  </si>
  <si>
    <t>WCF Bonds</t>
  </si>
  <si>
    <t>Iroquois West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</si>
</sst>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1323109</xdr:colOff>
          <xdr:row>1</xdr:row>
          <xdr:rowOff>22513</xdr:rowOff>
        </xdr:from>
        <xdr:to>
          <xdr:col>1</xdr:col>
          <xdr:colOff>2237509</xdr:colOff>
          <xdr:row>5</xdr:row>
          <xdr:rowOff>63211</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116032</xdr:colOff>
          <xdr:row>1</xdr:row>
          <xdr:rowOff>45027</xdr:rowOff>
        </xdr:from>
        <xdr:to>
          <xdr:col>1</xdr:col>
          <xdr:colOff>1027834</xdr:colOff>
          <xdr:row>5</xdr:row>
          <xdr:rowOff>83127</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363681</xdr:colOff>
          <xdr:row>4</xdr:row>
          <xdr:rowOff>69272</xdr:rowOff>
        </xdr:from>
        <xdr:to>
          <xdr:col>15</xdr:col>
          <xdr:colOff>113433</xdr:colOff>
          <xdr:row>48</xdr:row>
          <xdr:rowOff>19049</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1400-000006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32038010026</v>
      </c>
      <c r="B13" s="2020"/>
      <c r="C13" s="2020"/>
      <c r="D13" s="2020"/>
      <c r="E13" s="2020"/>
      <c r="F13" s="2020"/>
      <c r="G13" s="2020"/>
      <c r="H13" s="2021"/>
      <c r="I13" s="31"/>
      <c r="J13" s="30"/>
      <c r="K13" s="28"/>
      <c r="L13" s="30"/>
      <c r="M13" s="30"/>
      <c r="N13" s="30"/>
      <c r="O13" s="30"/>
      <c r="P13" s="30"/>
      <c r="Q13" s="30"/>
      <c r="R13" s="30"/>
      <c r="S13" s="30"/>
      <c r="T13" s="2024" t="s">
        <v>2073</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2066</v>
      </c>
      <c r="B15" s="2022"/>
      <c r="C15" s="2022"/>
      <c r="D15" s="2022"/>
      <c r="E15" s="2022"/>
      <c r="F15" s="2022"/>
      <c r="G15" s="2022"/>
      <c r="H15" s="2023"/>
      <c r="T15" s="2028" t="s">
        <v>2074</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2083</v>
      </c>
      <c r="B17" s="1979"/>
      <c r="C17" s="1979"/>
      <c r="D17" s="1979"/>
      <c r="E17" s="1979"/>
      <c r="F17" s="1979"/>
      <c r="G17" s="1979"/>
      <c r="H17" s="2004"/>
      <c r="T17" s="2035" t="s">
        <v>2075</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2067</v>
      </c>
      <c r="B19" s="1964"/>
      <c r="C19" s="1964"/>
      <c r="D19" s="1964"/>
      <c r="E19" s="1964"/>
      <c r="F19" s="1964"/>
      <c r="G19" s="1964"/>
      <c r="H19" s="1944"/>
      <c r="I19" s="30"/>
      <c r="J19" s="99"/>
      <c r="K19" s="40"/>
      <c r="L19" s="38"/>
      <c r="M19" s="112" t="s">
        <v>315</v>
      </c>
      <c r="P19" s="27"/>
      <c r="Q19" s="27"/>
      <c r="R19" s="27"/>
      <c r="S19" s="31"/>
      <c r="T19" s="2018" t="s">
        <v>2076</v>
      </c>
      <c r="U19" s="1943"/>
      <c r="V19" s="1943"/>
      <c r="W19" s="1944"/>
      <c r="X19" s="2033" t="s">
        <v>2077</v>
      </c>
      <c r="Y19" s="2034"/>
      <c r="Z19" s="2031">
        <v>60915</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2068</v>
      </c>
      <c r="B21" s="1943"/>
      <c r="C21" s="1943"/>
      <c r="D21" s="1943"/>
      <c r="E21" s="1943"/>
      <c r="F21" s="1943"/>
      <c r="G21" s="1943"/>
      <c r="H21" s="1944"/>
      <c r="I21" s="1998" t="s">
        <v>678</v>
      </c>
      <c r="J21" s="1993"/>
      <c r="K21" s="1993"/>
      <c r="L21" s="1993"/>
      <c r="M21" s="1993"/>
      <c r="N21" s="1993"/>
      <c r="O21" s="1993"/>
      <c r="P21" s="1993"/>
      <c r="Q21" s="1993"/>
      <c r="R21" s="1993"/>
      <c r="S21" s="1999"/>
      <c r="T21" s="2042" t="s">
        <v>2078</v>
      </c>
      <c r="U21" s="2043"/>
      <c r="V21" s="2043"/>
      <c r="W21" s="2043"/>
      <c r="X21" s="2048" t="s">
        <v>2079</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2080</v>
      </c>
      <c r="U23" s="2041"/>
      <c r="V23" s="2041"/>
      <c r="W23" s="2041"/>
      <c r="X23" s="2045">
        <v>44530</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60938</v>
      </c>
      <c r="B25" s="1943"/>
      <c r="C25" s="1943"/>
      <c r="D25" s="1943"/>
      <c r="E25" s="1943"/>
      <c r="F25" s="1943"/>
      <c r="G25" s="1943"/>
      <c r="H25" s="1944"/>
      <c r="I25" s="113"/>
      <c r="J25" s="1967"/>
      <c r="K25" s="1967"/>
      <c r="L25" s="1967"/>
      <c r="M25" s="1967"/>
      <c r="N25" s="1967"/>
      <c r="O25" s="1967"/>
      <c r="P25" s="1967"/>
      <c r="Q25" s="1967"/>
      <c r="R25" s="1967"/>
      <c r="S25" s="1968"/>
      <c r="T25" s="2038"/>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2069</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2070</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2071</v>
      </c>
      <c r="B42" s="1962"/>
      <c r="C42" s="1963"/>
      <c r="D42" s="1961" t="s">
        <v>2072</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2393338</v>
      </c>
      <c r="C4" s="1524"/>
      <c r="D4" s="1752">
        <f>B4-C4</f>
        <v>2393338</v>
      </c>
      <c r="E4" s="1524">
        <v>2501127</v>
      </c>
      <c r="F4" s="1752">
        <f>E4-C4</f>
        <v>2501127</v>
      </c>
    </row>
    <row r="5" spans="1:6" ht="13.7" customHeight="1" x14ac:dyDescent="0.2">
      <c r="A5" s="715" t="s">
        <v>870</v>
      </c>
      <c r="B5" s="1750">
        <f>'Revenues 9-14'!D5</f>
        <v>543940</v>
      </c>
      <c r="C5" s="585"/>
      <c r="D5" s="1753">
        <f t="shared" ref="D5:D18" si="0">B5-C5</f>
        <v>543940</v>
      </c>
      <c r="E5" s="585">
        <v>568440</v>
      </c>
      <c r="F5" s="1753">
        <f>E5-C5</f>
        <v>568440</v>
      </c>
    </row>
    <row r="6" spans="1:6" ht="13.7" customHeight="1" x14ac:dyDescent="0.2">
      <c r="A6" s="715" t="s">
        <v>411</v>
      </c>
      <c r="B6" s="1750">
        <f>'Revenues 9-14'!E5</f>
        <v>148887</v>
      </c>
      <c r="C6" s="585"/>
      <c r="D6" s="1753">
        <f t="shared" si="0"/>
        <v>148887</v>
      </c>
      <c r="E6" s="585">
        <v>145030</v>
      </c>
      <c r="F6" s="1753">
        <f t="shared" ref="F6:F18" si="1">E6-C6</f>
        <v>145030</v>
      </c>
    </row>
    <row r="7" spans="1:6" ht="13.7" customHeight="1" x14ac:dyDescent="0.2">
      <c r="A7" s="715" t="s">
        <v>155</v>
      </c>
      <c r="B7" s="1750">
        <f>'Revenues 9-14'!F5</f>
        <v>174062</v>
      </c>
      <c r="C7" s="585"/>
      <c r="D7" s="1753">
        <f t="shared" si="0"/>
        <v>174062</v>
      </c>
      <c r="E7" s="585">
        <v>181907</v>
      </c>
      <c r="F7" s="1753">
        <f t="shared" si="1"/>
        <v>181907</v>
      </c>
    </row>
    <row r="8" spans="1:6" ht="13.7" customHeight="1" x14ac:dyDescent="0.2">
      <c r="A8" s="715" t="s">
        <v>1179</v>
      </c>
      <c r="B8" s="1750">
        <f>'Revenues 9-14'!G5</f>
        <v>180272</v>
      </c>
      <c r="C8" s="585"/>
      <c r="D8" s="1753">
        <f t="shared" si="0"/>
        <v>180272</v>
      </c>
      <c r="E8" s="585">
        <v>180006</v>
      </c>
      <c r="F8" s="1753">
        <f t="shared" si="1"/>
        <v>180006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43516</v>
      </c>
      <c r="C10" s="585"/>
      <c r="D10" s="1753">
        <f t="shared" si="0"/>
        <v>43516</v>
      </c>
      <c r="E10" s="585">
        <v>43476</v>
      </c>
      <c r="F10" s="1753">
        <f t="shared" si="1"/>
        <v>43476</v>
      </c>
    </row>
    <row r="11" spans="1:6" x14ac:dyDescent="0.2">
      <c r="A11" s="715" t="s">
        <v>409</v>
      </c>
      <c r="B11" s="1750">
        <f>'Revenues 9-14'!J5</f>
        <v>530805</v>
      </c>
      <c r="C11" s="585"/>
      <c r="D11" s="1753">
        <f t="shared" si="0"/>
        <v>530805</v>
      </c>
      <c r="E11" s="585">
        <v>535000</v>
      </c>
      <c r="F11" s="1753">
        <f t="shared" si="1"/>
        <v>535000</v>
      </c>
    </row>
    <row r="12" spans="1:6" ht="13.7" customHeight="1" x14ac:dyDescent="0.2">
      <c r="A12" s="715" t="s">
        <v>157</v>
      </c>
      <c r="B12" s="1750">
        <f>'Revenues 9-14'!K5</f>
        <v>43515</v>
      </c>
      <c r="C12" s="585"/>
      <c r="D12" s="1753">
        <f t="shared" si="0"/>
        <v>43515</v>
      </c>
      <c r="E12" s="585">
        <v>45477</v>
      </c>
      <c r="F12" s="1753">
        <f t="shared" si="1"/>
        <v>45477</v>
      </c>
    </row>
    <row r="13" spans="1:6" ht="13.7" customHeight="1" x14ac:dyDescent="0.2">
      <c r="A13" s="715" t="s">
        <v>936</v>
      </c>
      <c r="B13" s="1750">
        <f>SUM('Revenues 9-14'!C6:D6)</f>
        <v>43515</v>
      </c>
      <c r="C13" s="585"/>
      <c r="D13" s="1753">
        <f t="shared" si="0"/>
        <v>43515</v>
      </c>
      <c r="E13" s="585">
        <v>45477</v>
      </c>
      <c r="F13" s="1753">
        <f t="shared" si="1"/>
        <v>45477</v>
      </c>
    </row>
    <row r="14" spans="1:6" ht="13.7" customHeight="1" x14ac:dyDescent="0.2">
      <c r="A14" s="715" t="s">
        <v>410</v>
      </c>
      <c r="B14" s="1750">
        <f>SUM('Revenues 9-14'!C7:D7,'Revenues 9-14'!F7:H7)</f>
        <v>34813</v>
      </c>
      <c r="C14" s="585"/>
      <c r="D14" s="1753">
        <f t="shared" si="0"/>
        <v>34813</v>
      </c>
      <c r="E14" s="585">
        <v>36383</v>
      </c>
      <c r="F14" s="1753">
        <f t="shared" si="1"/>
        <v>36383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171265</v>
      </c>
      <c r="C16" s="585"/>
      <c r="D16" s="1753">
        <f t="shared" si="0"/>
        <v>171265</v>
      </c>
      <c r="E16" s="585">
        <v>171013</v>
      </c>
      <c r="F16" s="1753">
        <f t="shared" si="1"/>
        <v>171013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4307928</v>
      </c>
      <c r="C19" s="1751">
        <f>SUM(C4:C18)</f>
        <v>0</v>
      </c>
      <c r="D19" s="1751">
        <f>SUM(D4:D18)</f>
        <v>4307928</v>
      </c>
      <c r="E19" s="1751">
        <f>SUM(E4:E18)</f>
        <v>4453336</v>
      </c>
      <c r="F19" s="1751">
        <f>SUM(F4:F18)</f>
        <v>4453336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1954</v>
      </c>
      <c r="D2" s="723" t="s">
        <v>1955</v>
      </c>
      <c r="E2" s="723" t="s">
        <v>1956</v>
      </c>
      <c r="F2" s="1884"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2081</v>
      </c>
      <c r="B31" s="733">
        <v>42429</v>
      </c>
      <c r="C31" s="734">
        <v>1470000</v>
      </c>
      <c r="D31" s="735">
        <v>1</v>
      </c>
      <c r="E31" s="734">
        <v>1470000</v>
      </c>
      <c r="F31" s="734"/>
      <c r="G31" s="734"/>
      <c r="H31" s="734"/>
      <c r="I31" s="1756">
        <f>((E31+F31)-H31)+G31</f>
        <v>1470000</v>
      </c>
      <c r="J31" s="734">
        <v>1470000</v>
      </c>
      <c r="K31" s="736"/>
    </row>
    <row r="32" spans="1:11" ht="12" customHeight="1" x14ac:dyDescent="0.2">
      <c r="A32" s="732" t="s">
        <v>2082</v>
      </c>
      <c r="B32" s="733">
        <v>40210</v>
      </c>
      <c r="C32" s="734">
        <v>750000</v>
      </c>
      <c r="D32" s="735">
        <v>1</v>
      </c>
      <c r="E32" s="734">
        <v>255000</v>
      </c>
      <c r="F32" s="734"/>
      <c r="G32" s="734"/>
      <c r="H32" s="734">
        <v>95000</v>
      </c>
      <c r="I32" s="1756">
        <f>((E32+F32)-H32)+G32</f>
        <v>160000</v>
      </c>
      <c r="J32" s="734">
        <v>145599</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2220000</v>
      </c>
      <c r="D49" s="745"/>
      <c r="E49" s="1756">
        <f t="shared" ref="E49:J49" si="2">SUM(E31:E48)</f>
        <v>1725000</v>
      </c>
      <c r="F49" s="1756">
        <f t="shared" si="2"/>
        <v>0</v>
      </c>
      <c r="G49" s="1756">
        <f t="shared" si="2"/>
        <v>0</v>
      </c>
      <c r="H49" s="1756">
        <f t="shared" si="2"/>
        <v>95000</v>
      </c>
      <c r="I49" s="1756">
        <f t="shared" si="2"/>
        <v>1630000</v>
      </c>
      <c r="J49" s="1756">
        <f t="shared" si="2"/>
        <v>1615599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34813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34813</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34813</v>
      </c>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34813</v>
      </c>
      <c r="I23" s="1758">
        <f>SUM(I14:I16,I21,I22)</f>
        <v>0</v>
      </c>
      <c r="J23" s="1758">
        <f>SUM(J14:J16,J21,J22)</f>
        <v>0</v>
      </c>
      <c r="K23" s="1758">
        <f>SUM(K14:K16,K21,K22)</f>
        <v>0</v>
      </c>
    </row>
    <row r="24" spans="1:11" ht="14.25" thickTop="1" thickBot="1" x14ac:dyDescent="0.25">
      <c r="A24" s="2249" t="s">
        <v>1963</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E23" sqref="E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15000</v>
      </c>
      <c r="D5" s="841"/>
      <c r="E5" s="841"/>
      <c r="F5" s="1760">
        <f>(C5+D5)-E5</f>
        <v>15000</v>
      </c>
      <c r="G5" s="837"/>
      <c r="H5" s="842"/>
      <c r="I5" s="842"/>
      <c r="J5" s="842"/>
      <c r="K5" s="793"/>
      <c r="L5" s="1769">
        <f>F5-K5</f>
        <v>15000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9045974</v>
      </c>
      <c r="D8" s="844">
        <v>77705</v>
      </c>
      <c r="E8" s="844"/>
      <c r="F8" s="1760">
        <f>(C8+D8)-E8</f>
        <v>9123679</v>
      </c>
      <c r="G8" s="843">
        <v>50</v>
      </c>
      <c r="H8" s="765">
        <v>6622601</v>
      </c>
      <c r="I8" s="765">
        <v>222695</v>
      </c>
      <c r="J8" s="765"/>
      <c r="K8" s="1769">
        <f>(H8+I8)-J8</f>
        <v>6845296</v>
      </c>
      <c r="L8" s="1769">
        <f>F8-K8</f>
        <v>2278383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1162696</v>
      </c>
      <c r="D10" s="846"/>
      <c r="E10" s="846"/>
      <c r="F10" s="1764">
        <f>(C10+D10)-E10</f>
        <v>1162696</v>
      </c>
      <c r="G10" s="843">
        <v>20</v>
      </c>
      <c r="H10" s="847">
        <v>555010</v>
      </c>
      <c r="I10" s="847"/>
      <c r="J10" s="847"/>
      <c r="K10" s="1769">
        <f>(H10+I10)-J10</f>
        <v>555010</v>
      </c>
      <c r="L10" s="1769">
        <f>F10-K10</f>
        <v>607686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3008168</v>
      </c>
      <c r="D12" s="844">
        <v>95504</v>
      </c>
      <c r="E12" s="844">
        <v>753593</v>
      </c>
      <c r="F12" s="1760">
        <f>(C12+D12)-E12</f>
        <v>2350079</v>
      </c>
      <c r="G12" s="843">
        <v>10</v>
      </c>
      <c r="H12" s="765">
        <v>2683810</v>
      </c>
      <c r="I12" s="765">
        <v>95504</v>
      </c>
      <c r="J12" s="765">
        <v>711742</v>
      </c>
      <c r="K12" s="1769">
        <f>(H12+I12)-J12</f>
        <v>2067572</v>
      </c>
      <c r="L12" s="1769">
        <f>F12-K12</f>
        <v>282507</v>
      </c>
    </row>
    <row r="13" spans="1:14" ht="14.25" thickTop="1" thickBot="1" x14ac:dyDescent="0.25">
      <c r="A13" s="848" t="s">
        <v>1122</v>
      </c>
      <c r="B13" s="840">
        <v>252</v>
      </c>
      <c r="C13" s="844">
        <v>359044</v>
      </c>
      <c r="D13" s="844">
        <v>9969</v>
      </c>
      <c r="E13" s="844">
        <v>156984</v>
      </c>
      <c r="F13" s="1760">
        <f>(C13+D13)-E13</f>
        <v>212029</v>
      </c>
      <c r="G13" s="843">
        <v>5</v>
      </c>
      <c r="H13" s="765">
        <v>351545</v>
      </c>
      <c r="I13" s="765">
        <v>9969</v>
      </c>
      <c r="J13" s="765">
        <v>156407</v>
      </c>
      <c r="K13" s="1769">
        <f>(H13+I13)-J13</f>
        <v>205107</v>
      </c>
      <c r="L13" s="1769">
        <f>F13-K13</f>
        <v>6922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13590882</v>
      </c>
      <c r="D16" s="1760">
        <f>SUM(D3,D5:D6,D8:D10,D12:D15)</f>
        <v>183178</v>
      </c>
      <c r="E16" s="1760">
        <f>SUM(E3,E5:E6,E8:E10,E12:E15)</f>
        <v>910577</v>
      </c>
      <c r="F16" s="1760">
        <f>SUM(F3,F5:F6,F8:F10,F12:F15)</f>
        <v>12863483</v>
      </c>
      <c r="G16" s="843"/>
      <c r="H16" s="1760">
        <f>SUM(H3,H6,H8:H10,H12:H14,)</f>
        <v>10212966</v>
      </c>
      <c r="I16" s="1760">
        <f>SUM(I3,I6,I8:I10,I12:I14,)</f>
        <v>328168</v>
      </c>
      <c r="J16" s="1760">
        <f>SUM(J3,J6,J8:J10,J12:J14,)</f>
        <v>868149</v>
      </c>
      <c r="K16" s="1760">
        <f>(H16+I16)-J16</f>
        <v>9672985</v>
      </c>
      <c r="L16" s="1760">
        <f>F16-K16</f>
        <v>3190498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328168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67" sqref="F6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8823169</v>
      </c>
      <c r="G8" s="865"/>
    </row>
    <row r="9" spans="1:7" x14ac:dyDescent="0.2">
      <c r="A9" s="869" t="s">
        <v>460</v>
      </c>
      <c r="B9" s="870" t="s">
        <v>1876</v>
      </c>
      <c r="C9" s="871"/>
      <c r="D9" s="869" t="s">
        <v>501</v>
      </c>
      <c r="E9" s="868"/>
      <c r="F9" s="1909">
        <f>'Expenditures 15-22'!K151</f>
        <v>656971</v>
      </c>
      <c r="G9" s="872"/>
    </row>
    <row r="10" spans="1:7" x14ac:dyDescent="0.2">
      <c r="A10" s="869" t="s">
        <v>499</v>
      </c>
      <c r="B10" s="870" t="s">
        <v>1877</v>
      </c>
      <c r="C10" s="871"/>
      <c r="D10" s="869" t="s">
        <v>501</v>
      </c>
      <c r="E10" s="868"/>
      <c r="F10" s="1909">
        <f>'Expenditures 15-22'!K174</f>
        <v>148194</v>
      </c>
      <c r="G10" s="872"/>
    </row>
    <row r="11" spans="1:7" x14ac:dyDescent="0.2">
      <c r="A11" s="869" t="s">
        <v>461</v>
      </c>
      <c r="B11" s="870" t="s">
        <v>1878</v>
      </c>
      <c r="C11" s="871"/>
      <c r="D11" s="869" t="s">
        <v>501</v>
      </c>
      <c r="E11" s="868"/>
      <c r="F11" s="1909">
        <f>'Expenditures 15-22'!K210</f>
        <v>620299</v>
      </c>
      <c r="G11" s="872"/>
    </row>
    <row r="12" spans="1:7" x14ac:dyDescent="0.2">
      <c r="A12" s="869" t="s">
        <v>462</v>
      </c>
      <c r="B12" s="870" t="s">
        <v>1879</v>
      </c>
      <c r="C12" s="871"/>
      <c r="D12" s="869" t="s">
        <v>501</v>
      </c>
      <c r="E12" s="868"/>
      <c r="F12" s="1909">
        <f>'Expenditures 15-22'!K295</f>
        <v>256714</v>
      </c>
      <c r="G12" s="872"/>
    </row>
    <row r="13" spans="1:7" x14ac:dyDescent="0.2">
      <c r="A13" s="869" t="s">
        <v>106</v>
      </c>
      <c r="B13" s="870" t="s">
        <v>1880</v>
      </c>
      <c r="C13" s="871"/>
      <c r="D13" s="869" t="s">
        <v>501</v>
      </c>
      <c r="E13" s="868"/>
      <c r="F13" s="1909">
        <f>'Expenditures 15-22'!K342</f>
        <v>548172</v>
      </c>
      <c r="G13" s="873"/>
    </row>
    <row r="14" spans="1:7" ht="12" customHeight="1" thickBot="1" x14ac:dyDescent="0.25">
      <c r="A14" s="1770"/>
      <c r="B14" s="1771"/>
      <c r="C14" s="1772"/>
      <c r="D14" s="1773" t="s">
        <v>501</v>
      </c>
      <c r="E14" s="1774" t="s">
        <v>958</v>
      </c>
      <c r="F14" s="1775">
        <f>SUM(F8:F13)</f>
        <v>11053519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101994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1030383</v>
      </c>
      <c r="G53" s="865"/>
    </row>
    <row r="54" spans="1:7" x14ac:dyDescent="0.2">
      <c r="A54" s="869" t="s">
        <v>459</v>
      </c>
      <c r="B54" s="869" t="s">
        <v>1476</v>
      </c>
      <c r="C54" s="889" t="s">
        <v>982</v>
      </c>
      <c r="D54" s="885" t="s">
        <v>1095</v>
      </c>
      <c r="E54" s="868"/>
      <c r="F54" s="1913">
        <f>'Expenditures 15-22'!G114</f>
        <v>89527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2258</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137692</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4850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1461704</v>
      </c>
      <c r="G76" s="865"/>
    </row>
    <row r="77" spans="1:8" s="893" customFormat="1" ht="12" customHeight="1" thickTop="1" thickBot="1" x14ac:dyDescent="0.25">
      <c r="A77" s="1779"/>
      <c r="B77" s="1776"/>
      <c r="C77" s="1772"/>
      <c r="D77" s="1777" t="s">
        <v>1899</v>
      </c>
      <c r="E77" s="1774"/>
      <c r="F77" s="1780">
        <f>(F14-F76)</f>
        <v>9591815</v>
      </c>
      <c r="G77" s="869"/>
    </row>
    <row r="78" spans="1:8" s="893" customFormat="1" ht="12" customHeight="1" thickTop="1" x14ac:dyDescent="0.2">
      <c r="A78" s="1781"/>
      <c r="B78" s="1776"/>
      <c r="C78" s="1772"/>
      <c r="D78" s="1777" t="s">
        <v>2060</v>
      </c>
      <c r="E78" s="1774"/>
      <c r="F78" s="898">
        <v>720.05</v>
      </c>
      <c r="G78" s="899"/>
      <c r="H78" s="869"/>
    </row>
    <row r="79" spans="1:8" s="893" customFormat="1" ht="12" customHeight="1" thickBot="1" x14ac:dyDescent="0.25">
      <c r="A79" s="1782"/>
      <c r="B79" s="1776"/>
      <c r="C79" s="1772"/>
      <c r="D79" s="1777" t="s">
        <v>1900</v>
      </c>
      <c r="E79" s="1774" t="s">
        <v>958</v>
      </c>
      <c r="F79" s="1783">
        <f>IF(F78&gt;0,F77/F78," Complete Line 78")</f>
        <v>13321.040205541283</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120225</v>
      </c>
      <c r="G94" s="912"/>
    </row>
    <row r="95" spans="1:7" x14ac:dyDescent="0.2">
      <c r="A95" s="908" t="s">
        <v>140</v>
      </c>
      <c r="B95" s="908" t="s">
        <v>175</v>
      </c>
      <c r="C95" s="910">
        <v>1700</v>
      </c>
      <c r="D95" s="918" t="str">
        <f>'Revenues 9-14'!A82</f>
        <v>Total District/School Activity Income</v>
      </c>
      <c r="E95" s="906"/>
      <c r="F95" s="1789">
        <f>SUM('Revenues 9-14'!C82,'Revenues 9-14'!D82)</f>
        <v>65046</v>
      </c>
      <c r="G95" s="912"/>
    </row>
    <row r="96" spans="1:7" x14ac:dyDescent="0.2">
      <c r="A96" s="908" t="s">
        <v>459</v>
      </c>
      <c r="B96" s="908" t="s">
        <v>176</v>
      </c>
      <c r="C96" s="910">
        <f>'Revenues 9-14'!B84</f>
        <v>1811</v>
      </c>
      <c r="D96" s="911" t="str">
        <f>'Revenues 9-14'!A84</f>
        <v>Rentals - Regular Textbooks</v>
      </c>
      <c r="E96" s="906"/>
      <c r="F96" s="1789">
        <f>'Revenues 9-14'!C84</f>
        <v>18411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94395</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1670970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47004</v>
      </c>
      <c r="G106" s="912"/>
    </row>
    <row r="107" spans="1:7" x14ac:dyDescent="0.2">
      <c r="A107" s="921" t="s">
        <v>664</v>
      </c>
      <c r="B107" s="908" t="s">
        <v>2003</v>
      </c>
      <c r="C107" s="920">
        <v>3300</v>
      </c>
      <c r="D107" s="911" t="str">
        <f>'Revenues 9-14'!A145</f>
        <v>Total Bilingual Ed</v>
      </c>
      <c r="E107" s="906"/>
      <c r="F107" s="1789">
        <f>SUM('Revenues 9-14'!C145,'Revenues 9-14'!G145)</f>
        <v>4988</v>
      </c>
      <c r="G107" s="912"/>
    </row>
    <row r="108" spans="1:7" x14ac:dyDescent="0.2">
      <c r="A108" s="908" t="s">
        <v>459</v>
      </c>
      <c r="B108" s="908" t="s">
        <v>2004</v>
      </c>
      <c r="C108" s="920">
        <f>'Revenues 9-14'!B146</f>
        <v>3360</v>
      </c>
      <c r="D108" s="911" t="str">
        <f>'Revenues 9-14'!A146</f>
        <v>State Free Lunch &amp; Breakfast</v>
      </c>
      <c r="E108" s="906"/>
      <c r="F108" s="1789">
        <f>'Revenues 9-14'!C146</f>
        <v>4556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339997</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3603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254013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271130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24361</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10745</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3184</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2159</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2947787</v>
      </c>
    </row>
    <row r="175" spans="1:7" ht="12" customHeight="1" x14ac:dyDescent="0.2">
      <c r="A175" s="1770"/>
      <c r="B175" s="1784"/>
      <c r="C175" s="1785"/>
      <c r="D175" s="1786" t="s">
        <v>2055</v>
      </c>
      <c r="E175" s="1787"/>
      <c r="F175" s="1789">
        <f>'PCTC-OEPP 27-28'!F77-F174</f>
        <v>6644028</v>
      </c>
    </row>
    <row r="176" spans="1:7" ht="12" customHeight="1" x14ac:dyDescent="0.2">
      <c r="A176" s="1770"/>
      <c r="B176" s="1784"/>
      <c r="C176" s="1785"/>
      <c r="D176" s="1786" t="s">
        <v>1817</v>
      </c>
      <c r="E176" s="1787"/>
      <c r="F176" s="1789">
        <f>'Cap Outlay Deprec 26'!I18</f>
        <v>328168</v>
      </c>
    </row>
    <row r="177" spans="1:7" ht="12" customHeight="1" x14ac:dyDescent="0.2">
      <c r="A177" s="1770"/>
      <c r="B177" s="1784"/>
      <c r="C177" s="1785"/>
      <c r="D177" s="1786" t="s">
        <v>2056</v>
      </c>
      <c r="E177" s="1787"/>
      <c r="F177" s="1789">
        <f>F175+F176</f>
        <v>6972196</v>
      </c>
    </row>
    <row r="178" spans="1:7" ht="12" customHeight="1" x14ac:dyDescent="0.2">
      <c r="A178" s="1770"/>
      <c r="B178" s="1790"/>
      <c r="C178" s="1785"/>
      <c r="D178" s="1786" t="str">
        <f>D78</f>
        <v>9 Month ADA from District Average Daily Attendance/Prior General State Aid Inquiry 2018-2019</v>
      </c>
      <c r="E178" s="1787"/>
      <c r="F178" s="1791">
        <f>'PCTC-OEPP 27-28'!F78</f>
        <v>720.05</v>
      </c>
      <c r="G178" s="930"/>
    </row>
    <row r="179" spans="1:7" ht="12" customHeight="1" thickBot="1" x14ac:dyDescent="0.25">
      <c r="A179" s="1770"/>
      <c r="B179" s="1790"/>
      <c r="C179" s="1785"/>
      <c r="D179" s="1786" t="s">
        <v>2057</v>
      </c>
      <c r="E179" s="1787" t="s">
        <v>1545</v>
      </c>
      <c r="F179" s="1792">
        <f>F177/F178</f>
        <v>9682.9331296437758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A8" sqref="A8:G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9" t="s">
        <v>2064</v>
      </c>
      <c r="B6" s="1940"/>
      <c r="C6" s="1940"/>
      <c r="D6" s="1940"/>
      <c r="E6" s="1940"/>
      <c r="F6" s="1940"/>
      <c r="G6" s="1941"/>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6125268</v>
      </c>
      <c r="F19" s="1799"/>
      <c r="G19" s="1801">
        <f>'Expenditures 15-22'!K33-SUM('Expenditures 15-22'!G33,'Expenditures 15-22'!I33)+'Expenditures 15-22'!D229</f>
        <v>6125268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205950</v>
      </c>
      <c r="F21" s="1802"/>
      <c r="G21" s="1805">
        <f>'Expenditures 15-22'!K42-SUM('Expenditures 15-22'!G42,'Expenditures 15-22'!I42)+'Expenditures 15-22'!K120-SUM('Expenditures 15-22'!G120,'Expenditures 15-22'!I120)+'Expenditures 15-22'!K180-SUM('Expenditures 15-22'!G180,'Expenditures 15-22'!I180)+'Expenditures 15-22'!D238</f>
        <v>205950</v>
      </c>
      <c r="H21" s="987"/>
      <c r="I21" s="162"/>
    </row>
    <row r="22" spans="1:9" s="668" customFormat="1" ht="12" customHeight="1" x14ac:dyDescent="0.2">
      <c r="A22" s="994" t="s">
        <v>564</v>
      </c>
      <c r="B22" s="995"/>
      <c r="C22" s="993">
        <v>2200</v>
      </c>
      <c r="D22" s="1802"/>
      <c r="E22" s="1804">
        <f>'Expenditures 15-22'!K47-SUM('Expenditures 15-22'!G47,'Expenditures 15-22'!I47)+'Expenditures 15-22'!D243</f>
        <v>290495</v>
      </c>
      <c r="F22" s="1802"/>
      <c r="G22" s="1805">
        <f>'Expenditures 15-22'!K47-SUM('Expenditures 15-22'!G47,'Expenditures 15-22'!I47)+'Expenditures 15-22'!D243</f>
        <v>290495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853108</v>
      </c>
      <c r="F23" s="1802"/>
      <c r="G23" s="1804">
        <f>'Expenditures 15-22'!K53-SUM('Expenditures 15-22'!G53,'Expenditures 15-22'!I53)+'Expenditures 15-22'!D257+'Expenditures 15-22'!K330-SUM('Expenditures 15-22'!G330,'Expenditures 15-22'!I330)</f>
        <v>853108</v>
      </c>
      <c r="H23" s="987"/>
      <c r="I23" s="162"/>
    </row>
    <row r="24" spans="1:9" s="668" customFormat="1" ht="12" customHeight="1" x14ac:dyDescent="0.2">
      <c r="A24" s="994" t="s">
        <v>566</v>
      </c>
      <c r="B24" s="995"/>
      <c r="C24" s="993">
        <v>2400</v>
      </c>
      <c r="D24" s="1802"/>
      <c r="E24" s="1804">
        <f>'Expenditures 15-22'!K57-SUM('Expenditures 15-22'!G57,'Expenditures 15-22'!I57)+'Expenditures 15-22'!D261</f>
        <v>550193</v>
      </c>
      <c r="F24" s="1802"/>
      <c r="G24" s="1805">
        <f>'Expenditures 15-22'!K57-SUM('Expenditures 15-22'!G57,'Expenditures 15-22'!I57)+'Expenditures 15-22'!D261</f>
        <v>550193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109321</v>
      </c>
      <c r="E27" s="1804">
        <f>E8</f>
        <v>0</v>
      </c>
      <c r="F27" s="1804">
        <f>'Expenditures 15-22'!K60-SUM('Expenditures 15-22'!G60,'Expenditures 15-22'!I60)+'Expenditures 15-22'!D264-E8</f>
        <v>109321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697948</v>
      </c>
      <c r="F28" s="1806">
        <f>'Expenditures 15-22'!K61-SUM('Expenditures 15-22'!G61,'Expenditures 15-22'!I61)+'Expenditures 15-22'!K124-SUM('Expenditures 15-22'!G124,'Expenditures 15-22'!I124)+'Expenditures 15-22'!D266-E9</f>
        <v>697948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508897</v>
      </c>
      <c r="F29" s="1802"/>
      <c r="G29" s="1805">
        <f>'Expenditures 15-22'!K62-SUM('Expenditures 15-22'!G62,'Expenditures 15-22'!I62)+'Expenditures 15-22'!K125-SUM('Expenditures 15-22'!G125,'Expenditures 15-22'!I125)+'Expenditures 15-22'!K182-SUM('Expenditures 15-22'!G182,'Expenditures 15-22'!I182)+'Expenditures 15-22'!D267</f>
        <v>508897</v>
      </c>
      <c r="H29" s="985"/>
    </row>
    <row r="30" spans="1:9" ht="12" customHeight="1" x14ac:dyDescent="0.2">
      <c r="A30" s="994" t="s">
        <v>100</v>
      </c>
      <c r="B30" s="997"/>
      <c r="C30" s="993">
        <v>2560</v>
      </c>
      <c r="D30" s="1802"/>
      <c r="E30" s="1804">
        <f>'Expenditures 15-22'!K63-SUM('Expenditures 15-22'!G63,'Expenditures 15-22'!I63)+'Expenditures 15-22'!D268-E10</f>
        <v>304274</v>
      </c>
      <c r="F30" s="1802"/>
      <c r="G30" s="1804">
        <f>'Expenditures 15-22'!K63-SUM('Expenditures 15-22'!G63,'Expenditures 15-22'!I63)+'Expenditures 15-22'!D268-E10</f>
        <v>304274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11</v>
      </c>
      <c r="F34" s="1802"/>
      <c r="G34" s="1804">
        <f>'Expenditures 15-22'!K68-SUM('Expenditures 15-22'!G68,'Expenditures 15-22'!I68)+'Expenditures 15-22'!D273</f>
        <v>11</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109321</v>
      </c>
      <c r="E41" s="1806">
        <f>SUM(E19:E40)</f>
        <v>9536144</v>
      </c>
      <c r="F41" s="1806">
        <f>SUM(F19:F39)</f>
        <v>807269</v>
      </c>
      <c r="G41" s="1806">
        <f>SUM(G19:G40)</f>
        <v>8838196</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109321</v>
      </c>
      <c r="F43" s="1807" t="s">
        <v>473</v>
      </c>
      <c r="G43" s="1808">
        <f>F41</f>
        <v>807269</v>
      </c>
    </row>
    <row r="44" spans="1:7" ht="12" customHeight="1" x14ac:dyDescent="0.2">
      <c r="A44" s="987"/>
      <c r="B44" s="162"/>
      <c r="C44" s="1001"/>
      <c r="D44" s="1807" t="s">
        <v>474</v>
      </c>
      <c r="E44" s="1808">
        <f>E41</f>
        <v>9536144</v>
      </c>
      <c r="F44" s="1807" t="s">
        <v>474</v>
      </c>
      <c r="G44" s="1808">
        <f>G41</f>
        <v>8838196</v>
      </c>
    </row>
    <row r="45" spans="1:7" ht="12" customHeight="1" x14ac:dyDescent="0.2">
      <c r="A45" s="987"/>
      <c r="B45" s="162"/>
      <c r="C45" s="162"/>
      <c r="D45" s="1809" t="s">
        <v>1006</v>
      </c>
      <c r="E45" s="1810">
        <f>(E43/E44)</f>
        <v>1.1463857928319875E-2</v>
      </c>
      <c r="F45" s="1809" t="s">
        <v>1006</v>
      </c>
      <c r="G45" s="1810">
        <f>(G43/G44)</f>
        <v>9.1338662324302378E-2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E28" sqref="E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Iroquois West CUSD 10</v>
      </c>
      <c r="D6" s="2309"/>
      <c r="E6" s="2309"/>
      <c r="F6" s="1852"/>
    </row>
    <row r="7" spans="1:10" ht="11.25" customHeight="1" thickBot="1" x14ac:dyDescent="0.3">
      <c r="A7" s="1850"/>
      <c r="B7" s="1851"/>
      <c r="C7" s="2310">
        <f>COVER!A13</f>
        <v>32038010026</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2065</v>
      </c>
      <c r="D27" s="1865" t="s">
        <v>2065</v>
      </c>
      <c r="E27" s="1868"/>
      <c r="F27" s="1867"/>
      <c r="H27" s="1878">
        <f t="shared" si="0"/>
        <v>5</v>
      </c>
      <c r="I27" s="1878">
        <f t="shared" si="1"/>
        <v>5</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Iroquois West CUSD 10</v>
      </c>
      <c r="J6" s="2319"/>
      <c r="Q6" s="1664"/>
    </row>
    <row r="7" spans="1:17" x14ac:dyDescent="0.2">
      <c r="A7" s="2320" t="s">
        <v>869</v>
      </c>
      <c r="B7" s="2321"/>
      <c r="C7" s="2321"/>
      <c r="D7" s="2321"/>
      <c r="E7" s="2322"/>
      <c r="F7" s="1017"/>
      <c r="G7" s="1009"/>
      <c r="H7" s="1016" t="s">
        <v>372</v>
      </c>
      <c r="I7" s="2323">
        <f>COVER!A13</f>
        <v>32038010026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185826</v>
      </c>
      <c r="F12" s="1039"/>
      <c r="G12" s="1811">
        <f t="shared" ref="G12:G18" si="0">SUM(E12:F12)</f>
        <v>185826</v>
      </c>
      <c r="H12" s="1040">
        <v>188248</v>
      </c>
      <c r="I12" s="1039"/>
      <c r="J12" s="1811">
        <f t="shared" ref="J12:J18" si="1">SUM(H12:I12)</f>
        <v>188248</v>
      </c>
    </row>
    <row r="13" spans="1:17" ht="15" customHeight="1" x14ac:dyDescent="0.2">
      <c r="A13" s="1035">
        <v>2</v>
      </c>
      <c r="B13" s="1036" t="s">
        <v>42</v>
      </c>
      <c r="C13" s="1037"/>
      <c r="D13" s="1038">
        <v>2330</v>
      </c>
      <c r="E13" s="1811">
        <f>'Expenditures 15-22'!K51</f>
        <v>647</v>
      </c>
      <c r="F13" s="1039"/>
      <c r="G13" s="1811">
        <f t="shared" si="0"/>
        <v>647</v>
      </c>
      <c r="H13" s="1040">
        <v>13146</v>
      </c>
      <c r="I13" s="1039"/>
      <c r="J13" s="1811">
        <f t="shared" si="1"/>
        <v>13146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186473</v>
      </c>
      <c r="F19" s="1813">
        <f t="shared" si="2"/>
        <v>0</v>
      </c>
      <c r="G19" s="1813">
        <f t="shared" si="2"/>
        <v>186473</v>
      </c>
      <c r="H19" s="1813">
        <f t="shared" si="2"/>
        <v>201394</v>
      </c>
      <c r="I19" s="1813">
        <f t="shared" si="2"/>
        <v>0</v>
      </c>
      <c r="J19" s="1813">
        <f t="shared" si="2"/>
        <v>201394</v>
      </c>
    </row>
    <row r="20" spans="1:10" ht="13.5" thickTop="1" x14ac:dyDescent="0.2">
      <c r="A20" s="1035">
        <v>9</v>
      </c>
      <c r="B20" s="2330" t="s">
        <v>1979</v>
      </c>
      <c r="C20" s="2330"/>
      <c r="D20" s="2331"/>
      <c r="E20" s="1046"/>
      <c r="F20" s="1046"/>
      <c r="G20" s="1046"/>
      <c r="H20" s="1046"/>
      <c r="I20" s="1046"/>
      <c r="J20" s="1814">
        <f>IF(AND(G19&gt;0,J19&gt;0),(((J19-G19)/G19)),"Enter Budget Data")</f>
        <v>8.0016946153062374E-2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Iroquois West CUSD 10</v>
      </c>
    </row>
    <row r="65" spans="2:2" x14ac:dyDescent="0.2">
      <c r="B65" s="1070">
        <f>COVER!A13</f>
        <v>32038010026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4" sqref="E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8" r:id="rId4">
          <objectPr defaultSize="0" r:id="rId5">
            <anchor moveWithCells="1">
              <from>
                <xdr:col>1</xdr:col>
                <xdr:colOff>1323975</xdr:colOff>
                <xdr:row>1</xdr:row>
                <xdr:rowOff>19050</xdr:rowOff>
              </from>
              <to>
                <xdr:col>1</xdr:col>
                <xdr:colOff>2238375</xdr:colOff>
                <xdr:row>5</xdr:row>
                <xdr:rowOff>66675</xdr:rowOff>
              </to>
            </anchor>
          </objectPr>
        </oleObject>
      </mc:Choice>
      <mc:Fallback>
        <oleObject progId="AcroExch.Document.DC" dvAspect="DVASPECT_ICON" shapeId="50178" r:id="rId4"/>
      </mc:Fallback>
    </mc:AlternateContent>
    <mc:AlternateContent xmlns:mc="http://schemas.openxmlformats.org/markup-compatibility/2006">
      <mc:Choice Requires="x14">
        <oleObject progId="AcroExch.Document.DC" dvAspect="DVASPECT_ICON" shapeId="50180" r:id="rId6">
          <objectPr defaultSize="0" r:id="rId5">
            <anchor moveWithCells="1">
              <from>
                <xdr:col>1</xdr:col>
                <xdr:colOff>114300</xdr:colOff>
                <xdr:row>1</xdr:row>
                <xdr:rowOff>47625</xdr:rowOff>
              </from>
              <to>
                <xdr:col>1</xdr:col>
                <xdr:colOff>1028700</xdr:colOff>
                <xdr:row>5</xdr:row>
                <xdr:rowOff>85725</xdr:rowOff>
              </to>
            </anchor>
          </objectPr>
        </oleObject>
      </mc:Choice>
      <mc:Fallback>
        <oleObject progId="AcroExch.Document.DC" dvAspect="DVASPECT_ICON" shapeId="50180" r:id="rId6"/>
      </mc:Fallback>
    </mc:AlternateContent>
    <mc:AlternateContent xmlns:mc="http://schemas.openxmlformats.org/markup-compatibility/2006">
      <mc:Choice Requires="x14">
        <oleObject progId="AcroExch.Document.DC" shapeId="50182" r:id="rId7">
          <objectPr defaultSize="0" autoPict="0" r:id="rId8">
            <anchor moveWithCells="1">
              <from>
                <xdr:col>5</xdr:col>
                <xdr:colOff>361950</xdr:colOff>
                <xdr:row>4</xdr:row>
                <xdr:rowOff>66675</xdr:rowOff>
              </from>
              <to>
                <xdr:col>15</xdr:col>
                <xdr:colOff>114300</xdr:colOff>
                <xdr:row>48</xdr:row>
                <xdr:rowOff>19050</xdr:rowOff>
              </to>
            </anchor>
          </objectPr>
        </oleObject>
      </mc:Choice>
      <mc:Fallback>
        <oleObject progId="AcroExch.Document.DC" shapeId="50182"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9313538</v>
      </c>
      <c r="C8" s="1815">
        <f>'Acct Summary 7-8'!D8</f>
        <v>749289</v>
      </c>
      <c r="D8" s="1815">
        <f>'Acct Summary 7-8'!F8</f>
        <v>783861</v>
      </c>
      <c r="E8" s="1815">
        <f>'Acct Summary 7-8'!I8</f>
        <v>44861</v>
      </c>
      <c r="F8" s="1815">
        <f>SUM(B8:E8)</f>
        <v>10891549</v>
      </c>
    </row>
    <row r="9" spans="1:8" s="1079" customFormat="1" ht="14.25" customHeight="1" thickBot="1" x14ac:dyDescent="0.25">
      <c r="A9" s="1078" t="s">
        <v>1369</v>
      </c>
      <c r="B9" s="1816">
        <f>'Acct Summary 7-8'!C17</f>
        <v>8823169</v>
      </c>
      <c r="C9" s="1816">
        <f>'Acct Summary 7-8'!D17</f>
        <v>656971</v>
      </c>
      <c r="D9" s="1816">
        <f>'Acct Summary 7-8'!F17</f>
        <v>620299</v>
      </c>
      <c r="E9" s="1815"/>
      <c r="F9" s="1815">
        <f>SUM(B9:E9)</f>
        <v>10100439</v>
      </c>
    </row>
    <row r="10" spans="1:8" s="1079" customFormat="1" ht="14.25" thickTop="1" thickBot="1" x14ac:dyDescent="0.25">
      <c r="A10" s="1080" t="s">
        <v>1370</v>
      </c>
      <c r="B10" s="1817">
        <f>(B8-B9)</f>
        <v>490369</v>
      </c>
      <c r="C10" s="1817">
        <f>(C8-C9)</f>
        <v>92318</v>
      </c>
      <c r="D10" s="1817">
        <f>(D8-D9)</f>
        <v>163562</v>
      </c>
      <c r="E10" s="1816">
        <f>(E8-E9)</f>
        <v>44861</v>
      </c>
      <c r="F10" s="1818">
        <f>SUM(F8-F9)</f>
        <v>791110</v>
      </c>
    </row>
    <row r="11" spans="1:8" s="1079" customFormat="1" ht="14.25" thickTop="1" thickBot="1" x14ac:dyDescent="0.25">
      <c r="A11" s="1081" t="s">
        <v>1983</v>
      </c>
      <c r="B11" s="1819">
        <f>'Acct Summary 7-8'!C81</f>
        <v>7067665</v>
      </c>
      <c r="C11" s="1819">
        <f>'Acct Summary 7-8'!D81</f>
        <v>1188032</v>
      </c>
      <c r="D11" s="1819">
        <f>'Acct Summary 7-8'!F81</f>
        <v>324713</v>
      </c>
      <c r="E11" s="1819">
        <f>'Acct Summary 7-8'!I81</f>
        <v>2136073</v>
      </c>
      <c r="F11" s="1820">
        <f>SUM(B11:E11)</f>
        <v>10716483</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32038010026</v>
      </c>
    </row>
    <row r="3" spans="1:2" x14ac:dyDescent="0.2">
      <c r="A3" t="s">
        <v>956</v>
      </c>
      <c r="B3" s="138" t="str">
        <f>COVER!A15</f>
        <v>Iroquois</v>
      </c>
    </row>
    <row r="4" spans="1:2" x14ac:dyDescent="0.2">
      <c r="A4" t="s">
        <v>1007</v>
      </c>
      <c r="B4" s="138" t="str">
        <f>COVER!A17</f>
        <v>Iroquois West CUSD 10</v>
      </c>
    </row>
    <row r="5" spans="1:2" x14ac:dyDescent="0.2">
      <c r="A5" t="s">
        <v>704</v>
      </c>
      <c r="B5" s="138" t="str">
        <f>COVER!A38</f>
        <v>Dr. Robert Bagby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066-003660</v>
      </c>
    </row>
    <row r="16" spans="1:2" x14ac:dyDescent="0.2">
      <c r="A16" t="s">
        <v>422</v>
      </c>
      <c r="B16" s="138" t="str">
        <f>COVER!T13</f>
        <v>Burke, Montague &amp; Associates LLC</v>
      </c>
    </row>
    <row r="17" spans="1:2" x14ac:dyDescent="0.2">
      <c r="A17" t="s">
        <v>884</v>
      </c>
      <c r="B17" s="138" t="str">
        <f>COVER!T15</f>
        <v>Ray Raymond</v>
      </c>
    </row>
    <row r="18" spans="1:2" x14ac:dyDescent="0.2">
      <c r="A18" t="s">
        <v>1150</v>
      </c>
      <c r="B18" s="138" t="str">
        <f>COVER!T17</f>
        <v>253 W. Broadway</v>
      </c>
    </row>
    <row r="19" spans="1:2" x14ac:dyDescent="0.2">
      <c r="A19" t="s">
        <v>886</v>
      </c>
      <c r="B19" s="138">
        <f>COVER!T25</f>
        <v>0</v>
      </c>
    </row>
    <row r="20" spans="1:2" x14ac:dyDescent="0.2">
      <c r="A20" t="s">
        <v>887</v>
      </c>
      <c r="B20" s="138" t="str">
        <f>COVER!T19</f>
        <v>Bradley</v>
      </c>
    </row>
    <row r="21" spans="1:2" x14ac:dyDescent="0.2">
      <c r="A21" t="s">
        <v>479</v>
      </c>
      <c r="B21" s="138" t="str">
        <f>COVER!X19</f>
        <v>IL</v>
      </c>
    </row>
    <row r="22" spans="1:2" x14ac:dyDescent="0.2">
      <c r="A22" t="s">
        <v>888</v>
      </c>
      <c r="B22" s="138">
        <f>COVER!Z19</f>
        <v>60915</v>
      </c>
    </row>
    <row r="23" spans="1:2" x14ac:dyDescent="0.2">
      <c r="A23" t="s">
        <v>1152</v>
      </c>
      <c r="B23" s="138" t="str">
        <f>COVER!T21</f>
        <v>815-933-5641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2281840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7067665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7067665</v>
      </c>
      <c r="D92" s="2" t="str">
        <f t="shared" si="0"/>
        <v>Error?</v>
      </c>
    </row>
    <row r="93" spans="1:4" x14ac:dyDescent="0.2">
      <c r="A93" s="5">
        <v>32</v>
      </c>
      <c r="B93" s="138">
        <f>'Assets-Liab 5-6'!C41</f>
        <v>7067665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895899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1188032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1188032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13579</v>
      </c>
      <c r="D129" s="2" t="str">
        <f t="shared" si="1"/>
        <v>Error?</v>
      </c>
    </row>
    <row r="130" spans="1:4" x14ac:dyDescent="0.2">
      <c r="A130" s="5">
        <v>69</v>
      </c>
      <c r="B130" s="138">
        <f>'Assets-Liab 5-6'!E12</f>
        <v>0</v>
      </c>
      <c r="D130" s="2" t="str">
        <f t="shared" si="1"/>
        <v>Error?</v>
      </c>
    </row>
    <row r="131" spans="1:4" x14ac:dyDescent="0.2">
      <c r="A131" s="5">
        <v>70</v>
      </c>
      <c r="B131" s="138">
        <f>'Assets-Liab 5-6'!E13</f>
        <v>14402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14402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324713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324713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324381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579326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579326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15000</v>
      </c>
      <c r="D273" s="2" t="str">
        <f t="shared" si="3"/>
        <v>Error?</v>
      </c>
    </row>
    <row r="274" spans="1:4" x14ac:dyDescent="0.2">
      <c r="A274" s="5">
        <v>213</v>
      </c>
      <c r="B274" s="138">
        <f>'Assets-Liab 5-6'!M17</f>
        <v>2882306</v>
      </c>
      <c r="D274" s="2" t="str">
        <f t="shared" si="3"/>
        <v>Error?</v>
      </c>
    </row>
    <row r="275" spans="1:4" x14ac:dyDescent="0.2">
      <c r="A275" s="5">
        <v>214</v>
      </c>
      <c r="B275" s="138">
        <f>'Assets-Liab 5-6'!M18</f>
        <v>0</v>
      </c>
      <c r="D275" s="2" t="str">
        <f t="shared" si="3"/>
        <v>Error?</v>
      </c>
    </row>
    <row r="276" spans="1:4" x14ac:dyDescent="0.2">
      <c r="A276" s="5">
        <v>215</v>
      </c>
      <c r="B276" s="138">
        <f>'Assets-Liab 5-6'!M19</f>
        <v>307068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3204374</v>
      </c>
      <c r="C279" s="2" t="s">
        <v>573</v>
      </c>
      <c r="D279" s="2" t="str">
        <f t="shared" si="3"/>
        <v>Error?</v>
      </c>
    </row>
    <row r="280" spans="1:4" x14ac:dyDescent="0.2">
      <c r="A280" s="5">
        <v>219</v>
      </c>
      <c r="B280" s="138">
        <f>'Assets-Liab 5-6'!M40</f>
        <v>3204374</v>
      </c>
      <c r="D280" s="2" t="str">
        <f t="shared" si="3"/>
        <v>Error?</v>
      </c>
    </row>
    <row r="281" spans="1:4" x14ac:dyDescent="0.2">
      <c r="A281" s="5">
        <v>220</v>
      </c>
      <c r="B281" s="138">
        <f>'Assets-Liab 5-6'!M41</f>
        <v>3204374</v>
      </c>
      <c r="C281" s="2" t="s">
        <v>573</v>
      </c>
      <c r="D281" s="2" t="str">
        <f t="shared" si="3"/>
        <v>Error?</v>
      </c>
    </row>
    <row r="282" spans="1:4" x14ac:dyDescent="0.2">
      <c r="A282" s="5">
        <v>221</v>
      </c>
      <c r="B282" s="138">
        <f>'Assets-Liab 5-6'!N21</f>
        <v>14401</v>
      </c>
      <c r="D282" s="2" t="str">
        <f t="shared" si="3"/>
        <v>Error?</v>
      </c>
    </row>
    <row r="283" spans="1:4" x14ac:dyDescent="0.2">
      <c r="A283" s="5">
        <v>222</v>
      </c>
      <c r="B283" s="138">
        <f>'Assets-Liab 5-6'!N22</f>
        <v>1615599</v>
      </c>
      <c r="D283" s="2" t="str">
        <f t="shared" si="3"/>
        <v>Error?</v>
      </c>
    </row>
    <row r="284" spans="1:4" x14ac:dyDescent="0.2">
      <c r="A284" s="5">
        <v>223</v>
      </c>
      <c r="B284" s="138">
        <f>'Assets-Liab 5-6'!N23</f>
        <v>1630000</v>
      </c>
      <c r="C284" s="2" t="s">
        <v>573</v>
      </c>
      <c r="D284" s="2" t="str">
        <f t="shared" si="3"/>
        <v>Error?</v>
      </c>
    </row>
    <row r="285" spans="1:4" x14ac:dyDescent="0.2">
      <c r="A285" s="5">
        <v>224</v>
      </c>
      <c r="B285" s="138">
        <f>'Assets-Liab 5-6'!N36</f>
        <v>1630000</v>
      </c>
      <c r="D285" s="2" t="str">
        <f t="shared" si="3"/>
        <v>Error?</v>
      </c>
    </row>
    <row r="286" spans="1:4" x14ac:dyDescent="0.2">
      <c r="A286" s="10">
        <v>225</v>
      </c>
      <c r="D286" s="2" t="str">
        <f t="shared" si="3"/>
        <v>OK</v>
      </c>
    </row>
    <row r="287" spans="1:4" x14ac:dyDescent="0.2">
      <c r="A287" s="5">
        <v>226</v>
      </c>
      <c r="B287" s="138">
        <f>'Assets-Liab 5-6'!N37</f>
        <v>1630000</v>
      </c>
      <c r="C287" s="2" t="s">
        <v>573</v>
      </c>
      <c r="D287" s="2" t="str">
        <f t="shared" si="3"/>
        <v>Error?</v>
      </c>
    </row>
    <row r="288" spans="1:4" x14ac:dyDescent="0.2">
      <c r="A288" s="5">
        <v>227</v>
      </c>
      <c r="B288" s="138">
        <f>'Assets-Liab 5-6'!N41</f>
        <v>1630000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2435609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139811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208785</v>
      </c>
      <c r="D717" s="2" t="str">
        <f t="shared" si="10"/>
        <v>Error?</v>
      </c>
    </row>
    <row r="718" spans="1:4" x14ac:dyDescent="0.2">
      <c r="A718" s="5">
        <v>657</v>
      </c>
      <c r="B718" s="138">
        <f>'Expenditures 15-22'!C14</f>
        <v>151655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3225193</v>
      </c>
      <c r="C720" s="2" t="s">
        <v>573</v>
      </c>
      <c r="D720" s="2" t="str">
        <f t="shared" si="10"/>
        <v>Error?</v>
      </c>
    </row>
    <row r="721" spans="1:4" x14ac:dyDescent="0.2">
      <c r="A721" s="5">
        <v>660</v>
      </c>
      <c r="B721" s="138">
        <f>'Expenditures 15-22'!C36</f>
        <v>57666</v>
      </c>
      <c r="D721" s="2" t="str">
        <f t="shared" si="10"/>
        <v>Error?</v>
      </c>
    </row>
    <row r="722" spans="1:4" x14ac:dyDescent="0.2">
      <c r="A722" s="5">
        <v>661</v>
      </c>
      <c r="B722" s="138">
        <f>'Expenditures 15-22'!C37</f>
        <v>42337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1667</v>
      </c>
      <c r="D724" s="2" t="str">
        <f t="shared" si="10"/>
        <v>Error?</v>
      </c>
    </row>
    <row r="725" spans="1:4" x14ac:dyDescent="0.2">
      <c r="A725" s="5">
        <v>664</v>
      </c>
      <c r="B725" s="138">
        <f>'Expenditures 15-22'!C40</f>
        <v>37848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139518</v>
      </c>
      <c r="C727" s="2" t="s">
        <v>573</v>
      </c>
      <c r="D727" s="2" t="str">
        <f t="shared" si="10"/>
        <v>Error?</v>
      </c>
    </row>
    <row r="728" spans="1:4" x14ac:dyDescent="0.2">
      <c r="A728" s="5">
        <v>667</v>
      </c>
      <c r="B728" s="138">
        <f>'Expenditures 15-22'!C44</f>
        <v>62061</v>
      </c>
      <c r="D728" s="2" t="str">
        <f t="shared" si="10"/>
        <v>Error?</v>
      </c>
    </row>
    <row r="729" spans="1:4" x14ac:dyDescent="0.2">
      <c r="A729" s="5">
        <v>668</v>
      </c>
      <c r="B729" s="138">
        <f>'Expenditures 15-22'!C45</f>
        <v>101863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163924</v>
      </c>
      <c r="C731" s="2" t="s">
        <v>573</v>
      </c>
      <c r="D731" s="2" t="str">
        <f t="shared" si="10"/>
        <v>Error?</v>
      </c>
    </row>
    <row r="732" spans="1:4" x14ac:dyDescent="0.2">
      <c r="A732" s="5">
        <v>671</v>
      </c>
      <c r="B732" s="138">
        <f>'Expenditures 15-22'!C49</f>
        <v>3201</v>
      </c>
      <c r="D732" s="2" t="str">
        <f t="shared" si="10"/>
        <v>Error?</v>
      </c>
    </row>
    <row r="733" spans="1:4" x14ac:dyDescent="0.2">
      <c r="A733" s="5">
        <v>672</v>
      </c>
      <c r="B733" s="138">
        <f>'Expenditures 15-22'!C50</f>
        <v>180675</v>
      </c>
      <c r="D733" s="2" t="str">
        <f t="shared" si="10"/>
        <v>Error?</v>
      </c>
    </row>
    <row r="734" spans="1:4" x14ac:dyDescent="0.2">
      <c r="A734" s="5">
        <v>673</v>
      </c>
      <c r="B734" s="138">
        <f>'Expenditures 15-22'!C53</f>
        <v>183878</v>
      </c>
      <c r="C734" s="2" t="s">
        <v>573</v>
      </c>
      <c r="D734" s="2" t="str">
        <f t="shared" si="10"/>
        <v>Error?</v>
      </c>
    </row>
    <row r="735" spans="1:4" x14ac:dyDescent="0.2">
      <c r="A735" s="5">
        <v>674</v>
      </c>
      <c r="B735" s="138">
        <f>'Expenditures 15-22'!C55</f>
        <v>424069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424069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67957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112578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180535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1091924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4317117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610795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27116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42193</v>
      </c>
      <c r="D775" s="2" t="str">
        <f t="shared" si="11"/>
        <v>Error?</v>
      </c>
    </row>
    <row r="776" spans="1:4" x14ac:dyDescent="0.2">
      <c r="A776" s="5">
        <v>715</v>
      </c>
      <c r="B776" s="138">
        <f>'Expenditures 15-22'!D14</f>
        <v>8696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710377</v>
      </c>
      <c r="C778" s="2" t="s">
        <v>573</v>
      </c>
      <c r="D778" s="2" t="str">
        <f t="shared" si="11"/>
        <v>Error?</v>
      </c>
    </row>
    <row r="779" spans="1:4" x14ac:dyDescent="0.2">
      <c r="A779" s="5">
        <v>718</v>
      </c>
      <c r="B779" s="138">
        <f>'Expenditures 15-22'!D36</f>
        <v>17569</v>
      </c>
      <c r="D779" s="2" t="str">
        <f t="shared" si="11"/>
        <v>Error?</v>
      </c>
    </row>
    <row r="780" spans="1:4" x14ac:dyDescent="0.2">
      <c r="A780" s="5">
        <v>719</v>
      </c>
      <c r="B780" s="138">
        <f>'Expenditures 15-22'!D37</f>
        <v>14286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710</v>
      </c>
      <c r="D782" s="2" t="str">
        <f t="shared" si="11"/>
        <v>Error?</v>
      </c>
    </row>
    <row r="783" spans="1:4" x14ac:dyDescent="0.2">
      <c r="A783" s="5">
        <v>722</v>
      </c>
      <c r="B783" s="138">
        <f>'Expenditures 15-22'!D40</f>
        <v>4404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36969</v>
      </c>
      <c r="C785" s="2" t="s">
        <v>573</v>
      </c>
      <c r="D785" s="2" t="str">
        <f t="shared" si="11"/>
        <v>Error?</v>
      </c>
    </row>
    <row r="786" spans="1:4" x14ac:dyDescent="0.2">
      <c r="A786" s="5">
        <v>725</v>
      </c>
      <c r="B786" s="138">
        <f>'Expenditures 15-22'!D44</f>
        <v>1034</v>
      </c>
      <c r="D786" s="2" t="str">
        <f t="shared" si="11"/>
        <v>Error?</v>
      </c>
    </row>
    <row r="787" spans="1:4" x14ac:dyDescent="0.2">
      <c r="A787" s="5">
        <v>726</v>
      </c>
      <c r="B787" s="138">
        <f>'Expenditures 15-22'!D45</f>
        <v>16950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17984</v>
      </c>
      <c r="C789" s="2" t="s">
        <v>573</v>
      </c>
      <c r="D789" s="2" t="str">
        <f t="shared" si="11"/>
        <v>Error?</v>
      </c>
    </row>
    <row r="790" spans="1:4" x14ac:dyDescent="0.2">
      <c r="A790" s="5">
        <v>729</v>
      </c>
      <c r="B790" s="138">
        <f>'Expenditures 15-22'!D49</f>
        <v>3926</v>
      </c>
      <c r="D790" s="2" t="str">
        <f t="shared" si="11"/>
        <v>Error?</v>
      </c>
    </row>
    <row r="791" spans="1:4" x14ac:dyDescent="0.2">
      <c r="A791" s="5">
        <v>730</v>
      </c>
      <c r="B791" s="138">
        <f>'Expenditures 15-22'!D50</f>
        <v>1162</v>
      </c>
      <c r="D791" s="2" t="str">
        <f t="shared" si="11"/>
        <v>Error?</v>
      </c>
    </row>
    <row r="792" spans="1:4" x14ac:dyDescent="0.2">
      <c r="A792" s="5">
        <v>731</v>
      </c>
      <c r="B792" s="138">
        <f>'Expenditures 15-22'!D53</f>
        <v>5088</v>
      </c>
      <c r="C792" s="2" t="s">
        <v>573</v>
      </c>
      <c r="D792" s="2" t="str">
        <f t="shared" si="11"/>
        <v>Error?</v>
      </c>
    </row>
    <row r="793" spans="1:4" x14ac:dyDescent="0.2">
      <c r="A793" s="5">
        <v>732</v>
      </c>
      <c r="B793" s="138">
        <f>'Expenditures 15-22'!D55</f>
        <v>73693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73693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16880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17368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34248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167982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878359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26557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3785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58500</v>
      </c>
      <c r="D833" s="2" t="str">
        <f t="shared" si="12"/>
        <v>Error?</v>
      </c>
    </row>
    <row r="834" spans="1:4" x14ac:dyDescent="0.2">
      <c r="A834" s="5">
        <v>773</v>
      </c>
      <c r="B834" s="138">
        <f>'Expenditures 15-22'!E14</f>
        <v>16895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1856857</v>
      </c>
      <c r="C836" s="2" t="s">
        <v>573</v>
      </c>
      <c r="D836" s="2" t="str">
        <f t="shared" si="12"/>
        <v>Error?</v>
      </c>
    </row>
    <row r="837" spans="1:4" x14ac:dyDescent="0.2">
      <c r="A837" s="5">
        <v>776</v>
      </c>
      <c r="B837" s="138">
        <f>'Expenditures 15-22'!E36</f>
        <v>840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17502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21862</v>
      </c>
      <c r="C843" s="2" t="s">
        <v>573</v>
      </c>
      <c r="D843" s="2" t="str">
        <f t="shared" si="12"/>
        <v>Error?</v>
      </c>
    </row>
    <row r="844" spans="1:4" x14ac:dyDescent="0.2">
      <c r="A844" s="5">
        <v>783</v>
      </c>
      <c r="B844" s="138">
        <f>'Expenditures 15-22'!E44</f>
        <v>917</v>
      </c>
      <c r="D844" s="2" t="str">
        <f t="shared" si="12"/>
        <v>Error?</v>
      </c>
    </row>
    <row r="845" spans="1:4" x14ac:dyDescent="0.2">
      <c r="A845" s="5">
        <v>784</v>
      </c>
      <c r="B845" s="138">
        <f>'Expenditures 15-22'!E45</f>
        <v>37973</v>
      </c>
      <c r="D845" s="2" t="str">
        <f t="shared" si="12"/>
        <v>Error?</v>
      </c>
    </row>
    <row r="846" spans="1:4" x14ac:dyDescent="0.2">
      <c r="A846" s="5">
        <v>785</v>
      </c>
      <c r="B846" s="138">
        <f>'Expenditures 15-22'!E46</f>
        <v>15120</v>
      </c>
      <c r="D846" s="2" t="str">
        <f t="shared" si="12"/>
        <v>Error?</v>
      </c>
    </row>
    <row r="847" spans="1:4" x14ac:dyDescent="0.2">
      <c r="A847" s="5">
        <v>786</v>
      </c>
      <c r="B847" s="138">
        <f>'Expenditures 15-22'!E47</f>
        <v>54010</v>
      </c>
      <c r="C847" s="2" t="s">
        <v>573</v>
      </c>
      <c r="D847" s="2" t="str">
        <f t="shared" si="12"/>
        <v>Error?</v>
      </c>
    </row>
    <row r="848" spans="1:4" x14ac:dyDescent="0.2">
      <c r="A848" s="5">
        <v>787</v>
      </c>
      <c r="B848" s="138">
        <f>'Expenditures 15-22'!E49</f>
        <v>32763</v>
      </c>
      <c r="D848" s="2" t="str">
        <f t="shared" si="12"/>
        <v>Error?</v>
      </c>
    </row>
    <row r="849" spans="1:4" x14ac:dyDescent="0.2">
      <c r="A849" s="5">
        <v>788</v>
      </c>
      <c r="B849" s="138">
        <f>'Expenditures 15-22'!E50</f>
        <v>2459</v>
      </c>
      <c r="D849" s="2" t="str">
        <f t="shared" si="12"/>
        <v>Error?</v>
      </c>
    </row>
    <row r="850" spans="1:4" x14ac:dyDescent="0.2">
      <c r="A850" s="5">
        <v>789</v>
      </c>
      <c r="B850" s="138">
        <f>'Expenditures 15-22'!E53</f>
        <v>35867</v>
      </c>
      <c r="C850" s="2" t="s">
        <v>573</v>
      </c>
      <c r="D850" s="2" t="str">
        <f t="shared" si="12"/>
        <v>Error?</v>
      </c>
    </row>
    <row r="851" spans="1:4" x14ac:dyDescent="0.2">
      <c r="A851" s="5">
        <v>790</v>
      </c>
      <c r="B851" s="138">
        <f>'Expenditures 15-22'!E55</f>
        <v>2397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2397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11418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16150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27568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141704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3028944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145725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694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21999</v>
      </c>
      <c r="D891" s="2" t="str">
        <f t="shared" si="12"/>
        <v>Error?</v>
      </c>
    </row>
    <row r="892" spans="1:4" x14ac:dyDescent="0.2">
      <c r="A892" s="5">
        <v>831</v>
      </c>
      <c r="B892" s="138">
        <f>'Expenditures 15-22'!F14</f>
        <v>26780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205283</v>
      </c>
      <c r="C894" s="2" t="s">
        <v>573</v>
      </c>
      <c r="D894" s="2" t="str">
        <f t="shared" si="12"/>
        <v>Error?</v>
      </c>
    </row>
    <row r="895" spans="1:4" x14ac:dyDescent="0.2">
      <c r="A895" s="5">
        <v>834</v>
      </c>
      <c r="B895" s="138">
        <f>'Expenditures 15-22'!F36</f>
        <v>5022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5336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33098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33098</v>
      </c>
      <c r="C905" s="2" t="s">
        <v>573</v>
      </c>
      <c r="D905" s="2" t="str">
        <f t="shared" si="13"/>
        <v>Error?</v>
      </c>
    </row>
    <row r="906" spans="1:4" x14ac:dyDescent="0.2">
      <c r="A906" s="5">
        <v>845</v>
      </c>
      <c r="B906" s="138">
        <f>'Expenditures 15-22'!F49</f>
        <v>1115</v>
      </c>
      <c r="D906" s="2" t="str">
        <f t="shared" si="13"/>
        <v>Error?</v>
      </c>
    </row>
    <row r="907" spans="1:4" x14ac:dyDescent="0.2">
      <c r="A907" s="5">
        <v>846</v>
      </c>
      <c r="B907" s="138">
        <f>'Expenditures 15-22'!F50</f>
        <v>1100</v>
      </c>
      <c r="D907" s="2" t="str">
        <f t="shared" si="13"/>
        <v>Error?</v>
      </c>
    </row>
    <row r="908" spans="1:4" x14ac:dyDescent="0.2">
      <c r="A908" s="5">
        <v>847</v>
      </c>
      <c r="B908" s="138">
        <f>'Expenditures 15-22'!F53</f>
        <v>2215</v>
      </c>
      <c r="C908" s="2" t="s">
        <v>573</v>
      </c>
      <c r="D908" s="2" t="str">
        <f t="shared" si="13"/>
        <v>Error?</v>
      </c>
    </row>
    <row r="909" spans="1:4" x14ac:dyDescent="0.2">
      <c r="A909" s="5">
        <v>848</v>
      </c>
      <c r="B909" s="138">
        <f>'Expenditures 15-22'!F55</f>
        <v>21201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21201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137305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137991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199841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405124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6129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23138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52034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52034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14355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14355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66389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89527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510</v>
      </c>
      <c r="D1007" s="2" t="str">
        <f t="shared" si="14"/>
        <v>Error?</v>
      </c>
    </row>
    <row r="1008" spans="1:4" x14ac:dyDescent="0.2">
      <c r="A1008" s="5">
        <v>947</v>
      </c>
      <c r="B1008" s="138">
        <f>'Expenditures 15-22'!H14</f>
        <v>17450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25877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290</v>
      </c>
      <c r="D1018" s="2" t="str">
        <f t="shared" si="14"/>
        <v>Error?</v>
      </c>
    </row>
    <row r="1019" spans="1:4" x14ac:dyDescent="0.2">
      <c r="A1019" s="5">
        <v>958</v>
      </c>
      <c r="B1019" s="138">
        <f>'Expenditures 15-22'!H45</f>
        <v>1830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2120</v>
      </c>
      <c r="C1021" s="2" t="s">
        <v>573</v>
      </c>
      <c r="D1021" s="2" t="str">
        <f t="shared" si="14"/>
        <v>Error?</v>
      </c>
    </row>
    <row r="1022" spans="1:4" x14ac:dyDescent="0.2">
      <c r="A1022" s="5">
        <v>961</v>
      </c>
      <c r="B1022" s="138">
        <f>'Expenditures 15-22'!H49</f>
        <v>73890</v>
      </c>
      <c r="D1022" s="2" t="str">
        <f t="shared" si="14"/>
        <v>Error?</v>
      </c>
    </row>
    <row r="1023" spans="1:4" x14ac:dyDescent="0.2">
      <c r="A1023" s="5">
        <v>962</v>
      </c>
      <c r="B1023" s="138">
        <f>'Expenditures 15-22'!H50</f>
        <v>430</v>
      </c>
      <c r="D1023" s="2" t="str">
        <f t="shared" ref="D1023:D1086" si="15">IF(ISBLANK(B1023),"OK",IF(A1023-B1023=0,"OK","Error?"))</f>
        <v>Error?</v>
      </c>
    </row>
    <row r="1024" spans="1:4" x14ac:dyDescent="0.2">
      <c r="A1024" s="5">
        <v>963</v>
      </c>
      <c r="B1024" s="138">
        <f>'Expenditures 15-22'!H53</f>
        <v>74320</v>
      </c>
      <c r="C1024" s="2" t="s">
        <v>573</v>
      </c>
      <c r="D1024" s="2" t="str">
        <f t="shared" si="15"/>
        <v>Error?</v>
      </c>
    </row>
    <row r="1025" spans="1:4" x14ac:dyDescent="0.2">
      <c r="A1025" s="5">
        <v>964</v>
      </c>
      <c r="B1025" s="138">
        <f>'Expenditures 15-22'!H55</f>
        <v>1386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1386</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78221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104098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3219685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171406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331987</v>
      </c>
      <c r="C1105" s="2" t="s">
        <v>573</v>
      </c>
      <c r="D1105" s="2" t="str">
        <f t="shared" si="16"/>
        <v>Error?</v>
      </c>
    </row>
    <row r="1106" spans="1:4" x14ac:dyDescent="0.2">
      <c r="A1106" s="5">
        <v>1045</v>
      </c>
      <c r="B1106" s="138">
        <f>'Expenditures 15-22'!K14</f>
        <v>227605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6046725</v>
      </c>
      <c r="C1108" s="2" t="s">
        <v>573</v>
      </c>
      <c r="D1108" s="2" t="str">
        <f t="shared" si="16"/>
        <v>Error?</v>
      </c>
    </row>
    <row r="1109" spans="1:4" x14ac:dyDescent="0.2">
      <c r="A1109" s="5">
        <v>1048</v>
      </c>
      <c r="B1109" s="138">
        <f>'Expenditures 15-22'!K36</f>
        <v>81097</v>
      </c>
      <c r="C1109" s="2" t="s">
        <v>573</v>
      </c>
      <c r="D1109" s="2" t="str">
        <f t="shared" si="16"/>
        <v>Error?</v>
      </c>
    </row>
    <row r="1110" spans="1:4" x14ac:dyDescent="0.2">
      <c r="A1110" s="5">
        <v>1049</v>
      </c>
      <c r="B1110" s="138">
        <f>'Expenditures 15-22'!K37</f>
        <v>56623</v>
      </c>
      <c r="C1110" s="2" t="s">
        <v>573</v>
      </c>
      <c r="D1110" s="2" t="str">
        <f t="shared" si="16"/>
        <v>Error?</v>
      </c>
    </row>
    <row r="1111" spans="1:4" x14ac:dyDescent="0.2">
      <c r="A1111" s="5">
        <v>1050</v>
      </c>
      <c r="B1111" s="138">
        <f>'Expenditures 15-22'!K38</f>
        <v>3520</v>
      </c>
      <c r="C1111" s="2" t="s">
        <v>573</v>
      </c>
      <c r="D1111" s="2" t="str">
        <f t="shared" si="16"/>
        <v>Error?</v>
      </c>
    </row>
    <row r="1112" spans="1:4" x14ac:dyDescent="0.2">
      <c r="A1112" s="5">
        <v>1051</v>
      </c>
      <c r="B1112" s="138">
        <f>'Expenditures 15-22'!K39</f>
        <v>2377</v>
      </c>
      <c r="C1112" s="2" t="s">
        <v>573</v>
      </c>
      <c r="D1112" s="2" t="str">
        <f t="shared" si="16"/>
        <v>Error?</v>
      </c>
    </row>
    <row r="1113" spans="1:4" x14ac:dyDescent="0.2">
      <c r="A1113" s="5">
        <v>1052</v>
      </c>
      <c r="B1113" s="138">
        <f>'Expenditures 15-22'!K40</f>
        <v>60068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203685</v>
      </c>
      <c r="C1115" s="2" t="s">
        <v>573</v>
      </c>
      <c r="D1115" s="2" t="str">
        <f t="shared" si="16"/>
        <v>Error?</v>
      </c>
    </row>
    <row r="1116" spans="1:4" x14ac:dyDescent="0.2">
      <c r="A1116" s="5">
        <v>1055</v>
      </c>
      <c r="B1116" s="138">
        <f>'Expenditures 15-22'!K44</f>
        <v>64302</v>
      </c>
      <c r="C1116" s="2" t="s">
        <v>573</v>
      </c>
      <c r="D1116" s="2" t="str">
        <f t="shared" si="16"/>
        <v>Error?</v>
      </c>
    </row>
    <row r="1117" spans="1:4" x14ac:dyDescent="0.2">
      <c r="A1117" s="5">
        <v>1056</v>
      </c>
      <c r="B1117" s="138">
        <f>'Expenditures 15-22'!K45</f>
        <v>243748</v>
      </c>
      <c r="C1117" s="2" t="s">
        <v>573</v>
      </c>
      <c r="D1117" s="2" t="str">
        <f t="shared" si="16"/>
        <v>Error?</v>
      </c>
    </row>
    <row r="1118" spans="1:4" x14ac:dyDescent="0.2">
      <c r="A1118" s="5">
        <v>1057</v>
      </c>
      <c r="B1118" s="138">
        <f>'Expenditures 15-22'!K46</f>
        <v>15120</v>
      </c>
      <c r="C1118" s="2" t="s">
        <v>573</v>
      </c>
      <c r="D1118" s="2" t="str">
        <f t="shared" si="16"/>
        <v>Error?</v>
      </c>
    </row>
    <row r="1119" spans="1:4" x14ac:dyDescent="0.2">
      <c r="A1119" s="5">
        <v>1058</v>
      </c>
      <c r="B1119" s="138">
        <f>'Expenditures 15-22'!K47</f>
        <v>323170</v>
      </c>
      <c r="C1119" s="2" t="s">
        <v>573</v>
      </c>
      <c r="D1119" s="2" t="str">
        <f t="shared" si="16"/>
        <v>Error?</v>
      </c>
    </row>
    <row r="1120" spans="1:4" x14ac:dyDescent="0.2">
      <c r="A1120" s="5">
        <v>1059</v>
      </c>
      <c r="B1120" s="138">
        <f>'Expenditures 15-22'!K49</f>
        <v>114895</v>
      </c>
      <c r="C1120" s="2" t="s">
        <v>573</v>
      </c>
      <c r="D1120" s="2" t="str">
        <f t="shared" si="16"/>
        <v>Error?</v>
      </c>
    </row>
    <row r="1121" spans="1:4" x14ac:dyDescent="0.2">
      <c r="A1121" s="5">
        <v>1060</v>
      </c>
      <c r="B1121" s="138">
        <f>'Expenditures 15-22'!K50</f>
        <v>185826</v>
      </c>
      <c r="C1121" s="2" t="s">
        <v>573</v>
      </c>
      <c r="D1121" s="2" t="str">
        <f t="shared" si="16"/>
        <v>Error?</v>
      </c>
    </row>
    <row r="1122" spans="1:4" x14ac:dyDescent="0.2">
      <c r="A1122" s="5">
        <v>1061</v>
      </c>
      <c r="B1122" s="138">
        <f>'Expenditures 15-22'!K53</f>
        <v>301368</v>
      </c>
      <c r="C1122" s="2" t="s">
        <v>573</v>
      </c>
      <c r="D1122" s="2" t="str">
        <f t="shared" si="16"/>
        <v>Error?</v>
      </c>
    </row>
    <row r="1123" spans="1:4" x14ac:dyDescent="0.2">
      <c r="A1123" s="5">
        <v>1062</v>
      </c>
      <c r="B1123" s="138">
        <f>'Expenditures 15-22'!K55</f>
        <v>522746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522746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96941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298151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395092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1746061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1030383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8823169</v>
      </c>
      <c r="C1152" s="2" t="s">
        <v>573</v>
      </c>
      <c r="D1152" s="2" t="str">
        <f t="shared" si="17"/>
        <v>Error?</v>
      </c>
    </row>
    <row r="1153" spans="1:4" x14ac:dyDescent="0.2">
      <c r="A1153" s="5">
        <v>1092</v>
      </c>
      <c r="B1153" s="138">
        <f>'Expenditures 15-22'!K115</f>
        <v>490369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195550</v>
      </c>
      <c r="D1221" s="2" t="str">
        <f t="shared" si="18"/>
        <v>Error?</v>
      </c>
    </row>
    <row r="1222" spans="1:4" x14ac:dyDescent="0.2">
      <c r="A1222" s="10">
        <v>1161</v>
      </c>
      <c r="D1222" s="2" t="str">
        <f t="shared" si="18"/>
        <v>OK</v>
      </c>
    </row>
    <row r="1223" spans="1:4" x14ac:dyDescent="0.2">
      <c r="A1223" s="5">
        <v>1162</v>
      </c>
      <c r="B1223" s="138">
        <f>'Expenditures 15-22'!C127</f>
        <v>195550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195550</v>
      </c>
      <c r="C1225" s="2" t="s">
        <v>573</v>
      </c>
      <c r="D1225" s="2" t="str">
        <f t="shared" si="18"/>
        <v>Error?</v>
      </c>
    </row>
    <row r="1226" spans="1:4" x14ac:dyDescent="0.2">
      <c r="A1226" s="5">
        <v>1165</v>
      </c>
      <c r="B1226" s="138">
        <f>'Expenditures 15-22'!C151</f>
        <v>195550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59340</v>
      </c>
      <c r="D1229" s="2" t="str">
        <f t="shared" si="18"/>
        <v>Error?</v>
      </c>
    </row>
    <row r="1230" spans="1:4" x14ac:dyDescent="0.2">
      <c r="A1230" s="10">
        <v>1169</v>
      </c>
      <c r="D1230" s="2" t="str">
        <f t="shared" si="18"/>
        <v>OK</v>
      </c>
    </row>
    <row r="1231" spans="1:4" x14ac:dyDescent="0.2">
      <c r="A1231" s="5">
        <v>1170</v>
      </c>
      <c r="B1231" s="138">
        <f>'Expenditures 15-22'!D127</f>
        <v>59340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59340</v>
      </c>
      <c r="C1233" s="2" t="s">
        <v>573</v>
      </c>
      <c r="D1233" s="2" t="str">
        <f t="shared" si="18"/>
        <v>Error?</v>
      </c>
    </row>
    <row r="1234" spans="1:4" x14ac:dyDescent="0.2">
      <c r="A1234" s="5">
        <v>1173</v>
      </c>
      <c r="B1234" s="138">
        <f>'Expenditures 15-22'!D151</f>
        <v>59340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213994</v>
      </c>
      <c r="D1237" s="2" t="str">
        <f t="shared" si="18"/>
        <v>Error?</v>
      </c>
    </row>
    <row r="1238" spans="1:4" x14ac:dyDescent="0.2">
      <c r="A1238" s="10">
        <v>1177</v>
      </c>
      <c r="D1238" s="2" t="str">
        <f t="shared" si="18"/>
        <v>OK</v>
      </c>
    </row>
    <row r="1239" spans="1:4" x14ac:dyDescent="0.2">
      <c r="A1239" s="5">
        <v>1178</v>
      </c>
      <c r="B1239" s="138">
        <f>'Expenditures 15-22'!E127</f>
        <v>213994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213994</v>
      </c>
      <c r="C1241" s="2" t="s">
        <v>573</v>
      </c>
      <c r="D1241" s="2" t="str">
        <f t="shared" si="18"/>
        <v>Error?</v>
      </c>
    </row>
    <row r="1242" spans="1:4" x14ac:dyDescent="0.2">
      <c r="A1242" s="5">
        <v>1181</v>
      </c>
      <c r="B1242" s="138">
        <f>'Expenditures 15-22'!E151</f>
        <v>213994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185829</v>
      </c>
      <c r="D1245" s="2" t="str">
        <f t="shared" si="18"/>
        <v>Error?</v>
      </c>
    </row>
    <row r="1246" spans="1:4" x14ac:dyDescent="0.2">
      <c r="A1246" s="10">
        <v>1185</v>
      </c>
      <c r="D1246" s="2" t="str">
        <f t="shared" si="18"/>
        <v>OK</v>
      </c>
    </row>
    <row r="1247" spans="1:4" x14ac:dyDescent="0.2">
      <c r="A1247" s="5">
        <v>1186</v>
      </c>
      <c r="B1247" s="138">
        <f>'Expenditures 15-22'!F127</f>
        <v>185829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185829</v>
      </c>
      <c r="C1249" s="2" t="s">
        <v>573</v>
      </c>
      <c r="D1249" s="2" t="str">
        <f t="shared" si="18"/>
        <v>Error?</v>
      </c>
    </row>
    <row r="1250" spans="1:4" x14ac:dyDescent="0.2">
      <c r="A1250" s="5">
        <v>1189</v>
      </c>
      <c r="B1250" s="138">
        <f>'Expenditures 15-22'!F151</f>
        <v>185829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2258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2258</v>
      </c>
      <c r="C1258" s="2" t="s">
        <v>573</v>
      </c>
      <c r="D1258" s="2" t="str">
        <f t="shared" si="18"/>
        <v>Error?</v>
      </c>
    </row>
    <row r="1259" spans="1:4" x14ac:dyDescent="0.2">
      <c r="A1259" s="5">
        <v>1198</v>
      </c>
      <c r="B1259" s="138">
        <f>'Expenditures 15-22'!G151</f>
        <v>2258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656971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656971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656971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656971</v>
      </c>
      <c r="C1288" s="2" t="s">
        <v>573</v>
      </c>
      <c r="D1288" s="2" t="str">
        <f t="shared" si="19"/>
        <v>Error?</v>
      </c>
    </row>
    <row r="1289" spans="1:4" x14ac:dyDescent="0.2">
      <c r="A1289" s="5">
        <v>1228</v>
      </c>
      <c r="B1289" s="138">
        <f>'Expenditures 15-22'!K152</f>
        <v>92318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52219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95000</v>
      </c>
      <c r="D1315" s="2" t="str">
        <f t="shared" si="19"/>
        <v>Error?</v>
      </c>
    </row>
    <row r="1316" spans="1:4" x14ac:dyDescent="0.2">
      <c r="A1316" s="5">
        <v>1255</v>
      </c>
      <c r="B1316" s="138">
        <f>'Expenditures 15-22'!H171</f>
        <v>975</v>
      </c>
      <c r="D1316" s="2" t="str">
        <f t="shared" si="19"/>
        <v>Error?</v>
      </c>
    </row>
    <row r="1317" spans="1:4" x14ac:dyDescent="0.2">
      <c r="A1317" s="5">
        <v>1256</v>
      </c>
      <c r="B1317" s="138">
        <f>'Expenditures 15-22'!H172</f>
        <v>148194</v>
      </c>
      <c r="C1317" s="2" t="s">
        <v>573</v>
      </c>
      <c r="D1317" s="2" t="str">
        <f t="shared" si="19"/>
        <v>Error?</v>
      </c>
    </row>
    <row r="1318" spans="1:4" x14ac:dyDescent="0.2">
      <c r="A1318" s="5">
        <v>1257</v>
      </c>
      <c r="B1318" s="138">
        <f>'Expenditures 15-22'!H174</f>
        <v>148194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52219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95000</v>
      </c>
      <c r="C1329" s="2" t="s">
        <v>573</v>
      </c>
      <c r="D1329" s="2" t="str">
        <f t="shared" si="19"/>
        <v>Error?</v>
      </c>
    </row>
    <row r="1330" spans="1:4" x14ac:dyDescent="0.2">
      <c r="A1330" s="5">
        <v>1269</v>
      </c>
      <c r="B1330" s="138">
        <f>'Expenditures 15-22'!K171</f>
        <v>975</v>
      </c>
      <c r="C1330" s="2" t="s">
        <v>573</v>
      </c>
      <c r="D1330" s="2" t="str">
        <f t="shared" si="19"/>
        <v>Error?</v>
      </c>
    </row>
    <row r="1331" spans="1:4" x14ac:dyDescent="0.2">
      <c r="A1331" s="5">
        <v>1270</v>
      </c>
      <c r="B1331" s="138">
        <f>'Expenditures 15-22'!K172</f>
        <v>148194</v>
      </c>
      <c r="C1331" s="2" t="s">
        <v>573</v>
      </c>
      <c r="D1331" s="2" t="str">
        <f t="shared" si="19"/>
        <v>Error?</v>
      </c>
    </row>
    <row r="1332" spans="1:4" x14ac:dyDescent="0.2">
      <c r="A1332" s="5">
        <v>1271</v>
      </c>
      <c r="B1332" s="138">
        <f>'Expenditures 15-22'!K174</f>
        <v>148194</v>
      </c>
      <c r="C1332" s="2" t="s">
        <v>573</v>
      </c>
      <c r="D1332" s="2" t="str">
        <f t="shared" si="19"/>
        <v>Error?</v>
      </c>
    </row>
    <row r="1333" spans="1:4" x14ac:dyDescent="0.2">
      <c r="A1333" s="5">
        <v>1272</v>
      </c>
      <c r="B1333" s="138">
        <f>'Expenditures 15-22'!K175</f>
        <v>790</v>
      </c>
      <c r="C1333" s="2" t="s">
        <v>573</v>
      </c>
      <c r="D1333" s="2" t="str">
        <f t="shared" si="19"/>
        <v>Error?</v>
      </c>
    </row>
    <row r="1334" spans="1:4" x14ac:dyDescent="0.2">
      <c r="A1334" s="10">
        <v>1273</v>
      </c>
      <c r="D1334" s="2" t="str">
        <f t="shared" si="19"/>
        <v>OK</v>
      </c>
    </row>
    <row r="1335" spans="1:4" x14ac:dyDescent="0.2">
      <c r="A1335" s="5">
        <v>1274</v>
      </c>
      <c r="B1335" s="138">
        <f>'Expenditures 15-22'!C182</f>
        <v>170517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170517</v>
      </c>
      <c r="C1339" s="2" t="s">
        <v>573</v>
      </c>
      <c r="D1339" s="2" t="str">
        <f t="shared" si="19"/>
        <v>Error?</v>
      </c>
    </row>
    <row r="1340" spans="1:4" x14ac:dyDescent="0.2">
      <c r="A1340" s="5">
        <v>1279</v>
      </c>
      <c r="B1340" s="138">
        <f>'Expenditures 15-22'!C210</f>
        <v>170517</v>
      </c>
      <c r="C1340" s="2" t="s">
        <v>573</v>
      </c>
      <c r="D1340" s="2" t="str">
        <f t="shared" si="19"/>
        <v>Error?</v>
      </c>
    </row>
    <row r="1341" spans="1:4" x14ac:dyDescent="0.2">
      <c r="A1341" s="5">
        <v>1280</v>
      </c>
      <c r="B1341" s="138">
        <f>'Expenditures 15-22'!D182</f>
        <v>21967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21967</v>
      </c>
      <c r="C1345" s="2" t="s">
        <v>573</v>
      </c>
      <c r="D1345" s="2" t="str">
        <f t="shared" si="20"/>
        <v>Error?</v>
      </c>
    </row>
    <row r="1346" spans="1:4" x14ac:dyDescent="0.2">
      <c r="A1346" s="5">
        <v>1285</v>
      </c>
      <c r="B1346" s="138">
        <f>'Expenditures 15-22'!D210</f>
        <v>21967</v>
      </c>
      <c r="C1346" s="2" t="s">
        <v>573</v>
      </c>
      <c r="D1346" s="2" t="str">
        <f t="shared" si="20"/>
        <v>Error?</v>
      </c>
    </row>
    <row r="1347" spans="1:4" x14ac:dyDescent="0.2">
      <c r="A1347" s="5">
        <v>1286</v>
      </c>
      <c r="B1347" s="138">
        <f>'Expenditures 15-22'!E182</f>
        <v>237890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237890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237890</v>
      </c>
      <c r="C1353" s="2" t="s">
        <v>573</v>
      </c>
      <c r="D1353" s="2" t="str">
        <f t="shared" si="20"/>
        <v>Error?</v>
      </c>
    </row>
    <row r="1354" spans="1:4" x14ac:dyDescent="0.2">
      <c r="A1354" s="5">
        <v>1293</v>
      </c>
      <c r="B1354" s="138">
        <f>'Expenditures 15-22'!F182</f>
        <v>52233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52233</v>
      </c>
      <c r="C1358" s="2" t="s">
        <v>573</v>
      </c>
      <c r="D1358" s="2" t="str">
        <f t="shared" si="20"/>
        <v>Error?</v>
      </c>
    </row>
    <row r="1359" spans="1:4" x14ac:dyDescent="0.2">
      <c r="A1359" s="5">
        <v>1298</v>
      </c>
      <c r="B1359" s="138">
        <f>'Expenditures 15-22'!F210</f>
        <v>52233</v>
      </c>
      <c r="C1359" s="2" t="s">
        <v>573</v>
      </c>
      <c r="D1359" s="2" t="str">
        <f t="shared" si="20"/>
        <v>Error?</v>
      </c>
    </row>
    <row r="1360" spans="1:4" x14ac:dyDescent="0.2">
      <c r="A1360" s="5">
        <v>1299</v>
      </c>
      <c r="B1360" s="138">
        <f>'Expenditures 15-22'!G182</f>
        <v>137692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137692</v>
      </c>
      <c r="C1364" s="2" t="s">
        <v>573</v>
      </c>
      <c r="D1364" s="2" t="str">
        <f t="shared" si="20"/>
        <v>Error?</v>
      </c>
    </row>
    <row r="1365" spans="1:4" x14ac:dyDescent="0.2">
      <c r="A1365" s="5">
        <v>1304</v>
      </c>
      <c r="B1365" s="138">
        <f>'Expenditures 15-22'!G210</f>
        <v>137692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620299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620299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620299</v>
      </c>
      <c r="C1388" s="2" t="s">
        <v>573</v>
      </c>
      <c r="D1388" s="2" t="str">
        <f t="shared" si="20"/>
        <v>Error?</v>
      </c>
    </row>
    <row r="1389" spans="1:4" x14ac:dyDescent="0.2">
      <c r="A1389" s="5">
        <v>1328</v>
      </c>
      <c r="B1389" s="138">
        <f>'Expenditures 15-22'!K211</f>
        <v>163562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12377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3128</v>
      </c>
      <c r="D1407" s="2" t="str">
        <f t="shared" ref="D1407:D1470" si="21">IF(ISBLANK(B1407),"OK",IF(A1407-B1407=0,"OK","Error?"))</f>
        <v>Error?</v>
      </c>
    </row>
    <row r="1408" spans="1:4" x14ac:dyDescent="0.2">
      <c r="A1408" s="5">
        <v>1347</v>
      </c>
      <c r="B1408" s="138">
        <f>'Expenditures 15-22'!D223</f>
        <v>7482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101681</v>
      </c>
      <c r="C1410" s="2" t="s">
        <v>573</v>
      </c>
      <c r="D1410" s="2" t="str">
        <f t="shared" si="21"/>
        <v>Error?</v>
      </c>
    </row>
    <row r="1411" spans="1:4" x14ac:dyDescent="0.2">
      <c r="A1411" s="5">
        <v>1350</v>
      </c>
      <c r="B1411" s="138">
        <f>'Expenditures 15-22'!D232</f>
        <v>894</v>
      </c>
      <c r="D1411" s="2" t="str">
        <f t="shared" si="21"/>
        <v>Error?</v>
      </c>
    </row>
    <row r="1412" spans="1:4" x14ac:dyDescent="0.2">
      <c r="A1412" s="5">
        <v>1351</v>
      </c>
      <c r="B1412" s="138">
        <f>'Expenditures 15-22'!D233</f>
        <v>682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128</v>
      </c>
      <c r="D1414" s="2" t="str">
        <f t="shared" si="21"/>
        <v>Error?</v>
      </c>
    </row>
    <row r="1415" spans="1:4" x14ac:dyDescent="0.2">
      <c r="A1415" s="5">
        <v>1354</v>
      </c>
      <c r="B1415" s="138">
        <f>'Expenditures 15-22'!D236</f>
        <v>561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2265</v>
      </c>
      <c r="C1417" s="2" t="s">
        <v>573</v>
      </c>
      <c r="D1417" s="2" t="str">
        <f t="shared" si="21"/>
        <v>Error?</v>
      </c>
    </row>
    <row r="1418" spans="1:4" x14ac:dyDescent="0.2">
      <c r="A1418" s="5">
        <v>1357</v>
      </c>
      <c r="B1418" s="138">
        <f>'Expenditures 15-22'!D240</f>
        <v>1000</v>
      </c>
      <c r="D1418" s="2" t="str">
        <f t="shared" si="21"/>
        <v>Error?</v>
      </c>
    </row>
    <row r="1419" spans="1:4" x14ac:dyDescent="0.2">
      <c r="A1419" s="5">
        <v>1358</v>
      </c>
      <c r="B1419" s="138">
        <f>'Expenditures 15-22'!D241</f>
        <v>18359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19359</v>
      </c>
      <c r="C1421" s="2" t="s">
        <v>573</v>
      </c>
      <c r="D1421" s="2" t="str">
        <f t="shared" si="21"/>
        <v>Error?</v>
      </c>
    </row>
    <row r="1422" spans="1:4" x14ac:dyDescent="0.2">
      <c r="A1422" s="5">
        <v>1361</v>
      </c>
      <c r="B1422" s="138">
        <f>'Expenditures 15-22'!D245</f>
        <v>302</v>
      </c>
      <c r="D1422" s="2" t="str">
        <f t="shared" si="21"/>
        <v>Error?</v>
      </c>
    </row>
    <row r="1423" spans="1:4" x14ac:dyDescent="0.2">
      <c r="A1423" s="5">
        <v>1362</v>
      </c>
      <c r="B1423" s="138">
        <f>'Expenditures 15-22'!D246</f>
        <v>2904</v>
      </c>
      <c r="D1423" s="2" t="str">
        <f t="shared" si="21"/>
        <v>Error?</v>
      </c>
    </row>
    <row r="1424" spans="1:4" x14ac:dyDescent="0.2">
      <c r="A1424" s="5">
        <v>1363</v>
      </c>
      <c r="B1424" s="138">
        <f>'Expenditures 15-22'!D257</f>
        <v>3568</v>
      </c>
      <c r="C1424" s="2" t="s">
        <v>573</v>
      </c>
      <c r="D1424" s="2" t="str">
        <f t="shared" si="21"/>
        <v>Error?</v>
      </c>
    </row>
    <row r="1425" spans="1:4" x14ac:dyDescent="0.2">
      <c r="A1425" s="5">
        <v>1364</v>
      </c>
      <c r="B1425" s="138">
        <f>'Expenditures 15-22'!D259</f>
        <v>27447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27447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12380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43235</v>
      </c>
      <c r="D1431" s="2" t="str">
        <f t="shared" si="21"/>
        <v>Error?</v>
      </c>
    </row>
    <row r="1432" spans="1:4" x14ac:dyDescent="0.2">
      <c r="A1432" s="5">
        <v>1371</v>
      </c>
      <c r="B1432" s="138">
        <f>'Expenditures 15-22'!D267</f>
        <v>26290</v>
      </c>
      <c r="D1432" s="2" t="str">
        <f t="shared" si="21"/>
        <v>Error?</v>
      </c>
    </row>
    <row r="1433" spans="1:4" x14ac:dyDescent="0.2">
      <c r="A1433" s="5">
        <v>1372</v>
      </c>
      <c r="B1433" s="138">
        <f>'Expenditures 15-22'!D268</f>
        <v>20478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102383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11</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155033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256714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12377</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3128</v>
      </c>
      <c r="C1471" s="2" t="s">
        <v>573</v>
      </c>
      <c r="D1471" s="2" t="str">
        <f t="shared" ref="D1471:D1534" si="22">IF(ISBLANK(B1471),"OK",IF(A1471-B1471=0,"OK","Error?"))</f>
        <v>Error?</v>
      </c>
    </row>
    <row r="1472" spans="1:4" x14ac:dyDescent="0.2">
      <c r="A1472" s="5">
        <v>1411</v>
      </c>
      <c r="B1472" s="138">
        <f>'Expenditures 15-22'!K223</f>
        <v>7482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101681</v>
      </c>
      <c r="C1474" s="2" t="s">
        <v>573</v>
      </c>
      <c r="D1474" s="2" t="str">
        <f t="shared" si="22"/>
        <v>Error?</v>
      </c>
    </row>
    <row r="1475" spans="1:4" x14ac:dyDescent="0.2">
      <c r="A1475" s="5">
        <v>1414</v>
      </c>
      <c r="B1475" s="138">
        <f>'Expenditures 15-22'!K232</f>
        <v>894</v>
      </c>
      <c r="C1475" s="2" t="s">
        <v>573</v>
      </c>
      <c r="D1475" s="2" t="str">
        <f t="shared" si="22"/>
        <v>Error?</v>
      </c>
    </row>
    <row r="1476" spans="1:4" x14ac:dyDescent="0.2">
      <c r="A1476" s="5">
        <v>1415</v>
      </c>
      <c r="B1476" s="138">
        <f>'Expenditures 15-22'!K233</f>
        <v>682</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128</v>
      </c>
      <c r="C1478" s="2" t="s">
        <v>573</v>
      </c>
      <c r="D1478" s="2" t="str">
        <f t="shared" si="22"/>
        <v>Error?</v>
      </c>
    </row>
    <row r="1479" spans="1:4" x14ac:dyDescent="0.2">
      <c r="A1479" s="5">
        <v>1418</v>
      </c>
      <c r="B1479" s="138">
        <f>'Expenditures 15-22'!K236</f>
        <v>561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2265</v>
      </c>
      <c r="C1481" s="2" t="s">
        <v>573</v>
      </c>
      <c r="D1481" s="2" t="str">
        <f t="shared" si="22"/>
        <v>Error?</v>
      </c>
    </row>
    <row r="1482" spans="1:4" x14ac:dyDescent="0.2">
      <c r="A1482" s="5">
        <v>1421</v>
      </c>
      <c r="B1482" s="138">
        <f>'Expenditures 15-22'!K240</f>
        <v>1000</v>
      </c>
      <c r="C1482" s="2" t="s">
        <v>573</v>
      </c>
      <c r="D1482" s="2" t="str">
        <f t="shared" si="22"/>
        <v>Error?</v>
      </c>
    </row>
    <row r="1483" spans="1:4" x14ac:dyDescent="0.2">
      <c r="A1483" s="5">
        <v>1422</v>
      </c>
      <c r="B1483" s="138">
        <f>'Expenditures 15-22'!K241</f>
        <v>18359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19359</v>
      </c>
      <c r="C1485" s="2" t="s">
        <v>573</v>
      </c>
      <c r="D1485" s="2" t="str">
        <f t="shared" si="22"/>
        <v>Error?</v>
      </c>
    </row>
    <row r="1486" spans="1:4" x14ac:dyDescent="0.2">
      <c r="A1486" s="5">
        <v>1425</v>
      </c>
      <c r="B1486" s="138">
        <f>'Expenditures 15-22'!K245</f>
        <v>302</v>
      </c>
      <c r="C1486" s="2" t="s">
        <v>573</v>
      </c>
      <c r="D1486" s="2" t="str">
        <f t="shared" si="22"/>
        <v>Error?</v>
      </c>
    </row>
    <row r="1487" spans="1:4" x14ac:dyDescent="0.2">
      <c r="A1487" s="5">
        <v>1426</v>
      </c>
      <c r="B1487" s="138">
        <f>'Expenditures 15-22'!K246</f>
        <v>2904</v>
      </c>
      <c r="C1487" s="2" t="s">
        <v>573</v>
      </c>
      <c r="D1487" s="2" t="str">
        <f t="shared" si="22"/>
        <v>Error?</v>
      </c>
    </row>
    <row r="1488" spans="1:4" x14ac:dyDescent="0.2">
      <c r="A1488" s="5">
        <v>1427</v>
      </c>
      <c r="B1488" s="138">
        <f>'Expenditures 15-22'!K257</f>
        <v>3568</v>
      </c>
      <c r="C1488" s="2" t="s">
        <v>573</v>
      </c>
      <c r="D1488" s="2" t="str">
        <f t="shared" si="22"/>
        <v>Error?</v>
      </c>
    </row>
    <row r="1489" spans="1:4" x14ac:dyDescent="0.2">
      <c r="A1489" s="5">
        <v>1428</v>
      </c>
      <c r="B1489" s="138">
        <f>'Expenditures 15-22'!K259</f>
        <v>27447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27447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12380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43235</v>
      </c>
      <c r="C1495" s="2" t="s">
        <v>573</v>
      </c>
      <c r="D1495" s="2" t="str">
        <f t="shared" si="22"/>
        <v>Error?</v>
      </c>
    </row>
    <row r="1496" spans="1:4" x14ac:dyDescent="0.2">
      <c r="A1496" s="5">
        <v>1435</v>
      </c>
      <c r="B1496" s="138">
        <f>'Expenditures 15-22'!K267</f>
        <v>26290</v>
      </c>
      <c r="C1496" s="2" t="s">
        <v>573</v>
      </c>
      <c r="D1496" s="2" t="str">
        <f t="shared" si="22"/>
        <v>Error?</v>
      </c>
    </row>
    <row r="1497" spans="1:4" x14ac:dyDescent="0.2">
      <c r="A1497" s="5">
        <v>1436</v>
      </c>
      <c r="B1497" s="138">
        <f>'Expenditures 15-22'!K268</f>
        <v>20478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102383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11</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155033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256714</v>
      </c>
      <c r="C1517" s="2" t="s">
        <v>573</v>
      </c>
      <c r="D1517" s="2" t="str">
        <f t="shared" si="22"/>
        <v>Error?</v>
      </c>
    </row>
    <row r="1518" spans="1:4" x14ac:dyDescent="0.2">
      <c r="A1518" s="5">
        <v>1457</v>
      </c>
      <c r="B1518" s="138">
        <f>'Expenditures 15-22'!K296</f>
        <v>96092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6577296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7067665</v>
      </c>
      <c r="C1630" s="2" t="s">
        <v>573</v>
      </c>
      <c r="D1630" s="2" t="str">
        <f t="shared" si="24"/>
        <v>Error?</v>
      </c>
    </row>
    <row r="1631" spans="1:4" x14ac:dyDescent="0.2">
      <c r="A1631" s="5">
        <v>1570</v>
      </c>
      <c r="B1631" s="138">
        <f>'Acct Summary 7-8'!D79</f>
        <v>1095714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1188032</v>
      </c>
      <c r="C1644" s="2" t="s">
        <v>573</v>
      </c>
      <c r="D1644" s="2" t="str">
        <f t="shared" si="24"/>
        <v>Error?</v>
      </c>
    </row>
    <row r="1645" spans="1:4" x14ac:dyDescent="0.2">
      <c r="A1645" s="5">
        <v>1584</v>
      </c>
      <c r="B1645" s="138">
        <f>'Acct Summary 7-8'!E79</f>
        <v>13612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14402</v>
      </c>
      <c r="C1658" s="2" t="s">
        <v>573</v>
      </c>
      <c r="D1658" s="2" t="str">
        <f t="shared" si="24"/>
        <v>Error?</v>
      </c>
    </row>
    <row r="1659" spans="1:4" x14ac:dyDescent="0.2">
      <c r="A1659" s="5">
        <v>1598</v>
      </c>
      <c r="B1659" s="138">
        <f>'Acct Summary 7-8'!F79</f>
        <v>161151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324713</v>
      </c>
      <c r="C1672" s="2" t="s">
        <v>573</v>
      </c>
      <c r="D1672" s="2" t="str">
        <f t="shared" si="25"/>
        <v>Error?</v>
      </c>
    </row>
    <row r="1673" spans="1:4" x14ac:dyDescent="0.2">
      <c r="A1673" s="5">
        <v>1612</v>
      </c>
      <c r="B1673" s="138">
        <f>'Acct Summary 7-8'!G79</f>
        <v>483234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579326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2393338</v>
      </c>
      <c r="C1744" s="2" t="s">
        <v>573</v>
      </c>
      <c r="D1744" s="2" t="str">
        <f t="shared" si="26"/>
        <v>Error?</v>
      </c>
    </row>
    <row r="1745" spans="1:5" x14ac:dyDescent="0.2">
      <c r="A1745" s="5">
        <v>1684</v>
      </c>
      <c r="B1745" s="138">
        <f>'Tax Sched 23'!B5</f>
        <v>543940</v>
      </c>
      <c r="C1745" s="2" t="s">
        <v>573</v>
      </c>
      <c r="D1745" s="2" t="str">
        <f t="shared" si="26"/>
        <v>Error?</v>
      </c>
    </row>
    <row r="1746" spans="1:5" x14ac:dyDescent="0.2">
      <c r="A1746" s="5">
        <v>1685</v>
      </c>
      <c r="B1746" s="138">
        <f>'Tax Sched 23'!B6</f>
        <v>148887</v>
      </c>
      <c r="C1746" s="2" t="s">
        <v>573</v>
      </c>
      <c r="D1746" s="2" t="str">
        <f t="shared" si="26"/>
        <v>Error?</v>
      </c>
    </row>
    <row r="1747" spans="1:5" x14ac:dyDescent="0.2">
      <c r="A1747" s="5">
        <v>1686</v>
      </c>
      <c r="B1747" s="138">
        <f>'Tax Sched 23'!B7</f>
        <v>174062</v>
      </c>
      <c r="C1747" s="2" t="s">
        <v>573</v>
      </c>
      <c r="D1747" s="2" t="str">
        <f t="shared" si="26"/>
        <v>Error?</v>
      </c>
    </row>
    <row r="1748" spans="1:5" x14ac:dyDescent="0.2">
      <c r="A1748" s="5">
        <v>1687</v>
      </c>
      <c r="B1748" s="138">
        <f>'Tax Sched 23'!B8</f>
        <v>180272</v>
      </c>
      <c r="C1748" s="2" t="s">
        <v>573</v>
      </c>
      <c r="D1748" s="2" t="str">
        <f t="shared" si="26"/>
        <v>Error?</v>
      </c>
    </row>
    <row r="1749" spans="1:5" x14ac:dyDescent="0.2">
      <c r="A1749" s="5">
        <v>1688</v>
      </c>
      <c r="B1749" s="138">
        <f>'Tax Sched 23'!B10</f>
        <v>43516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530805</v>
      </c>
      <c r="C1752" s="2" t="s">
        <v>573</v>
      </c>
      <c r="D1752" s="2" t="str">
        <f t="shared" si="26"/>
        <v>Error?</v>
      </c>
    </row>
    <row r="1753" spans="1:5" x14ac:dyDescent="0.2">
      <c r="A1753" s="5">
        <v>1692</v>
      </c>
      <c r="B1753" s="138">
        <f>'Tax Sched 23'!B12</f>
        <v>43515</v>
      </c>
      <c r="C1753" s="2" t="s">
        <v>573</v>
      </c>
      <c r="D1753" s="2" t="str">
        <f t="shared" si="26"/>
        <v>Error?</v>
      </c>
    </row>
    <row r="1754" spans="1:5" x14ac:dyDescent="0.2">
      <c r="A1754" s="5">
        <v>1693</v>
      </c>
      <c r="B1754" s="138">
        <f>'Tax Sched 23'!B14</f>
        <v>34813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4307928</v>
      </c>
      <c r="C1759" s="2" t="s">
        <v>573</v>
      </c>
      <c r="D1759" s="2" t="str">
        <f t="shared" si="26"/>
        <v>Error?</v>
      </c>
    </row>
    <row r="1760" spans="1:5" x14ac:dyDescent="0.2">
      <c r="A1760" s="5">
        <v>1699</v>
      </c>
      <c r="B1760" s="138">
        <f>'Tax Sched 23'!D4</f>
        <v>2393338</v>
      </c>
      <c r="C1760" s="2" t="s">
        <v>573</v>
      </c>
      <c r="D1760" s="2" t="str">
        <f t="shared" si="26"/>
        <v>Error?</v>
      </c>
    </row>
    <row r="1761" spans="1:5" x14ac:dyDescent="0.2">
      <c r="A1761" s="5">
        <v>1700</v>
      </c>
      <c r="B1761" s="138">
        <f>'Tax Sched 23'!D5</f>
        <v>543940</v>
      </c>
      <c r="C1761" s="2" t="s">
        <v>573</v>
      </c>
      <c r="D1761" s="2" t="str">
        <f t="shared" si="26"/>
        <v>Error?</v>
      </c>
    </row>
    <row r="1762" spans="1:5" s="8" customFormat="1" x14ac:dyDescent="0.2">
      <c r="A1762" s="5">
        <v>1701</v>
      </c>
      <c r="B1762" s="138">
        <f>'Tax Sched 23'!D6</f>
        <v>148887</v>
      </c>
      <c r="C1762" s="2" t="s">
        <v>573</v>
      </c>
      <c r="D1762" s="2" t="str">
        <f t="shared" si="26"/>
        <v>Error?</v>
      </c>
      <c r="E1762" s="9"/>
    </row>
    <row r="1763" spans="1:5" x14ac:dyDescent="0.2">
      <c r="A1763" s="5">
        <v>1702</v>
      </c>
      <c r="B1763" s="138">
        <f>'Tax Sched 23'!D7</f>
        <v>174062</v>
      </c>
      <c r="C1763" s="2" t="s">
        <v>573</v>
      </c>
      <c r="D1763" s="2" t="str">
        <f t="shared" si="26"/>
        <v>Error?</v>
      </c>
    </row>
    <row r="1764" spans="1:5" x14ac:dyDescent="0.2">
      <c r="A1764" s="5">
        <v>1703</v>
      </c>
      <c r="B1764" s="138">
        <f>'Tax Sched 23'!D8</f>
        <v>180272</v>
      </c>
      <c r="C1764" s="2" t="s">
        <v>573</v>
      </c>
      <c r="D1764" s="2" t="str">
        <f t="shared" si="26"/>
        <v>Error?</v>
      </c>
    </row>
    <row r="1765" spans="1:5" x14ac:dyDescent="0.2">
      <c r="A1765" s="5">
        <v>1704</v>
      </c>
      <c r="B1765" s="138">
        <f>'Tax Sched 23'!D10</f>
        <v>43516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530805</v>
      </c>
      <c r="C1768" s="2" t="s">
        <v>573</v>
      </c>
      <c r="D1768" s="2" t="str">
        <f t="shared" si="26"/>
        <v>Error?</v>
      </c>
    </row>
    <row r="1769" spans="1:5" x14ac:dyDescent="0.2">
      <c r="A1769" s="5">
        <v>1708</v>
      </c>
      <c r="B1769" s="138">
        <f>'Tax Sched 23'!D12</f>
        <v>43515</v>
      </c>
      <c r="C1769" s="2" t="s">
        <v>573</v>
      </c>
      <c r="D1769" s="2" t="str">
        <f t="shared" si="26"/>
        <v>Error?</v>
      </c>
    </row>
    <row r="1770" spans="1:5" x14ac:dyDescent="0.2">
      <c r="A1770" s="5">
        <v>1709</v>
      </c>
      <c r="B1770" s="138">
        <f>'Tax Sched 23'!D14</f>
        <v>34813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4307928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2501127</v>
      </c>
      <c r="C1792" s="2" t="s">
        <v>573</v>
      </c>
      <c r="D1792" s="2" t="str">
        <f t="shared" si="27"/>
        <v>Error?</v>
      </c>
    </row>
    <row r="1793" spans="1:4" x14ac:dyDescent="0.2">
      <c r="A1793" s="5">
        <v>1732</v>
      </c>
      <c r="B1793" s="138">
        <f>'Tax Sched 23'!F5</f>
        <v>568440</v>
      </c>
      <c r="C1793" s="2" t="s">
        <v>573</v>
      </c>
      <c r="D1793" s="2" t="str">
        <f t="shared" si="27"/>
        <v>Error?</v>
      </c>
    </row>
    <row r="1794" spans="1:4" x14ac:dyDescent="0.2">
      <c r="A1794" s="5">
        <v>1733</v>
      </c>
      <c r="B1794" s="138">
        <f>'Tax Sched 23'!F6</f>
        <v>145030</v>
      </c>
      <c r="C1794" s="2" t="s">
        <v>573</v>
      </c>
      <c r="D1794" s="2" t="str">
        <f t="shared" si="27"/>
        <v>Error?</v>
      </c>
    </row>
    <row r="1795" spans="1:4" x14ac:dyDescent="0.2">
      <c r="A1795" s="5">
        <v>1734</v>
      </c>
      <c r="B1795" s="138">
        <f>'Tax Sched 23'!F7</f>
        <v>181907</v>
      </c>
      <c r="C1795" s="2" t="s">
        <v>573</v>
      </c>
      <c r="D1795" s="2" t="str">
        <f t="shared" si="27"/>
        <v>Error?</v>
      </c>
    </row>
    <row r="1796" spans="1:4" x14ac:dyDescent="0.2">
      <c r="A1796" s="5">
        <v>1735</v>
      </c>
      <c r="B1796" s="138">
        <f>'Tax Sched 23'!F8</f>
        <v>180006</v>
      </c>
      <c r="C1796" s="2" t="s">
        <v>573</v>
      </c>
      <c r="D1796" s="2" t="str">
        <f t="shared" si="27"/>
        <v>Error?</v>
      </c>
    </row>
    <row r="1797" spans="1:4" x14ac:dyDescent="0.2">
      <c r="A1797" s="5">
        <v>1736</v>
      </c>
      <c r="B1797" s="138">
        <f>'Tax Sched 23'!F10</f>
        <v>43476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535000</v>
      </c>
      <c r="C1800" s="2" t="s">
        <v>573</v>
      </c>
      <c r="D1800" s="2" t="str">
        <f t="shared" si="27"/>
        <v>Error?</v>
      </c>
    </row>
    <row r="1801" spans="1:4" x14ac:dyDescent="0.2">
      <c r="A1801" s="5">
        <v>1740</v>
      </c>
      <c r="B1801" s="138">
        <f>'Tax Sched 23'!F12</f>
        <v>45477</v>
      </c>
      <c r="C1801" s="2" t="s">
        <v>573</v>
      </c>
      <c r="D1801" s="2" t="str">
        <f t="shared" si="27"/>
        <v>Error?</v>
      </c>
    </row>
    <row r="1802" spans="1:4" x14ac:dyDescent="0.2">
      <c r="A1802" s="5">
        <v>1741</v>
      </c>
      <c r="B1802" s="138">
        <f>'Tax Sched 23'!F14</f>
        <v>36383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4453336</v>
      </c>
      <c r="C1807" s="2" t="s">
        <v>573</v>
      </c>
      <c r="D1807" s="2" t="str">
        <f t="shared" si="27"/>
        <v>Error?</v>
      </c>
    </row>
    <row r="1808" spans="1:4" x14ac:dyDescent="0.2">
      <c r="A1808" s="5">
        <v>1747</v>
      </c>
      <c r="B1808" s="138">
        <f>'Tax Sched 23'!E4</f>
        <v>2501127</v>
      </c>
      <c r="D1808" s="2" t="str">
        <f t="shared" si="27"/>
        <v>Error?</v>
      </c>
    </row>
    <row r="1809" spans="1:4" x14ac:dyDescent="0.2">
      <c r="A1809" s="5">
        <v>1748</v>
      </c>
      <c r="B1809" s="138">
        <f>'Tax Sched 23'!E5</f>
        <v>568440</v>
      </c>
      <c r="D1809" s="2" t="str">
        <f t="shared" si="27"/>
        <v>Error?</v>
      </c>
    </row>
    <row r="1810" spans="1:4" x14ac:dyDescent="0.2">
      <c r="A1810" s="5">
        <v>1749</v>
      </c>
      <c r="B1810" s="138">
        <f>'Tax Sched 23'!E6</f>
        <v>145030</v>
      </c>
      <c r="D1810" s="2" t="str">
        <f t="shared" si="27"/>
        <v>Error?</v>
      </c>
    </row>
    <row r="1811" spans="1:4" x14ac:dyDescent="0.2">
      <c r="A1811" s="5">
        <v>1750</v>
      </c>
      <c r="B1811" s="138">
        <f>'Tax Sched 23'!E7</f>
        <v>181907</v>
      </c>
      <c r="D1811" s="2" t="str">
        <f t="shared" si="27"/>
        <v>Error?</v>
      </c>
    </row>
    <row r="1812" spans="1:4" x14ac:dyDescent="0.2">
      <c r="A1812" s="5">
        <v>1751</v>
      </c>
      <c r="B1812" s="138">
        <f>'Tax Sched 23'!E8</f>
        <v>180006</v>
      </c>
      <c r="D1812" s="2" t="str">
        <f t="shared" si="27"/>
        <v>Error?</v>
      </c>
    </row>
    <row r="1813" spans="1:4" x14ac:dyDescent="0.2">
      <c r="A1813" s="5">
        <v>1752</v>
      </c>
      <c r="B1813" s="138">
        <f>'Tax Sched 23'!E10</f>
        <v>43476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535000</v>
      </c>
      <c r="D1816" s="2" t="str">
        <f t="shared" si="27"/>
        <v>Error?</v>
      </c>
    </row>
    <row r="1817" spans="1:4" x14ac:dyDescent="0.2">
      <c r="A1817" s="5">
        <v>1756</v>
      </c>
      <c r="B1817" s="138">
        <f>'Tax Sched 23'!E12</f>
        <v>45477</v>
      </c>
      <c r="D1817" s="2" t="str">
        <f t="shared" si="27"/>
        <v>Error?</v>
      </c>
    </row>
    <row r="1818" spans="1:4" x14ac:dyDescent="0.2">
      <c r="A1818" s="5">
        <v>1757</v>
      </c>
      <c r="B1818" s="138">
        <f>'Tax Sched 23'!E14</f>
        <v>36383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4453336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34813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34813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34813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15000</v>
      </c>
      <c r="D2008" s="2" t="str">
        <f t="shared" si="30"/>
        <v>Error?</v>
      </c>
    </row>
    <row r="2009" spans="1:4" x14ac:dyDescent="0.2">
      <c r="A2009" s="5">
        <v>1948</v>
      </c>
      <c r="B2009" s="138">
        <f>'Cap Outlay Deprec 26'!C8</f>
        <v>9045974</v>
      </c>
      <c r="D2009" s="2" t="str">
        <f t="shared" si="30"/>
        <v>Error?</v>
      </c>
    </row>
    <row r="2010" spans="1:4" x14ac:dyDescent="0.2">
      <c r="A2010" s="5">
        <v>1949</v>
      </c>
      <c r="B2010" s="138">
        <f>'Cap Outlay Deprec 26'!C10</f>
        <v>1162696</v>
      </c>
      <c r="D2010" s="2" t="str">
        <f t="shared" si="30"/>
        <v>Error?</v>
      </c>
    </row>
    <row r="2011" spans="1:4" x14ac:dyDescent="0.2">
      <c r="A2011" s="5">
        <v>1950</v>
      </c>
      <c r="B2011" s="138">
        <f>'Cap Outlay Deprec 26'!C12</f>
        <v>3008168</v>
      </c>
      <c r="D2011" s="2" t="str">
        <f t="shared" si="30"/>
        <v>Error?</v>
      </c>
    </row>
    <row r="2012" spans="1:4" x14ac:dyDescent="0.2">
      <c r="A2012" s="5">
        <v>1951</v>
      </c>
      <c r="B2012" s="138">
        <f>'Cap Outlay Deprec 26'!C13</f>
        <v>359044</v>
      </c>
      <c r="D2012" s="2" t="str">
        <f t="shared" si="30"/>
        <v>Error?</v>
      </c>
    </row>
    <row r="2013" spans="1:4" x14ac:dyDescent="0.2">
      <c r="A2013" s="5">
        <v>1952</v>
      </c>
      <c r="B2013" s="138">
        <f>'Cap Outlay Deprec 26'!C16</f>
        <v>13590882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77705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95504</v>
      </c>
      <c r="D2017" s="2" t="str">
        <f t="shared" si="30"/>
        <v>Error?</v>
      </c>
    </row>
    <row r="2018" spans="1:4" x14ac:dyDescent="0.2">
      <c r="A2018" s="5">
        <v>1957</v>
      </c>
      <c r="B2018" s="138">
        <f>'Cap Outlay Deprec 26'!D13</f>
        <v>9969</v>
      </c>
      <c r="D2018" s="2" t="str">
        <f t="shared" si="30"/>
        <v>Error?</v>
      </c>
    </row>
    <row r="2019" spans="1:4" x14ac:dyDescent="0.2">
      <c r="A2019" s="5">
        <v>1958</v>
      </c>
      <c r="B2019" s="138">
        <f>'Cap Outlay Deprec 26'!D16</f>
        <v>183178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753593</v>
      </c>
      <c r="D2023" s="2" t="str">
        <f t="shared" si="30"/>
        <v>Error?</v>
      </c>
    </row>
    <row r="2024" spans="1:4" x14ac:dyDescent="0.2">
      <c r="A2024" s="5">
        <v>1963</v>
      </c>
      <c r="B2024" s="138">
        <f>'Cap Outlay Deprec 26'!E13</f>
        <v>156984</v>
      </c>
      <c r="D2024" s="2" t="str">
        <f t="shared" si="30"/>
        <v>Error?</v>
      </c>
    </row>
    <row r="2025" spans="1:4" x14ac:dyDescent="0.2">
      <c r="A2025" s="5">
        <v>1964</v>
      </c>
      <c r="B2025" s="138">
        <f>'Cap Outlay Deprec 26'!E16</f>
        <v>910577</v>
      </c>
      <c r="C2025" s="2" t="s">
        <v>573</v>
      </c>
      <c r="D2025" s="2" t="str">
        <f t="shared" si="30"/>
        <v>Error?</v>
      </c>
    </row>
    <row r="2026" spans="1:4" x14ac:dyDescent="0.2">
      <c r="A2026" s="5">
        <v>1965</v>
      </c>
      <c r="B2026" s="138">
        <f>'Cap Outlay Deprec 26'!F5</f>
        <v>15000</v>
      </c>
      <c r="C2026" s="2" t="s">
        <v>573</v>
      </c>
      <c r="D2026" s="2" t="str">
        <f t="shared" si="30"/>
        <v>Error?</v>
      </c>
    </row>
    <row r="2027" spans="1:4" x14ac:dyDescent="0.2">
      <c r="A2027" s="5">
        <v>1966</v>
      </c>
      <c r="B2027" s="138">
        <f>'Cap Outlay Deprec 26'!F8</f>
        <v>9123679</v>
      </c>
      <c r="C2027" s="2" t="s">
        <v>573</v>
      </c>
      <c r="D2027" s="2" t="str">
        <f t="shared" si="30"/>
        <v>Error?</v>
      </c>
    </row>
    <row r="2028" spans="1:4" x14ac:dyDescent="0.2">
      <c r="A2028" s="5">
        <v>1967</v>
      </c>
      <c r="B2028" s="138">
        <f>'Cap Outlay Deprec 26'!F10</f>
        <v>1162696</v>
      </c>
      <c r="C2028" s="2" t="s">
        <v>573</v>
      </c>
      <c r="D2028" s="2" t="str">
        <f t="shared" si="30"/>
        <v>Error?</v>
      </c>
    </row>
    <row r="2029" spans="1:4" x14ac:dyDescent="0.2">
      <c r="A2029" s="5">
        <v>1968</v>
      </c>
      <c r="B2029" s="138">
        <f>'Cap Outlay Deprec 26'!F12</f>
        <v>2350079</v>
      </c>
      <c r="C2029" s="2" t="s">
        <v>573</v>
      </c>
      <c r="D2029" s="2" t="str">
        <f t="shared" si="30"/>
        <v>Error?</v>
      </c>
    </row>
    <row r="2030" spans="1:4" x14ac:dyDescent="0.2">
      <c r="A2030" s="5">
        <v>1969</v>
      </c>
      <c r="B2030" s="138">
        <f>'Cap Outlay Deprec 26'!F13</f>
        <v>212029</v>
      </c>
      <c r="C2030" s="2" t="s">
        <v>573</v>
      </c>
      <c r="D2030" s="2" t="str">
        <f t="shared" si="30"/>
        <v>Error?</v>
      </c>
    </row>
    <row r="2031" spans="1:4" x14ac:dyDescent="0.2">
      <c r="A2031" s="5">
        <v>1970</v>
      </c>
      <c r="B2031" s="138">
        <f>'Cap Outlay Deprec 26'!F16</f>
        <v>12863483</v>
      </c>
      <c r="C2031" s="2" t="s">
        <v>573</v>
      </c>
      <c r="D2031" s="2" t="str">
        <f t="shared" si="30"/>
        <v>Error?</v>
      </c>
    </row>
    <row r="2032" spans="1:4" x14ac:dyDescent="0.2">
      <c r="A2032" s="10">
        <v>1971</v>
      </c>
      <c r="D2032" s="2" t="str">
        <f t="shared" si="30"/>
        <v>OK</v>
      </c>
    </row>
    <row r="2033" spans="1:4" x14ac:dyDescent="0.2">
      <c r="A2033" s="5">
        <v>1972</v>
      </c>
      <c r="B2033" s="138">
        <f>'Cap Outlay Deprec 26'!H8</f>
        <v>6622601</v>
      </c>
      <c r="D2033" s="2" t="str">
        <f t="shared" si="30"/>
        <v>Error?</v>
      </c>
    </row>
    <row r="2034" spans="1:4" x14ac:dyDescent="0.2">
      <c r="A2034" s="5">
        <v>1973</v>
      </c>
      <c r="B2034" s="138">
        <f>'Cap Outlay Deprec 26'!H10</f>
        <v>555010</v>
      </c>
      <c r="D2034" s="2" t="str">
        <f t="shared" si="30"/>
        <v>Error?</v>
      </c>
    </row>
    <row r="2035" spans="1:4" x14ac:dyDescent="0.2">
      <c r="A2035" s="5">
        <v>1974</v>
      </c>
      <c r="B2035" s="138">
        <f>'Cap Outlay Deprec 26'!H12</f>
        <v>2683810</v>
      </c>
      <c r="D2035" s="2" t="str">
        <f t="shared" si="30"/>
        <v>Error?</v>
      </c>
    </row>
    <row r="2036" spans="1:4" x14ac:dyDescent="0.2">
      <c r="A2036" s="5">
        <v>1975</v>
      </c>
      <c r="B2036" s="138">
        <f>'Cap Outlay Deprec 26'!H13</f>
        <v>351545</v>
      </c>
      <c r="D2036" s="2" t="str">
        <f t="shared" si="30"/>
        <v>Error?</v>
      </c>
    </row>
    <row r="2037" spans="1:4" x14ac:dyDescent="0.2">
      <c r="A2037" s="5">
        <v>1976</v>
      </c>
      <c r="B2037" s="138">
        <f>'Cap Outlay Deprec 26'!H16</f>
        <v>10212966</v>
      </c>
      <c r="C2037" s="2" t="s">
        <v>573</v>
      </c>
      <c r="D2037" s="2" t="str">
        <f t="shared" si="30"/>
        <v>Error?</v>
      </c>
    </row>
    <row r="2038" spans="1:4" x14ac:dyDescent="0.2">
      <c r="A2038" s="10">
        <v>1977</v>
      </c>
      <c r="D2038" s="2" t="str">
        <f t="shared" si="30"/>
        <v>OK</v>
      </c>
    </row>
    <row r="2039" spans="1:4" x14ac:dyDescent="0.2">
      <c r="A2039" s="5">
        <v>1978</v>
      </c>
      <c r="B2039" s="138">
        <f>'Cap Outlay Deprec 26'!I8</f>
        <v>222695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95504</v>
      </c>
      <c r="D2041" s="2" t="str">
        <f t="shared" si="30"/>
        <v>Error?</v>
      </c>
    </row>
    <row r="2042" spans="1:4" x14ac:dyDescent="0.2">
      <c r="A2042" s="5">
        <v>1981</v>
      </c>
      <c r="B2042" s="138">
        <f>'Cap Outlay Deprec 26'!I13</f>
        <v>9969</v>
      </c>
      <c r="D2042" s="2" t="str">
        <f t="shared" si="30"/>
        <v>Error?</v>
      </c>
    </row>
    <row r="2043" spans="1:4" x14ac:dyDescent="0.2">
      <c r="A2043" s="5">
        <v>1982</v>
      </c>
      <c r="B2043" s="138">
        <f>'Cap Outlay Deprec 26'!I16</f>
        <v>328168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711742</v>
      </c>
      <c r="D2047" s="2" t="str">
        <f t="shared" ref="D2047:D2110" si="31">IF(ISBLANK(B2047),"OK",IF(A2047-B2047=0,"OK","Error?"))</f>
        <v>Error?</v>
      </c>
    </row>
    <row r="2048" spans="1:4" x14ac:dyDescent="0.2">
      <c r="A2048" s="5">
        <v>1987</v>
      </c>
      <c r="B2048" s="138">
        <f>'Cap Outlay Deprec 26'!J13</f>
        <v>156407</v>
      </c>
      <c r="D2048" s="2" t="str">
        <f t="shared" si="31"/>
        <v>Error?</v>
      </c>
    </row>
    <row r="2049" spans="1:4" x14ac:dyDescent="0.2">
      <c r="A2049" s="5">
        <v>1988</v>
      </c>
      <c r="B2049" s="138">
        <f>'Cap Outlay Deprec 26'!J16</f>
        <v>868149</v>
      </c>
      <c r="C2049" s="2" t="s">
        <v>573</v>
      </c>
      <c r="D2049" s="2" t="str">
        <f t="shared" si="31"/>
        <v>Error?</v>
      </c>
    </row>
    <row r="2050" spans="1:4" x14ac:dyDescent="0.2">
      <c r="A2050" s="10">
        <v>1989</v>
      </c>
      <c r="D2050" s="2" t="str">
        <f t="shared" si="31"/>
        <v>OK</v>
      </c>
    </row>
    <row r="2051" spans="1:4" x14ac:dyDescent="0.2">
      <c r="A2051" s="5">
        <v>1990</v>
      </c>
      <c r="B2051" s="138">
        <f>'Cap Outlay Deprec 26'!K8</f>
        <v>6845296</v>
      </c>
      <c r="C2051" s="2" t="s">
        <v>573</v>
      </c>
      <c r="D2051" s="2" t="str">
        <f t="shared" si="31"/>
        <v>Error?</v>
      </c>
    </row>
    <row r="2052" spans="1:4" x14ac:dyDescent="0.2">
      <c r="A2052" s="5">
        <v>1991</v>
      </c>
      <c r="B2052" s="138">
        <f>'Cap Outlay Deprec 26'!K10</f>
        <v>555010</v>
      </c>
      <c r="C2052" s="2" t="s">
        <v>573</v>
      </c>
      <c r="D2052" s="2" t="str">
        <f t="shared" si="31"/>
        <v>Error?</v>
      </c>
    </row>
    <row r="2053" spans="1:4" x14ac:dyDescent="0.2">
      <c r="A2053" s="5">
        <v>1992</v>
      </c>
      <c r="B2053" s="138">
        <f>'Cap Outlay Deprec 26'!K12</f>
        <v>2067572</v>
      </c>
      <c r="C2053" s="2" t="s">
        <v>573</v>
      </c>
      <c r="D2053" s="2" t="str">
        <f t="shared" si="31"/>
        <v>Error?</v>
      </c>
    </row>
    <row r="2054" spans="1:4" x14ac:dyDescent="0.2">
      <c r="A2054" s="5">
        <v>1993</v>
      </c>
      <c r="B2054" s="138">
        <f>'Cap Outlay Deprec 26'!K13</f>
        <v>205107</v>
      </c>
      <c r="C2054" s="2" t="s">
        <v>573</v>
      </c>
      <c r="D2054" s="2" t="str">
        <f t="shared" si="31"/>
        <v>Error?</v>
      </c>
    </row>
    <row r="2055" spans="1:4" x14ac:dyDescent="0.2">
      <c r="A2055" s="5">
        <v>1994</v>
      </c>
      <c r="B2055" s="138">
        <f>'Cap Outlay Deprec 26'!K16</f>
        <v>9672985</v>
      </c>
      <c r="C2055" s="2" t="s">
        <v>573</v>
      </c>
      <c r="D2055" s="2" t="str">
        <f t="shared" si="31"/>
        <v>Error?</v>
      </c>
    </row>
    <row r="2056" spans="1:4" x14ac:dyDescent="0.2">
      <c r="A2056" s="5">
        <v>1995</v>
      </c>
      <c r="B2056" s="138">
        <f>'Cap Outlay Deprec 26'!L5</f>
        <v>15000</v>
      </c>
      <c r="C2056" s="2" t="s">
        <v>573</v>
      </c>
      <c r="D2056" s="2" t="str">
        <f t="shared" si="31"/>
        <v>Error?</v>
      </c>
    </row>
    <row r="2057" spans="1:4" x14ac:dyDescent="0.2">
      <c r="A2057" s="5">
        <v>1996</v>
      </c>
      <c r="B2057" s="138">
        <f>'Cap Outlay Deprec 26'!L8</f>
        <v>2278383</v>
      </c>
      <c r="C2057" s="2" t="s">
        <v>573</v>
      </c>
      <c r="D2057" s="2" t="str">
        <f t="shared" si="31"/>
        <v>Error?</v>
      </c>
    </row>
    <row r="2058" spans="1:4" x14ac:dyDescent="0.2">
      <c r="A2058" s="5">
        <v>1997</v>
      </c>
      <c r="B2058" s="138">
        <f>'Cap Outlay Deprec 26'!L10</f>
        <v>607686</v>
      </c>
      <c r="C2058" s="2" t="s">
        <v>573</v>
      </c>
      <c r="D2058" s="2" t="str">
        <f t="shared" si="31"/>
        <v>Error?</v>
      </c>
    </row>
    <row r="2059" spans="1:4" x14ac:dyDescent="0.2">
      <c r="A2059" s="5">
        <v>1998</v>
      </c>
      <c r="B2059" s="138">
        <f>'Cap Outlay Deprec 26'!L12</f>
        <v>282507</v>
      </c>
      <c r="C2059" s="2" t="s">
        <v>573</v>
      </c>
      <c r="D2059" s="2" t="str">
        <f t="shared" si="31"/>
        <v>Error?</v>
      </c>
    </row>
    <row r="2060" spans="1:4" x14ac:dyDescent="0.2">
      <c r="A2060" s="5">
        <v>1999</v>
      </c>
      <c r="B2060" s="138">
        <f>'Cap Outlay Deprec 26'!L13</f>
        <v>6922</v>
      </c>
      <c r="C2060" s="2" t="s">
        <v>573</v>
      </c>
      <c r="D2060" s="2" t="str">
        <f t="shared" si="31"/>
        <v>Error?</v>
      </c>
    </row>
    <row r="2061" spans="1:4" x14ac:dyDescent="0.2">
      <c r="A2061" s="5">
        <v>2000</v>
      </c>
      <c r="B2061" s="138">
        <f>'Cap Outlay Deprec 26'!L16</f>
        <v>3190498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1030383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1188032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324713</v>
      </c>
      <c r="D2475" s="2" t="str">
        <f t="shared" si="37"/>
        <v>Error?</v>
      </c>
    </row>
    <row r="2476" spans="1:4" x14ac:dyDescent="0.2">
      <c r="A2476" s="10">
        <v>2415</v>
      </c>
      <c r="D2476" s="2" t="str">
        <f t="shared" si="37"/>
        <v>OK</v>
      </c>
    </row>
    <row r="2477" spans="1:4" x14ac:dyDescent="0.2">
      <c r="A2477" s="5">
        <v>2416</v>
      </c>
      <c r="B2477" s="138">
        <f>'Assets-Liab 5-6'!G38</f>
        <v>579326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14402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3022177</v>
      </c>
      <c r="C2551" s="2" t="s">
        <v>573</v>
      </c>
      <c r="D2551" s="2" t="str">
        <f t="shared" si="38"/>
        <v>Error?</v>
      </c>
    </row>
    <row r="2552" spans="1:4" x14ac:dyDescent="0.2">
      <c r="A2552" s="10">
        <v>2491</v>
      </c>
      <c r="D2552" s="2" t="str">
        <f t="shared" si="38"/>
        <v>OK</v>
      </c>
    </row>
    <row r="2553" spans="1:4" x14ac:dyDescent="0.2">
      <c r="A2553" s="5">
        <v>2492</v>
      </c>
      <c r="B2553" s="138">
        <f>'Acct Summary 7-8'!C6</f>
        <v>5686460</v>
      </c>
      <c r="C2553" s="2" t="s">
        <v>573</v>
      </c>
      <c r="D2553" s="2" t="str">
        <f t="shared" si="38"/>
        <v>Error?</v>
      </c>
    </row>
    <row r="2554" spans="1:4" x14ac:dyDescent="0.2">
      <c r="A2554" s="5">
        <v>2493</v>
      </c>
      <c r="B2554" s="138">
        <f>'Acct Summary 7-8'!C7</f>
        <v>565592</v>
      </c>
      <c r="C2554" s="2" t="s">
        <v>573</v>
      </c>
      <c r="D2554" s="2" t="str">
        <f t="shared" si="38"/>
        <v>Error?</v>
      </c>
    </row>
    <row r="2555" spans="1:4" x14ac:dyDescent="0.2">
      <c r="A2555" s="5">
        <v>2494</v>
      </c>
      <c r="B2555" s="138">
        <f>'Acct Summary 7-8'!C8</f>
        <v>9313538</v>
      </c>
      <c r="C2555" s="2" t="s">
        <v>573</v>
      </c>
      <c r="D2555" s="2" t="str">
        <f t="shared" si="38"/>
        <v>Error?</v>
      </c>
    </row>
    <row r="2556" spans="1:4" x14ac:dyDescent="0.2">
      <c r="A2556" s="5">
        <v>2495</v>
      </c>
      <c r="B2556" s="138">
        <f>'Acct Summary 7-8'!C12</f>
        <v>6046725</v>
      </c>
      <c r="C2556" s="2" t="s">
        <v>573</v>
      </c>
      <c r="D2556" s="2" t="str">
        <f t="shared" si="38"/>
        <v>Error?</v>
      </c>
    </row>
    <row r="2557" spans="1:4" x14ac:dyDescent="0.2">
      <c r="A2557" s="5">
        <v>2496</v>
      </c>
      <c r="B2557" s="138">
        <f>'Acct Summary 7-8'!C13</f>
        <v>1746061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1030383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8823169</v>
      </c>
      <c r="C2561" s="2" t="s">
        <v>573</v>
      </c>
      <c r="D2561" s="2" t="str">
        <f t="shared" si="39"/>
        <v>Error?</v>
      </c>
    </row>
    <row r="2562" spans="1:4" x14ac:dyDescent="0.2">
      <c r="A2562" s="5">
        <v>2501</v>
      </c>
      <c r="B2562" s="138">
        <f>'Acct Summary 7-8'!C20</f>
        <v>490369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699289</v>
      </c>
      <c r="C2564" s="2" t="s">
        <v>573</v>
      </c>
      <c r="D2564" s="2" t="str">
        <f t="shared" si="39"/>
        <v>Error?</v>
      </c>
    </row>
    <row r="2565" spans="1:4" x14ac:dyDescent="0.2">
      <c r="A2565" s="10">
        <v>2504</v>
      </c>
      <c r="D2565" s="2" t="str">
        <f t="shared" si="39"/>
        <v>OK</v>
      </c>
    </row>
    <row r="2566" spans="1:4" x14ac:dyDescent="0.2">
      <c r="A2566" s="5">
        <v>2505</v>
      </c>
      <c r="B2566" s="138">
        <f>'Acct Summary 7-8'!D6</f>
        <v>50000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749289</v>
      </c>
      <c r="C2568" s="2" t="s">
        <v>573</v>
      </c>
      <c r="D2568" s="2" t="str">
        <f t="shared" si="39"/>
        <v>Error?</v>
      </c>
    </row>
    <row r="2569" spans="1:4" x14ac:dyDescent="0.2">
      <c r="A2569" s="5">
        <v>2508</v>
      </c>
      <c r="B2569" s="138">
        <f>'Acct Summary 7-8'!D13</f>
        <v>656971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656971</v>
      </c>
      <c r="C2573" s="2" t="s">
        <v>573</v>
      </c>
      <c r="D2573" s="2" t="str">
        <f t="shared" si="39"/>
        <v>Error?</v>
      </c>
    </row>
    <row r="2574" spans="1:4" x14ac:dyDescent="0.2">
      <c r="A2574" s="5">
        <v>2513</v>
      </c>
      <c r="B2574" s="138">
        <f>'Acct Summary 7-8'!D20</f>
        <v>92318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293864</v>
      </c>
      <c r="C2591" s="2" t="s">
        <v>573</v>
      </c>
      <c r="D2591" s="2" t="str">
        <f t="shared" si="39"/>
        <v>Error?</v>
      </c>
    </row>
    <row r="2592" spans="1:4" x14ac:dyDescent="0.2">
      <c r="A2592" s="10">
        <v>2531</v>
      </c>
      <c r="D2592" s="2" t="str">
        <f t="shared" si="39"/>
        <v>OK</v>
      </c>
    </row>
    <row r="2593" spans="1:4" x14ac:dyDescent="0.2">
      <c r="A2593" s="5">
        <v>2532</v>
      </c>
      <c r="B2593" s="138">
        <f>'Acct Summary 7-8'!F6</f>
        <v>489997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783861</v>
      </c>
      <c r="C2595" s="2" t="s">
        <v>573</v>
      </c>
      <c r="D2595" s="2" t="str">
        <f t="shared" si="39"/>
        <v>Error?</v>
      </c>
    </row>
    <row r="2596" spans="1:4" x14ac:dyDescent="0.2">
      <c r="A2596" s="5">
        <v>2535</v>
      </c>
      <c r="B2596" s="138">
        <f>'Acct Summary 7-8'!F13</f>
        <v>620299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620299</v>
      </c>
      <c r="C2600" s="2" t="s">
        <v>573</v>
      </c>
      <c r="D2600" s="2" t="str">
        <f t="shared" si="39"/>
        <v>Error?</v>
      </c>
    </row>
    <row r="2601" spans="1:4" x14ac:dyDescent="0.2">
      <c r="A2601" s="5">
        <v>2540</v>
      </c>
      <c r="B2601" s="138">
        <f>'Acct Summary 7-8'!F20</f>
        <v>163562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352806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352806</v>
      </c>
      <c r="C2606" s="2" t="s">
        <v>573</v>
      </c>
      <c r="D2606" s="2" t="str">
        <f t="shared" si="39"/>
        <v>Error?</v>
      </c>
    </row>
    <row r="2607" spans="1:4" x14ac:dyDescent="0.2">
      <c r="A2607" s="5">
        <v>2546</v>
      </c>
      <c r="B2607" s="138">
        <f>'Acct Summary 7-8'!G12</f>
        <v>101681</v>
      </c>
      <c r="C2607" s="2" t="s">
        <v>573</v>
      </c>
      <c r="D2607" s="2" t="str">
        <f t="shared" si="39"/>
        <v>Error?</v>
      </c>
    </row>
    <row r="2608" spans="1:4" x14ac:dyDescent="0.2">
      <c r="A2608" s="5">
        <v>2547</v>
      </c>
      <c r="B2608" s="138">
        <f>'Acct Summary 7-8'!G13</f>
        <v>155033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256714</v>
      </c>
      <c r="C2612" s="2" t="s">
        <v>573</v>
      </c>
      <c r="D2612" s="2" t="str">
        <f t="shared" si="39"/>
        <v>Error?</v>
      </c>
    </row>
    <row r="2613" spans="1:4" x14ac:dyDescent="0.2">
      <c r="A2613" s="5">
        <v>2552</v>
      </c>
      <c r="B2613" s="138">
        <f>'Acct Summary 7-8'!G20</f>
        <v>96092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148984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148984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148194</v>
      </c>
      <c r="C2634" s="2" t="s">
        <v>573</v>
      </c>
      <c r="D2634" s="2" t="str">
        <f t="shared" si="40"/>
        <v>Error?</v>
      </c>
    </row>
    <row r="2635" spans="1:4" x14ac:dyDescent="0.2">
      <c r="A2635" s="5">
        <v>2574</v>
      </c>
      <c r="B2635" s="138">
        <f>'Acct Summary 7-8'!E17</f>
        <v>148194</v>
      </c>
      <c r="C2635" s="2" t="s">
        <v>573</v>
      </c>
      <c r="D2635" s="2" t="str">
        <f t="shared" si="40"/>
        <v>Error?</v>
      </c>
    </row>
    <row r="2636" spans="1:4" x14ac:dyDescent="0.2">
      <c r="A2636" s="5">
        <v>2575</v>
      </c>
      <c r="B2636" s="138">
        <f>'Acct Summary 7-8'!E20</f>
        <v>790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645</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647</v>
      </c>
      <c r="C2724" s="2" t="s">
        <v>573</v>
      </c>
      <c r="D2724" s="2" t="str">
        <f t="shared" si="41"/>
        <v>Error?</v>
      </c>
    </row>
    <row r="2725" spans="1:4" x14ac:dyDescent="0.2">
      <c r="A2725" s="5">
        <v>2664</v>
      </c>
      <c r="B2725" s="138">
        <f>'Expenditures 15-22'!D247</f>
        <v>362</v>
      </c>
      <c r="D2725" s="2" t="str">
        <f t="shared" si="41"/>
        <v>Error?</v>
      </c>
    </row>
    <row r="2726" spans="1:4" x14ac:dyDescent="0.2">
      <c r="A2726" s="5">
        <v>2665</v>
      </c>
      <c r="B2726" s="138">
        <f>'Expenditures 15-22'!K247</f>
        <v>362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1030383</v>
      </c>
      <c r="C2789" s="2" t="s">
        <v>573</v>
      </c>
      <c r="D2789" s="2" t="str">
        <f t="shared" si="42"/>
        <v>Error?</v>
      </c>
    </row>
    <row r="2790" spans="1:4" x14ac:dyDescent="0.2">
      <c r="A2790" s="5">
        <v>2729</v>
      </c>
      <c r="B2790" s="138">
        <f>'Expenditures 15-22'!E102</f>
        <v>1030383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2021957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2136073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552138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2136073</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2136073</v>
      </c>
      <c r="C2913" s="2" t="s">
        <v>573</v>
      </c>
      <c r="D2913" s="2" t="str">
        <f t="shared" si="44"/>
        <v>Error?</v>
      </c>
    </row>
    <row r="2914" spans="1:4" x14ac:dyDescent="0.2">
      <c r="A2914" s="5">
        <v>2853</v>
      </c>
      <c r="B2914" s="138">
        <f>'Assets-Liab 5-6'!L33</f>
        <v>552138</v>
      </c>
      <c r="D2914" s="2" t="str">
        <f t="shared" si="44"/>
        <v>Error?</v>
      </c>
    </row>
    <row r="2915" spans="1:4" x14ac:dyDescent="0.2">
      <c r="A2915" s="10">
        <v>2854</v>
      </c>
      <c r="D2915" s="2" t="str">
        <f t="shared" si="44"/>
        <v>OK</v>
      </c>
    </row>
    <row r="2916" spans="1:4" x14ac:dyDescent="0.2">
      <c r="A2916" s="5">
        <v>2855</v>
      </c>
      <c r="B2916" s="138">
        <f>'Assets-Liab 5-6'!L34</f>
        <v>552138</v>
      </c>
      <c r="C2916" s="2" t="s">
        <v>573</v>
      </c>
      <c r="D2916" s="2" t="str">
        <f t="shared" si="44"/>
        <v>Error?</v>
      </c>
    </row>
    <row r="2917" spans="1:4" x14ac:dyDescent="0.2">
      <c r="A2917" s="5">
        <v>2856</v>
      </c>
      <c r="B2917" s="138">
        <f>'Assets-Liab 5-6'!L41</f>
        <v>552138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1030383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1030383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160968</v>
      </c>
      <c r="D3055" s="2" t="str">
        <f t="shared" si="46"/>
        <v>Error?</v>
      </c>
    </row>
    <row r="3056" spans="1:4" x14ac:dyDescent="0.2">
      <c r="A3056" s="5">
        <v>2995</v>
      </c>
      <c r="B3056" s="138">
        <f>'Expenditures 15-22'!D10</f>
        <v>84</v>
      </c>
      <c r="D3056" s="2" t="str">
        <f t="shared" si="46"/>
        <v>Error?</v>
      </c>
    </row>
    <row r="3057" spans="1:4" x14ac:dyDescent="0.2">
      <c r="A3057" s="5">
        <v>2996</v>
      </c>
      <c r="B3057" s="138">
        <f>'Expenditures 15-22'!E10</f>
        <v>31772</v>
      </c>
      <c r="D3057" s="2" t="str">
        <f t="shared" si="46"/>
        <v>Error?</v>
      </c>
    </row>
    <row r="3058" spans="1:4" x14ac:dyDescent="0.2">
      <c r="A3058" s="5">
        <v>2997</v>
      </c>
      <c r="B3058" s="138">
        <f>'Expenditures 15-22'!F10</f>
        <v>8340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7767</v>
      </c>
      <c r="D3060" s="2" t="str">
        <f t="shared" si="46"/>
        <v>Error?</v>
      </c>
    </row>
    <row r="3061" spans="1:4" x14ac:dyDescent="0.2">
      <c r="A3061" s="10">
        <v>3000</v>
      </c>
      <c r="D3061" s="2" t="str">
        <f t="shared" si="46"/>
        <v>OK</v>
      </c>
    </row>
    <row r="3062" spans="1:4" x14ac:dyDescent="0.2">
      <c r="A3062" s="5">
        <v>3001</v>
      </c>
      <c r="B3062" s="138">
        <f>'Expenditures 15-22'!K10</f>
        <v>208931</v>
      </c>
      <c r="C3062" s="2" t="s">
        <v>573</v>
      </c>
      <c r="D3062" s="2" t="str">
        <f t="shared" si="46"/>
        <v>Error?</v>
      </c>
    </row>
    <row r="3063" spans="1:4" x14ac:dyDescent="0.2">
      <c r="A3063" s="10">
        <v>3002</v>
      </c>
      <c r="D3063" s="2" t="str">
        <f t="shared" si="46"/>
        <v>OK</v>
      </c>
    </row>
    <row r="3064" spans="1:4" x14ac:dyDescent="0.2">
      <c r="A3064" s="5">
        <v>3003</v>
      </c>
      <c r="B3064" s="138">
        <f>'Expenditures 15-22'!D219</f>
        <v>27646</v>
      </c>
      <c r="D3064" s="2" t="str">
        <f t="shared" si="46"/>
        <v>Error?</v>
      </c>
    </row>
    <row r="3065" spans="1:4" x14ac:dyDescent="0.2">
      <c r="A3065" s="5">
        <v>3004</v>
      </c>
      <c r="B3065" s="138">
        <f>'Expenditures 15-22'!K219</f>
        <v>27646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44861</v>
      </c>
      <c r="C3225" s="2" t="s">
        <v>573</v>
      </c>
      <c r="D3225" s="2" t="str">
        <f t="shared" si="49"/>
        <v>Error?</v>
      </c>
    </row>
    <row r="3226" spans="1:4" x14ac:dyDescent="0.2">
      <c r="A3226" s="5">
        <v>3165</v>
      </c>
      <c r="B3226" s="138">
        <f>'Acct Summary 7-8'!I8</f>
        <v>44861</v>
      </c>
      <c r="C3226" s="2" t="s">
        <v>573</v>
      </c>
      <c r="D3226" s="2" t="str">
        <f t="shared" si="49"/>
        <v>Error?</v>
      </c>
    </row>
    <row r="3227" spans="1:4" x14ac:dyDescent="0.2">
      <c r="A3227" s="5">
        <v>3166</v>
      </c>
      <c r="B3227" s="138">
        <f>'Acct Summary 7-8'!I20</f>
        <v>44861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490369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92318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163562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96092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44861</v>
      </c>
      <c r="C3320" s="2" t="s">
        <v>573</v>
      </c>
      <c r="D3320" s="2" t="str">
        <f t="shared" si="50"/>
        <v>Error?</v>
      </c>
    </row>
    <row r="3321" spans="1:4" x14ac:dyDescent="0.2">
      <c r="A3321" s="5">
        <v>3260</v>
      </c>
      <c r="B3321" s="138">
        <f>'Acct Summary 7-8'!I79</f>
        <v>2091212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2136073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1718798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1718798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45560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45560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39309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4785825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292133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823</v>
      </c>
      <c r="D3417" s="2" t="str">
        <f t="shared" si="52"/>
        <v>Error?</v>
      </c>
    </row>
    <row r="3418" spans="1:4" x14ac:dyDescent="0.2">
      <c r="A3418" s="10">
        <v>3357</v>
      </c>
      <c r="D3418" s="2" t="str">
        <f t="shared" si="52"/>
        <v>OK</v>
      </c>
    </row>
    <row r="3419" spans="1:4" x14ac:dyDescent="0.2">
      <c r="A3419" s="5">
        <v>3358</v>
      </c>
      <c r="B3419" s="138">
        <f>'Assets-Liab 5-6'!F4</f>
        <v>324566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254945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114116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552138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171265</v>
      </c>
      <c r="C3446" s="2" t="s">
        <v>573</v>
      </c>
      <c r="D3446" s="2" t="str">
        <f t="shared" si="52"/>
        <v>Error?</v>
      </c>
    </row>
    <row r="3447" spans="1:4" x14ac:dyDescent="0.2">
      <c r="A3447" s="5">
        <v>3386</v>
      </c>
      <c r="B3447" s="138">
        <f>'Tax Sched 23'!D16</f>
        <v>171265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171013</v>
      </c>
      <c r="C3449" s="2" t="s">
        <v>573</v>
      </c>
      <c r="D3449" s="2" t="str">
        <f t="shared" si="52"/>
        <v>Error?</v>
      </c>
    </row>
    <row r="3450" spans="1:4" x14ac:dyDescent="0.2">
      <c r="A3450" s="5">
        <v>3389</v>
      </c>
      <c r="B3450" s="138">
        <f>'Tax Sched 23'!E16</f>
        <v>171013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95341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95667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95667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95667</v>
      </c>
      <c r="C3568" s="2" t="s">
        <v>573</v>
      </c>
      <c r="D3568" s="2" t="str">
        <f t="shared" si="54"/>
        <v>Error?</v>
      </c>
    </row>
    <row r="3569" spans="1:4" x14ac:dyDescent="0.2">
      <c r="A3569" s="5">
        <v>3508</v>
      </c>
      <c r="B3569" s="138">
        <f>'Acct Summary 7-8'!K4</f>
        <v>43666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43666</v>
      </c>
      <c r="C3571" s="2" t="s">
        <v>573</v>
      </c>
      <c r="D3571" s="2" t="str">
        <f t="shared" si="54"/>
        <v>Error?</v>
      </c>
    </row>
    <row r="3572" spans="1:4" x14ac:dyDescent="0.2">
      <c r="A3572" s="5">
        <v>3511</v>
      </c>
      <c r="B3572" s="138">
        <f>'Acct Summary 7-8'!K13</f>
        <v>84405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84405</v>
      </c>
      <c r="C3575" s="2" t="s">
        <v>573</v>
      </c>
      <c r="D3575" s="2" t="str">
        <f t="shared" si="54"/>
        <v>Error?</v>
      </c>
    </row>
    <row r="3576" spans="1:4" x14ac:dyDescent="0.2">
      <c r="A3576" s="5">
        <v>3515</v>
      </c>
      <c r="B3576" s="138">
        <f>'Acct Summary 7-8'!K20</f>
        <v>-40739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-40739</v>
      </c>
      <c r="C3588" s="2" t="s">
        <v>573</v>
      </c>
      <c r="D3588" s="2" t="str">
        <f t="shared" si="55"/>
        <v>Error?</v>
      </c>
    </row>
    <row r="3589" spans="1:4" x14ac:dyDescent="0.2">
      <c r="A3589" s="5">
        <v>3528</v>
      </c>
      <c r="B3589" s="138">
        <f>'Acct Summary 7-8'!K79</f>
        <v>136406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95667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84405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84405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84405</v>
      </c>
      <c r="C3649" s="2" t="s">
        <v>573</v>
      </c>
      <c r="D3649" s="2" t="str">
        <f t="shared" si="56"/>
        <v>Error?</v>
      </c>
    </row>
    <row r="3650" spans="1:4" x14ac:dyDescent="0.2">
      <c r="A3650" s="5">
        <v>3589</v>
      </c>
      <c r="B3650" s="138">
        <f>'Expenditures 15-22'!G367</f>
        <v>84405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84405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84405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84405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84405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-40739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43515</v>
      </c>
      <c r="C3725" s="2" t="s">
        <v>573</v>
      </c>
      <c r="D3725" s="2" t="str">
        <f t="shared" si="57"/>
        <v>Error?</v>
      </c>
    </row>
    <row r="3726" spans="1:4" x14ac:dyDescent="0.2">
      <c r="A3726" s="5">
        <v>3665</v>
      </c>
      <c r="B3726" s="138">
        <f>'Tax Sched 23'!D13</f>
        <v>43515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45477</v>
      </c>
      <c r="C3728" s="2" t="s">
        <v>573</v>
      </c>
      <c r="D3728" s="2" t="str">
        <f t="shared" si="57"/>
        <v>Error?</v>
      </c>
    </row>
    <row r="3729" spans="1:4" x14ac:dyDescent="0.2">
      <c r="A3729" s="5">
        <v>3668</v>
      </c>
      <c r="B3729" s="138">
        <f>'Tax Sched 23'!E13</f>
        <v>45477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2434112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11747650</v>
      </c>
      <c r="C4122" s="2" t="s">
        <v>573</v>
      </c>
      <c r="D4122" s="2" t="str">
        <f t="shared" si="63"/>
        <v>Error?</v>
      </c>
    </row>
    <row r="4123" spans="1:4" x14ac:dyDescent="0.2">
      <c r="A4123" s="5">
        <v>4062</v>
      </c>
      <c r="B4123" s="138">
        <f>'Acct Summary 7-8'!D10</f>
        <v>749289</v>
      </c>
      <c r="C4123" s="2" t="s">
        <v>573</v>
      </c>
      <c r="D4123" s="2" t="str">
        <f t="shared" si="63"/>
        <v>Error?</v>
      </c>
    </row>
    <row r="4124" spans="1:4" x14ac:dyDescent="0.2">
      <c r="A4124" s="5">
        <v>4063</v>
      </c>
      <c r="B4124" s="138">
        <f>'Acct Summary 7-8'!E10</f>
        <v>148984</v>
      </c>
      <c r="C4124" s="2" t="s">
        <v>573</v>
      </c>
      <c r="D4124" s="2" t="str">
        <f t="shared" si="63"/>
        <v>Error?</v>
      </c>
    </row>
    <row r="4125" spans="1:4" x14ac:dyDescent="0.2">
      <c r="A4125" s="5">
        <v>4064</v>
      </c>
      <c r="B4125" s="138">
        <f>'Acct Summary 7-8'!F10</f>
        <v>783861</v>
      </c>
      <c r="C4125" s="2" t="s">
        <v>573</v>
      </c>
      <c r="D4125" s="2" t="str">
        <f t="shared" si="63"/>
        <v>Error?</v>
      </c>
    </row>
    <row r="4126" spans="1:4" x14ac:dyDescent="0.2">
      <c r="A4126" s="5">
        <v>4065</v>
      </c>
      <c r="B4126" s="138">
        <f>'Acct Summary 7-8'!G10</f>
        <v>352806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44861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43666</v>
      </c>
      <c r="C4130" s="2" t="s">
        <v>573</v>
      </c>
      <c r="D4130" s="2" t="str">
        <f t="shared" si="63"/>
        <v>Error?</v>
      </c>
    </row>
    <row r="4131" spans="1:4" x14ac:dyDescent="0.2">
      <c r="A4131" s="5">
        <v>4070</v>
      </c>
      <c r="B4131" s="138">
        <f>'Acct Summary 7-8'!C18</f>
        <v>2434112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11257281</v>
      </c>
      <c r="C4136" s="2" t="s">
        <v>573</v>
      </c>
      <c r="D4136" s="2" t="str">
        <f t="shared" si="63"/>
        <v>Error?</v>
      </c>
    </row>
    <row r="4137" spans="1:4" x14ac:dyDescent="0.2">
      <c r="A4137" s="5">
        <v>4076</v>
      </c>
      <c r="B4137" s="138">
        <f>'Acct Summary 7-8'!D19</f>
        <v>656971</v>
      </c>
      <c r="C4137" s="2" t="s">
        <v>573</v>
      </c>
      <c r="D4137" s="2" t="str">
        <f t="shared" si="63"/>
        <v>Error?</v>
      </c>
    </row>
    <row r="4138" spans="1:4" x14ac:dyDescent="0.2">
      <c r="A4138" s="5">
        <v>4077</v>
      </c>
      <c r="B4138" s="138">
        <f>'Acct Summary 7-8'!E19</f>
        <v>148194</v>
      </c>
      <c r="C4138" s="2" t="s">
        <v>573</v>
      </c>
      <c r="D4138" s="2" t="str">
        <f t="shared" si="63"/>
        <v>Error?</v>
      </c>
    </row>
    <row r="4139" spans="1:4" x14ac:dyDescent="0.2">
      <c r="A4139" s="5">
        <v>4078</v>
      </c>
      <c r="B4139" s="138">
        <f>'Acct Summary 7-8'!F19</f>
        <v>620299</v>
      </c>
      <c r="C4139" s="2" t="s">
        <v>573</v>
      </c>
      <c r="D4139" s="2" t="str">
        <f t="shared" si="63"/>
        <v>Error?</v>
      </c>
    </row>
    <row r="4140" spans="1:4" x14ac:dyDescent="0.2">
      <c r="A4140" s="5">
        <v>4079</v>
      </c>
      <c r="B4140" s="138">
        <f>'Acct Summary 7-8'!G19</f>
        <v>256714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84405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1630000</v>
      </c>
      <c r="C4171" s="2" t="s">
        <v>573</v>
      </c>
      <c r="D4171" s="2" t="str">
        <f t="shared" si="64"/>
        <v>Error?</v>
      </c>
    </row>
    <row r="4172" spans="1:4" x14ac:dyDescent="0.2">
      <c r="A4172" s="5">
        <v>4111</v>
      </c>
      <c r="B4172" s="138">
        <f>'Short-Term Long-Term Debt 24'!J49</f>
        <v>1615599</v>
      </c>
      <c r="C4172" s="2" t="s">
        <v>573</v>
      </c>
      <c r="D4172" s="2" t="str">
        <f t="shared" si="64"/>
        <v>Error?</v>
      </c>
    </row>
    <row r="4173" spans="1:4" x14ac:dyDescent="0.2">
      <c r="A4173" s="5">
        <v>4112</v>
      </c>
      <c r="B4173" s="138">
        <f>'Short-Term Long-Term Debt 24'!H49</f>
        <v>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2750</v>
      </c>
      <c r="C4265" s="2" t="s">
        <v>573</v>
      </c>
      <c r="D4265" s="2" t="str">
        <f t="shared" si="65"/>
        <v>Error?</v>
      </c>
      <c r="E4265" s="128"/>
    </row>
    <row r="4266" spans="1:5" x14ac:dyDescent="0.2">
      <c r="A4266" s="12">
        <v>4205</v>
      </c>
      <c r="B4266" s="138">
        <f>('FP Info 3'!F10)*100000</f>
        <v>622</v>
      </c>
      <c r="C4266" s="2" t="s">
        <v>573</v>
      </c>
      <c r="D4266" s="2" t="str">
        <f t="shared" si="65"/>
        <v>Error?</v>
      </c>
      <c r="E4266" s="128"/>
    </row>
    <row r="4267" spans="1:5" x14ac:dyDescent="0.2">
      <c r="A4267" s="12">
        <v>4206</v>
      </c>
      <c r="B4267" s="138">
        <f>('FP Info 3'!H10)*100000</f>
        <v>199</v>
      </c>
      <c r="C4267" s="2" t="s">
        <v>573</v>
      </c>
      <c r="D4267" s="2" t="str">
        <f t="shared" si="65"/>
        <v>Error?</v>
      </c>
      <c r="E4267" s="128"/>
    </row>
    <row r="4268" spans="1:5" x14ac:dyDescent="0.2">
      <c r="A4268" s="12">
        <v>4207</v>
      </c>
      <c r="B4268" s="138">
        <f>('FP Info 3'!J10)*100000</f>
        <v>3571</v>
      </c>
      <c r="C4268" s="2" t="s">
        <v>573</v>
      </c>
      <c r="D4268" s="2" t="str">
        <f t="shared" si="65"/>
        <v>Error?</v>
      </c>
    </row>
    <row r="4269" spans="1:5" x14ac:dyDescent="0.2">
      <c r="A4269" s="12">
        <v>4208</v>
      </c>
      <c r="B4269" s="138">
        <f>'FP Info 3'!J16</f>
        <v>10716483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24901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10745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24361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3603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2159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91392074</v>
      </c>
      <c r="D4995" s="2" t="str">
        <f t="shared" si="77"/>
        <v>Error?</v>
      </c>
    </row>
    <row r="4996" spans="1:4" x14ac:dyDescent="0.2">
      <c r="A4996" s="12">
        <v>4935</v>
      </c>
      <c r="B4996" s="138">
        <f>'FP Info 3'!H31</f>
        <v>12612106.212000001</v>
      </c>
      <c r="D4996" s="2" t="str">
        <f t="shared" si="77"/>
        <v>Error?</v>
      </c>
    </row>
    <row r="4997" spans="1:4" x14ac:dyDescent="0.2">
      <c r="A4997" s="12">
        <v>4936</v>
      </c>
      <c r="B4997" s="138">
        <f>'FP Info 3'!H37</f>
        <v>1630000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2393338</v>
      </c>
      <c r="D5061" s="2" t="str">
        <f t="shared" si="78"/>
        <v>Error?</v>
      </c>
    </row>
    <row r="5062" spans="1:4" x14ac:dyDescent="0.2">
      <c r="A5062" s="10">
        <v>5001</v>
      </c>
      <c r="D5062" s="2" t="str">
        <f t="shared" si="78"/>
        <v>OK</v>
      </c>
    </row>
    <row r="5063" spans="1:4" x14ac:dyDescent="0.2">
      <c r="A5063" s="5">
        <v>5002</v>
      </c>
      <c r="B5063" s="138">
        <f>'Revenues 9-14'!C7</f>
        <v>34813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2428151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45200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45200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106634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106634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35</v>
      </c>
      <c r="D5093" s="2" t="str">
        <f t="shared" si="78"/>
        <v>Error?</v>
      </c>
    </row>
    <row r="5094" spans="1:4" x14ac:dyDescent="0.2">
      <c r="A5094" s="5">
        <v>5033</v>
      </c>
      <c r="B5094" s="138">
        <f>'Revenues 9-14'!C73</f>
        <v>5056</v>
      </c>
      <c r="D5094" s="2" t="str">
        <f t="shared" si="78"/>
        <v>Error?</v>
      </c>
    </row>
    <row r="5095" spans="1:4" x14ac:dyDescent="0.2">
      <c r="A5095" s="5">
        <v>5034</v>
      </c>
      <c r="B5095" s="138">
        <f>'Revenues 9-14'!C74</f>
        <v>9332</v>
      </c>
      <c r="D5095" s="2" t="str">
        <f t="shared" si="78"/>
        <v>Error?</v>
      </c>
    </row>
    <row r="5096" spans="1:4" x14ac:dyDescent="0.2">
      <c r="A5096" s="5">
        <v>5035</v>
      </c>
      <c r="B5096" s="138">
        <f>'Revenues 9-14'!C75</f>
        <v>120225</v>
      </c>
      <c r="C5096" s="2" t="s">
        <v>573</v>
      </c>
      <c r="D5096" s="2" t="str">
        <f t="shared" si="78"/>
        <v>Error?</v>
      </c>
    </row>
    <row r="5097" spans="1:4" x14ac:dyDescent="0.2">
      <c r="A5097" s="5">
        <v>5036</v>
      </c>
      <c r="B5097" s="138">
        <f>'Revenues 9-14'!C77</f>
        <v>33363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29528</v>
      </c>
      <c r="D5101" s="2" t="str">
        <f t="shared" si="78"/>
        <v>Error?</v>
      </c>
    </row>
    <row r="5102" spans="1:4" x14ac:dyDescent="0.2">
      <c r="A5102" s="5">
        <v>5041</v>
      </c>
      <c r="B5102" s="138">
        <f>'Revenues 9-14'!C82</f>
        <v>65046</v>
      </c>
      <c r="C5102" s="2" t="s">
        <v>573</v>
      </c>
      <c r="D5102" s="2" t="str">
        <f t="shared" si="78"/>
        <v>Error?</v>
      </c>
    </row>
    <row r="5103" spans="1:4" x14ac:dyDescent="0.2">
      <c r="A5103" s="5">
        <v>5042</v>
      </c>
      <c r="B5103" s="138">
        <f>'Revenues 9-14'!C84</f>
        <v>18411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18411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64000</v>
      </c>
      <c r="D5114" s="2" t="str">
        <f t="shared" si="78"/>
        <v>Error?</v>
      </c>
    </row>
    <row r="5115" spans="1:4" x14ac:dyDescent="0.2">
      <c r="A5115" s="5">
        <v>5054</v>
      </c>
      <c r="B5115" s="138">
        <f>'Revenues 9-14'!C98</f>
        <v>94395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72417</v>
      </c>
      <c r="D5119" s="2" t="str">
        <f t="shared" ref="D5119:D5182" si="79">IF(ISBLANK(B5119),"OK",IF(A5119-B5119=0,"OK","Error?"))</f>
        <v>Error?</v>
      </c>
    </row>
    <row r="5120" spans="1:4" x14ac:dyDescent="0.2">
      <c r="A5120" s="5">
        <v>5059</v>
      </c>
      <c r="B5120" s="138">
        <f>'Revenues 9-14'!C108</f>
        <v>238510</v>
      </c>
      <c r="C5120" s="2" t="s">
        <v>573</v>
      </c>
      <c r="D5120" s="2" t="str">
        <f t="shared" si="79"/>
        <v>Error?</v>
      </c>
    </row>
    <row r="5121" spans="1:4" x14ac:dyDescent="0.2">
      <c r="A5121" s="5">
        <v>5060</v>
      </c>
      <c r="B5121" s="138">
        <f>'Revenues 9-14'!C109</f>
        <v>3022177</v>
      </c>
      <c r="C5121" s="2" t="s">
        <v>573</v>
      </c>
      <c r="D5121" s="2" t="str">
        <f t="shared" si="79"/>
        <v>Error?</v>
      </c>
    </row>
    <row r="5122" spans="1:4" x14ac:dyDescent="0.2">
      <c r="A5122" s="5">
        <v>5061</v>
      </c>
      <c r="B5122" s="138">
        <f>'Revenues 9-14'!C111</f>
        <v>39309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39309</v>
      </c>
      <c r="C5125" s="2" t="s">
        <v>573</v>
      </c>
      <c r="D5125" s="2" t="str">
        <f t="shared" si="79"/>
        <v>Error?</v>
      </c>
    </row>
    <row r="5126" spans="1:4" x14ac:dyDescent="0.2">
      <c r="A5126" s="5">
        <v>5065</v>
      </c>
      <c r="B5126" s="138">
        <f>'Revenues 9-14'!C117</f>
        <v>3912928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3912928</v>
      </c>
      <c r="C5132" s="2" t="s">
        <v>573</v>
      </c>
      <c r="D5132" s="2" t="str">
        <f t="shared" si="79"/>
        <v>Error?</v>
      </c>
    </row>
    <row r="5133" spans="1:4" x14ac:dyDescent="0.2">
      <c r="A5133" s="5">
        <v>5072</v>
      </c>
      <c r="B5133" s="138">
        <f>'Revenues 9-14'!C125</f>
        <v>17651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1348863</v>
      </c>
      <c r="D5137" s="2" t="str">
        <f t="shared" si="79"/>
        <v>Error?</v>
      </c>
    </row>
    <row r="5138" spans="1:4" x14ac:dyDescent="0.2">
      <c r="A5138" s="10">
        <v>5077</v>
      </c>
      <c r="D5138" s="2" t="str">
        <f t="shared" si="79"/>
        <v>OK</v>
      </c>
    </row>
    <row r="5139" spans="1:4" x14ac:dyDescent="0.2">
      <c r="A5139" s="5">
        <v>5078</v>
      </c>
      <c r="B5139" s="138">
        <f>'Revenues 9-14'!C129</f>
        <v>304456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1670970</v>
      </c>
      <c r="C5147" s="2" t="s">
        <v>573</v>
      </c>
      <c r="D5147" s="2" t="str">
        <f t="shared" si="79"/>
        <v>Error?</v>
      </c>
    </row>
    <row r="5148" spans="1:4" x14ac:dyDescent="0.2">
      <c r="A5148" s="5">
        <v>5087</v>
      </c>
      <c r="B5148" s="138">
        <f>'Revenues 9-14'!C134</f>
        <v>19659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8973</v>
      </c>
      <c r="D5152" s="2" t="str">
        <f t="shared" si="79"/>
        <v>Error?</v>
      </c>
    </row>
    <row r="5153" spans="1:4" x14ac:dyDescent="0.2">
      <c r="A5153" s="5">
        <v>5092</v>
      </c>
      <c r="B5153" s="138">
        <f>'Revenues 9-14'!C136</f>
        <v>18372</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47004</v>
      </c>
      <c r="C5161" s="2" t="s">
        <v>573</v>
      </c>
      <c r="D5161" s="2" t="str">
        <f t="shared" si="79"/>
        <v>Error?</v>
      </c>
    </row>
    <row r="5162" spans="1:4" x14ac:dyDescent="0.2">
      <c r="A5162" s="10">
        <v>5101</v>
      </c>
      <c r="D5162" s="2" t="str">
        <f t="shared" si="79"/>
        <v>OK</v>
      </c>
    </row>
    <row r="5163" spans="1:4" x14ac:dyDescent="0.2">
      <c r="A5163" s="5">
        <v>5102</v>
      </c>
      <c r="B5163" s="138">
        <f>'Revenues 9-14'!C143</f>
        <v>4988</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4988</v>
      </c>
      <c r="C5165" s="2" t="s">
        <v>573</v>
      </c>
      <c r="D5165" s="2" t="str">
        <f t="shared" si="79"/>
        <v>Error?</v>
      </c>
    </row>
    <row r="5166" spans="1:4" x14ac:dyDescent="0.2">
      <c r="A5166" s="10">
        <v>5105</v>
      </c>
      <c r="D5166" s="2" t="str">
        <f t="shared" si="79"/>
        <v>OK</v>
      </c>
    </row>
    <row r="5167" spans="1:4" x14ac:dyDescent="0.2">
      <c r="A5167" s="5">
        <v>5106</v>
      </c>
      <c r="B5167" s="138">
        <f>'Revenues 9-14'!C146</f>
        <v>4556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14661</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27750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1773532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5686460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209551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44462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254013</v>
      </c>
      <c r="C5246" s="2" t="s">
        <v>573</v>
      </c>
      <c r="D5246" s="2" t="str">
        <f t="shared" si="80"/>
        <v>Error?</v>
      </c>
    </row>
    <row r="5247" spans="1:4" x14ac:dyDescent="0.2">
      <c r="A5247" s="5">
        <v>5186</v>
      </c>
      <c r="B5247" s="138">
        <f>'Revenues 9-14'!C200</f>
        <v>219369</v>
      </c>
      <c r="D5247" s="2" t="str">
        <f t="shared" ref="D5247:D5310" si="81">IF(ISBLANK(B5247),"OK",IF(A5247-B5247=0,"OK","Error?"))</f>
        <v>Error?</v>
      </c>
    </row>
    <row r="5248" spans="1:4" x14ac:dyDescent="0.2">
      <c r="A5248" s="5">
        <v>5187</v>
      </c>
      <c r="B5248" s="138">
        <f>'Revenues 9-14'!C201</f>
        <v>26860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271130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565592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565592</v>
      </c>
      <c r="C5326" s="2" t="s">
        <v>573</v>
      </c>
      <c r="D5326" s="2" t="str">
        <f t="shared" si="82"/>
        <v>Error?</v>
      </c>
    </row>
    <row r="5327" spans="1:5" x14ac:dyDescent="0.2">
      <c r="A5327" s="5">
        <v>5266</v>
      </c>
      <c r="B5327" s="138">
        <f>'Revenues 9-14'!C268</f>
        <v>9313538</v>
      </c>
      <c r="C5327" s="2" t="s">
        <v>573</v>
      </c>
      <c r="D5327" s="2" t="str">
        <f t="shared" si="82"/>
        <v>Error?</v>
      </c>
    </row>
    <row r="5328" spans="1:5" x14ac:dyDescent="0.2">
      <c r="A5328" s="5">
        <v>5267</v>
      </c>
      <c r="B5328" s="138">
        <f>'Revenues 9-14'!D5</f>
        <v>543940</v>
      </c>
      <c r="D5328" s="2" t="str">
        <f t="shared" si="82"/>
        <v>Error?</v>
      </c>
    </row>
    <row r="5329" spans="1:4" x14ac:dyDescent="0.2">
      <c r="A5329" s="10">
        <v>5268</v>
      </c>
      <c r="D5329" s="2" t="str">
        <f t="shared" si="82"/>
        <v>OK</v>
      </c>
    </row>
    <row r="5330" spans="1:4" x14ac:dyDescent="0.2">
      <c r="A5330" s="5">
        <v>5269</v>
      </c>
      <c r="B5330" s="138">
        <f>'Revenues 9-14'!D6</f>
        <v>43515</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587455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54200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54200</v>
      </c>
      <c r="C5339" s="2" t="s">
        <v>573</v>
      </c>
      <c r="D5339" s="2" t="str">
        <f t="shared" si="82"/>
        <v>Error?</v>
      </c>
    </row>
    <row r="5340" spans="1:4" x14ac:dyDescent="0.2">
      <c r="A5340" s="5">
        <v>5279</v>
      </c>
      <c r="B5340" s="138">
        <f>'Revenues 9-14'!D65</f>
        <v>2024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42610</v>
      </c>
      <c r="D5354" s="2" t="str">
        <f t="shared" si="82"/>
        <v>Error?</v>
      </c>
    </row>
    <row r="5355" spans="1:4" x14ac:dyDescent="0.2">
      <c r="A5355" s="5">
        <v>5294</v>
      </c>
      <c r="B5355" s="138">
        <f>'Revenues 9-14'!D108</f>
        <v>55610</v>
      </c>
      <c r="C5355" s="2" t="s">
        <v>573</v>
      </c>
      <c r="D5355" s="2" t="str">
        <f t="shared" si="82"/>
        <v>Error?</v>
      </c>
    </row>
    <row r="5356" spans="1:4" x14ac:dyDescent="0.2">
      <c r="A5356" s="5">
        <v>5295</v>
      </c>
      <c r="B5356" s="138">
        <f>'Revenues 9-14'!D109</f>
        <v>699289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749289</v>
      </c>
      <c r="C5508" s="2" t="s">
        <v>573</v>
      </c>
      <c r="D5508" s="2" t="str">
        <f t="shared" si="85"/>
        <v>Error?</v>
      </c>
    </row>
    <row r="5509" spans="1:4" x14ac:dyDescent="0.2">
      <c r="A5509" s="5">
        <v>5448</v>
      </c>
      <c r="B5509" s="138">
        <f>'Revenues 9-14'!E5</f>
        <v>148887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148887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148984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148984</v>
      </c>
      <c r="C5552" s="2" t="s">
        <v>573</v>
      </c>
      <c r="D5552" s="2" t="str">
        <f t="shared" si="85"/>
        <v>Error?</v>
      </c>
    </row>
    <row r="5553" spans="1:4" x14ac:dyDescent="0.2">
      <c r="A5553" s="5">
        <v>5492</v>
      </c>
      <c r="B5553" s="138">
        <f>'Revenues 9-14'!F5</f>
        <v>174062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174062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104200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104200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15204</v>
      </c>
      <c r="D5586" s="2" t="str">
        <f t="shared" si="86"/>
        <v>Error?</v>
      </c>
    </row>
    <row r="5587" spans="1:4" x14ac:dyDescent="0.2">
      <c r="A5587" s="5">
        <v>5526</v>
      </c>
      <c r="B5587" s="138">
        <f>'Revenues 9-14'!F108</f>
        <v>15204</v>
      </c>
      <c r="C5587" s="2" t="s">
        <v>573</v>
      </c>
      <c r="D5587" s="2" t="str">
        <f t="shared" si="86"/>
        <v>Error?</v>
      </c>
    </row>
    <row r="5588" spans="1:4" x14ac:dyDescent="0.2">
      <c r="A5588" s="5">
        <v>5527</v>
      </c>
      <c r="B5588" s="138">
        <f>'Revenues 9-14'!F109</f>
        <v>293864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255118</v>
      </c>
      <c r="D5615" s="2" t="str">
        <f t="shared" si="86"/>
        <v>Error?</v>
      </c>
    </row>
    <row r="5616" spans="1:4" x14ac:dyDescent="0.2">
      <c r="A5616" s="10">
        <v>5555</v>
      </c>
      <c r="D5616" s="2" t="str">
        <f t="shared" si="86"/>
        <v>OK</v>
      </c>
    </row>
    <row r="5617" spans="1:5" x14ac:dyDescent="0.2">
      <c r="A5617" s="5">
        <v>5556</v>
      </c>
      <c r="B5617" s="138">
        <f>'Revenues 9-14'!F153</f>
        <v>84879</v>
      </c>
      <c r="D5617" s="2" t="str">
        <f t="shared" si="86"/>
        <v>Error?</v>
      </c>
    </row>
    <row r="5618" spans="1:5" x14ac:dyDescent="0.2">
      <c r="A5618" s="5">
        <v>5557</v>
      </c>
      <c r="B5618" s="138">
        <f>'Revenues 9-14'!F155</f>
        <v>339997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339997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489997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783861</v>
      </c>
      <c r="C5720" s="2" t="s">
        <v>573</v>
      </c>
      <c r="D5720" s="2" t="str">
        <f t="shared" si="88"/>
        <v>Error?</v>
      </c>
    </row>
    <row r="5721" spans="1:4" x14ac:dyDescent="0.2">
      <c r="A5721" s="5">
        <v>5660</v>
      </c>
      <c r="B5721" s="138">
        <f>'Revenues 9-14'!G5</f>
        <v>180272</v>
      </c>
      <c r="D5721" s="2" t="str">
        <f t="shared" si="88"/>
        <v>Error?</v>
      </c>
    </row>
    <row r="5722" spans="1:4" x14ac:dyDescent="0.2">
      <c r="A5722" s="5">
        <v>5661</v>
      </c>
      <c r="B5722" s="138">
        <f>'Revenues 9-14'!G7</f>
        <v>0</v>
      </c>
      <c r="D5722" s="2" t="str">
        <f t="shared" si="88"/>
        <v>Error?</v>
      </c>
    </row>
    <row r="5723" spans="1:4" x14ac:dyDescent="0.2">
      <c r="A5723" s="5">
        <v>5662</v>
      </c>
      <c r="B5723" s="138">
        <f>'Revenues 9-14'!G8</f>
        <v>171265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351537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1269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352806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43516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43516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1345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44861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43515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43515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43666</v>
      </c>
      <c r="C6023" s="2" t="s">
        <v>573</v>
      </c>
      <c r="D6023" s="2" t="str">
        <f t="shared" si="93"/>
        <v>Error?</v>
      </c>
    </row>
    <row r="6024" spans="1:5" x14ac:dyDescent="0.2">
      <c r="A6024" s="5">
        <v>5963</v>
      </c>
      <c r="B6024" s="138">
        <f>'Revenues 9-14'!G109</f>
        <v>352806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44861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43666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105802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720.05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577884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577884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577884</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577884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531859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531859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531859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548172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548172</v>
      </c>
      <c r="D6229" s="2" t="str">
        <f t="shared" si="96"/>
        <v>Error?</v>
      </c>
      <c r="E6229" s="2" t="s">
        <v>190</v>
      </c>
    </row>
    <row r="6230" spans="1:5" x14ac:dyDescent="0.2">
      <c r="A6230">
        <v>6169</v>
      </c>
      <c r="B6230" s="138">
        <f>'Acct Summary 7-8'!J20</f>
        <v>-16313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-16313</v>
      </c>
      <c r="D6263" s="2" t="str">
        <f t="shared" si="96"/>
        <v>Error?</v>
      </c>
      <c r="E6263" s="2" t="s">
        <v>190</v>
      </c>
    </row>
    <row r="6264" spans="1:5" x14ac:dyDescent="0.2">
      <c r="A6264">
        <v>6203</v>
      </c>
      <c r="B6264" s="138">
        <f>'Acct Summary 7-8'!J79</f>
        <v>594197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577884</v>
      </c>
      <c r="D6266" s="2" t="str">
        <f t="shared" si="96"/>
        <v>Error?</v>
      </c>
      <c r="E6266" s="2" t="s">
        <v>190</v>
      </c>
    </row>
    <row r="6267" spans="1:5" x14ac:dyDescent="0.2">
      <c r="A6267">
        <v>6206</v>
      </c>
      <c r="B6267" s="138">
        <f>'Acct Summary 7-8'!C82</f>
        <v>490369</v>
      </c>
      <c r="D6267" s="2" t="str">
        <f t="shared" si="96"/>
        <v>Error?</v>
      </c>
      <c r="E6267" s="2" t="s">
        <v>190</v>
      </c>
    </row>
    <row r="6268" spans="1:5" x14ac:dyDescent="0.2">
      <c r="A6268">
        <v>6207</v>
      </c>
      <c r="B6268" s="138">
        <f>'Acct Summary 7-8'!D82</f>
        <v>92318</v>
      </c>
      <c r="D6268" s="2" t="str">
        <f t="shared" si="96"/>
        <v>Error?</v>
      </c>
      <c r="E6268" s="2" t="s">
        <v>190</v>
      </c>
    </row>
    <row r="6269" spans="1:5" x14ac:dyDescent="0.2">
      <c r="A6269">
        <v>6208</v>
      </c>
      <c r="B6269" s="138">
        <f>'Acct Summary 7-8'!E82</f>
        <v>790</v>
      </c>
      <c r="D6269" s="2" t="str">
        <f t="shared" si="96"/>
        <v>Error?</v>
      </c>
      <c r="E6269" s="2" t="s">
        <v>190</v>
      </c>
    </row>
    <row r="6270" spans="1:5" x14ac:dyDescent="0.2">
      <c r="A6270">
        <v>6209</v>
      </c>
      <c r="B6270" s="138">
        <f>'Acct Summary 7-8'!F82</f>
        <v>163562</v>
      </c>
      <c r="D6270" s="2" t="str">
        <f t="shared" si="96"/>
        <v>Error?</v>
      </c>
      <c r="E6270" s="2" t="s">
        <v>190</v>
      </c>
    </row>
    <row r="6271" spans="1:5" x14ac:dyDescent="0.2">
      <c r="A6271">
        <v>6210</v>
      </c>
      <c r="B6271" s="138">
        <f>'Acct Summary 7-8'!G82</f>
        <v>96092</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44861</v>
      </c>
      <c r="D6273" s="2" t="str">
        <f t="shared" si="97"/>
        <v>Error?</v>
      </c>
      <c r="E6273" s="2" t="s">
        <v>190</v>
      </c>
    </row>
    <row r="6274" spans="1:5" x14ac:dyDescent="0.2">
      <c r="A6274">
        <v>6213</v>
      </c>
      <c r="B6274" s="138">
        <f>'Acct Summary 7-8'!J82</f>
        <v>-16313</v>
      </c>
      <c r="D6274" s="2" t="str">
        <f t="shared" si="97"/>
        <v>Error?</v>
      </c>
      <c r="E6274" s="2" t="s">
        <v>190</v>
      </c>
    </row>
    <row r="6275" spans="1:5" x14ac:dyDescent="0.2">
      <c r="A6275">
        <v>6214</v>
      </c>
      <c r="B6275" s="138">
        <f>'Acct Summary 7-8'!K82</f>
        <v>-40739</v>
      </c>
      <c r="D6275" s="2" t="str">
        <f t="shared" si="97"/>
        <v>Error?</v>
      </c>
      <c r="E6275" s="2" t="s">
        <v>190</v>
      </c>
    </row>
    <row r="6276" spans="1:5" x14ac:dyDescent="0.2">
      <c r="A6276">
        <v>6215</v>
      </c>
      <c r="B6276" s="138">
        <f>'Acct Summary 7-8'!C83</f>
        <v>6.9382037773437197E-2</v>
      </c>
      <c r="D6276" s="2" t="str">
        <f t="shared" si="97"/>
        <v>Error?</v>
      </c>
      <c r="E6276" s="2" t="s">
        <v>190</v>
      </c>
    </row>
    <row r="6277" spans="1:5" x14ac:dyDescent="0.2">
      <c r="A6277">
        <v>6216</v>
      </c>
      <c r="B6277" s="138">
        <f>'Acct Summary 7-8'!D83</f>
        <v>7.7706661100037711E-2</v>
      </c>
      <c r="D6277" s="2" t="str">
        <f t="shared" si="97"/>
        <v>Error?</v>
      </c>
      <c r="E6277" s="2" t="s">
        <v>190</v>
      </c>
    </row>
    <row r="6278" spans="1:5" x14ac:dyDescent="0.2">
      <c r="A6278">
        <v>6217</v>
      </c>
      <c r="B6278" s="138">
        <f>'Acct Summary 7-8'!E83</f>
        <v>5.4853492570476323E-2</v>
      </c>
      <c r="D6278" s="2" t="str">
        <f t="shared" si="97"/>
        <v>Error?</v>
      </c>
      <c r="E6278" s="2" t="s">
        <v>190</v>
      </c>
    </row>
    <row r="6279" spans="1:5" x14ac:dyDescent="0.2">
      <c r="A6279">
        <v>6218</v>
      </c>
      <c r="B6279" s="138">
        <f>'Acct Summary 7-8'!F83</f>
        <v>0.50371250920043242</v>
      </c>
      <c r="D6279" s="2" t="str">
        <f t="shared" si="97"/>
        <v>Error?</v>
      </c>
      <c r="E6279" s="2" t="s">
        <v>190</v>
      </c>
    </row>
    <row r="6280" spans="1:5" x14ac:dyDescent="0.2">
      <c r="A6280">
        <v>6219</v>
      </c>
      <c r="B6280" s="138">
        <f>'Acct Summary 7-8'!G83</f>
        <v>0.16586861283629598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2.100162307187067E-2</v>
      </c>
      <c r="D6282" s="2" t="str">
        <f t="shared" si="97"/>
        <v>Error?</v>
      </c>
      <c r="E6282" s="2" t="s">
        <v>190</v>
      </c>
    </row>
    <row r="6283" spans="1:5" x14ac:dyDescent="0.2">
      <c r="A6283">
        <v>6222</v>
      </c>
      <c r="B6283" s="138">
        <f>'Acct Summary 7-8'!J83</f>
        <v>-2.8228848696278147E-2</v>
      </c>
      <c r="D6283" s="2" t="str">
        <f t="shared" si="97"/>
        <v>Error?</v>
      </c>
      <c r="E6283" s="2" t="s">
        <v>190</v>
      </c>
    </row>
    <row r="6284" spans="1:5" x14ac:dyDescent="0.2">
      <c r="A6284">
        <v>6223</v>
      </c>
      <c r="B6284" s="138">
        <f>'Acct Summary 7-8'!K83</f>
        <v>-0.42584172180584734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530805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530805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1054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1054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7698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531859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85159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101994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66319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548172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531859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4850</v>
      </c>
      <c r="D7073" s="2" t="str">
        <f t="shared" si="109"/>
        <v>Error?</v>
      </c>
    </row>
    <row r="7074" spans="1:4" x14ac:dyDescent="0.2">
      <c r="A7074">
        <v>7013</v>
      </c>
      <c r="B7074" s="138">
        <f>'Expenditures 15-22'!K216</f>
        <v>4850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638</v>
      </c>
      <c r="D7079" s="2" t="str">
        <f t="shared" si="109"/>
        <v>Error?</v>
      </c>
    </row>
    <row r="7080" spans="1:4" x14ac:dyDescent="0.2">
      <c r="A7080">
        <v>7019</v>
      </c>
      <c r="B7080" s="138">
        <f>'Expenditures 15-22'!K226</f>
        <v>638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248824</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248171</v>
      </c>
      <c r="D7120" s="2" t="str">
        <f t="shared" si="110"/>
        <v>Error?</v>
      </c>
    </row>
    <row r="7121" spans="1:4" x14ac:dyDescent="0.2">
      <c r="A7121">
        <v>7060</v>
      </c>
      <c r="B7121" s="138">
        <f>'Expenditures 15-22'!F319</f>
        <v>51177</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548172</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248824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248171</v>
      </c>
      <c r="D7201" s="2" t="str">
        <f t="shared" si="111"/>
        <v>Error?</v>
      </c>
    </row>
    <row r="7202" spans="1:4" x14ac:dyDescent="0.2">
      <c r="A7202">
        <v>7141</v>
      </c>
      <c r="B7202" s="138">
        <f>'Expenditures 15-22'!F330</f>
        <v>51177</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548172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248824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248171</v>
      </c>
      <c r="D7218" s="2" t="str">
        <f t="shared" si="111"/>
        <v>Error?</v>
      </c>
    </row>
    <row r="7219" spans="1:4" x14ac:dyDescent="0.2">
      <c r="A7219">
        <v>7158</v>
      </c>
      <c r="B7219" s="138">
        <f>'Expenditures 15-22'!F342</f>
        <v>51177</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548172</v>
      </c>
      <c r="D7224" s="2" t="str">
        <f t="shared" si="111"/>
        <v>Error?</v>
      </c>
    </row>
    <row r="7225" spans="1:4" x14ac:dyDescent="0.2">
      <c r="A7225">
        <v>7164</v>
      </c>
      <c r="B7225" s="138">
        <f>'Expenditures 15-22'!K343</f>
        <v>-16313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16269</v>
      </c>
      <c r="D7246" s="2" t="str">
        <f t="shared" si="112"/>
        <v>Error?</v>
      </c>
    </row>
    <row r="7247" spans="1:4" x14ac:dyDescent="0.2">
      <c r="A7247">
        <f t="shared" si="113"/>
        <v>7186</v>
      </c>
      <c r="B7247" s="138">
        <f>'Expenditures 15-22'!E7</f>
        <v>135</v>
      </c>
      <c r="D7247" s="2" t="str">
        <f t="shared" si="112"/>
        <v>Error?</v>
      </c>
    </row>
    <row r="7248" spans="1:4" x14ac:dyDescent="0.2">
      <c r="A7248">
        <f t="shared" si="113"/>
        <v>7187</v>
      </c>
      <c r="B7248" s="138">
        <f>'Expenditures 15-22'!F7</f>
        <v>431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43206</v>
      </c>
      <c r="D7263" s="2" t="str">
        <f t="shared" si="112"/>
        <v>Error?</v>
      </c>
    </row>
    <row r="7264" spans="1:4" x14ac:dyDescent="0.2">
      <c r="A7264">
        <f t="shared" si="113"/>
        <v>7203</v>
      </c>
      <c r="B7264" s="138">
        <f>'Expenditures 15-22'!D17</f>
        <v>5224</v>
      </c>
      <c r="D7264" s="2" t="str">
        <f t="shared" si="112"/>
        <v>Error?</v>
      </c>
    </row>
    <row r="7265" spans="1:5" x14ac:dyDescent="0.2">
      <c r="A7265">
        <f t="shared" si="113"/>
        <v>7204</v>
      </c>
      <c r="B7265" s="138">
        <f>'Expenditures 15-22'!E17</f>
        <v>415</v>
      </c>
      <c r="D7265" s="2" t="str">
        <f t="shared" si="112"/>
        <v>Error?</v>
      </c>
    </row>
    <row r="7266" spans="1:5" x14ac:dyDescent="0.2">
      <c r="A7266">
        <f t="shared" si="113"/>
        <v>7205</v>
      </c>
      <c r="B7266" s="138">
        <f>'Expenditures 15-22'!F17</f>
        <v>1314</v>
      </c>
      <c r="D7266" s="2" t="str">
        <f t="shared" si="112"/>
        <v>Error?</v>
      </c>
    </row>
    <row r="7267" spans="1:5" x14ac:dyDescent="0.2">
      <c r="A7267">
        <f t="shared" si="113"/>
        <v>7206</v>
      </c>
      <c r="B7267" s="138">
        <f>'Expenditures 15-22'!G17</f>
        <v>16160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328168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34813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Iroquois West CUSD 10</v>
      </c>
      <c r="B7" s="2386"/>
      <c r="C7" s="2386"/>
      <c r="D7" s="2423"/>
      <c r="E7" s="2424">
        <f>COVER!A13</f>
        <v>32038010026</v>
      </c>
      <c r="F7" s="2425"/>
      <c r="G7" s="2392" t="str">
        <f>COVER!T23</f>
        <v>066-003660</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Burke, Montague &amp; Associates LLC</v>
      </c>
      <c r="H9" s="2399"/>
      <c r="I9" s="2399"/>
      <c r="J9" s="2399"/>
      <c r="K9" s="2399"/>
      <c r="L9" s="2400"/>
    </row>
    <row r="10" spans="1:29" ht="13.5" customHeight="1" x14ac:dyDescent="0.2">
      <c r="A10" s="2382" t="str">
        <f>COVER!A38</f>
        <v>Dr. Robert Bagby</v>
      </c>
      <c r="B10" s="2383"/>
      <c r="C10" s="2383"/>
      <c r="D10" s="2383"/>
      <c r="E10" s="2383"/>
      <c r="F10" s="2384"/>
      <c r="G10" s="2398" t="str">
        <f>COVER!T17</f>
        <v>253 W. Broadway</v>
      </c>
      <c r="H10" s="2411"/>
      <c r="I10" s="2411"/>
      <c r="J10" s="2411"/>
      <c r="K10" s="2411"/>
      <c r="L10" s="2412"/>
    </row>
    <row r="11" spans="1:29" ht="13.5" customHeight="1" x14ac:dyDescent="0.2">
      <c r="A11" s="1184" t="s">
        <v>1519</v>
      </c>
      <c r="B11" s="1185"/>
      <c r="C11" s="1186"/>
      <c r="D11" s="1191"/>
      <c r="E11" s="1186"/>
      <c r="F11" s="1190"/>
      <c r="G11" s="2398" t="str">
        <f>COVER!T19</f>
        <v>Bradley</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f>COVER!T25</f>
        <v>0</v>
      </c>
      <c r="J13" s="2420"/>
      <c r="K13" s="2420"/>
      <c r="L13" s="2421"/>
    </row>
    <row r="14" spans="1:29" ht="13.5" customHeight="1" x14ac:dyDescent="0.2">
      <c r="A14" s="2398" t="str">
        <f>COVER!A19</f>
        <v>529 E Second St.</v>
      </c>
      <c r="B14" s="2411"/>
      <c r="C14" s="2411"/>
      <c r="D14" s="2411"/>
      <c r="E14" s="2411"/>
      <c r="F14" s="2412"/>
      <c r="G14" s="1195" t="s">
        <v>1185</v>
      </c>
      <c r="H14" s="1193"/>
      <c r="I14" s="1193"/>
      <c r="J14" s="1193"/>
      <c r="K14" s="1193"/>
      <c r="L14" s="1194"/>
    </row>
    <row r="15" spans="1:29" ht="13.5" customHeight="1" x14ac:dyDescent="0.2">
      <c r="A15" s="2398" t="str">
        <f>COVER!A21</f>
        <v>Gilman</v>
      </c>
      <c r="B15" s="2411"/>
      <c r="C15" s="2411"/>
      <c r="D15" s="2411"/>
      <c r="E15" s="2411"/>
      <c r="F15" s="2412"/>
      <c r="G15" s="2408" t="str">
        <f>COVER!T15</f>
        <v>Ray Raymond</v>
      </c>
      <c r="H15" s="2409"/>
      <c r="I15" s="2409"/>
      <c r="J15" s="2409"/>
      <c r="K15" s="2409"/>
      <c r="L15" s="2410"/>
    </row>
    <row r="16" spans="1:29" ht="12.2" customHeight="1" x14ac:dyDescent="0.2">
      <c r="A16" s="2388">
        <f>COVER!A25</f>
        <v>60938</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815-933-5641</v>
      </c>
      <c r="H18" s="2386"/>
      <c r="I18" s="2386"/>
      <c r="J18" s="2386"/>
      <c r="K18" s="2385" t="str">
        <f>COVER!X21</f>
        <v>815-939-0016</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Iroquois West CUSD 10</v>
      </c>
      <c r="B1" s="2422"/>
      <c r="C1" s="2422"/>
      <c r="D1" s="2422"/>
    </row>
    <row r="2" spans="1:11" s="1212" customFormat="1" ht="12.75" x14ac:dyDescent="0.2">
      <c r="A2" s="2427">
        <f>'Single Audit Cover'!E7</f>
        <v>32038010026</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Iroquois West CUSD 10</v>
      </c>
      <c r="B1" s="2430"/>
      <c r="C1" s="2430"/>
      <c r="D1" s="2430"/>
      <c r="E1" s="2430"/>
    </row>
    <row r="2" spans="1:5" x14ac:dyDescent="0.2">
      <c r="A2" s="2431">
        <f>'Single Audit Cover'!E7</f>
        <v>32038010026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565592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-3184</v>
      </c>
    </row>
    <row r="19" spans="1:4" ht="13.5" thickBot="1" x14ac:dyDescent="0.25">
      <c r="A19" s="1262" t="s">
        <v>1235</v>
      </c>
      <c r="D19" s="1263">
        <f>SUM(D10:D17)</f>
        <v>562408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562408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562408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Iroquois West CUSD 10</v>
      </c>
      <c r="C1" s="2434"/>
      <c r="D1" s="2434"/>
      <c r="E1" s="2434"/>
      <c r="F1" s="2434"/>
      <c r="G1" s="2434"/>
      <c r="H1" s="2434"/>
      <c r="I1" s="2434"/>
      <c r="J1" s="2434"/>
      <c r="K1" s="2434"/>
      <c r="L1" s="2434"/>
      <c r="M1" s="2434"/>
    </row>
    <row r="2" spans="2:14" ht="15" x14ac:dyDescent="0.2">
      <c r="B2" s="2435">
        <f>'Single Audit Cover'!E7</f>
        <v>32038010026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Iroquois West CUSD 10</v>
      </c>
      <c r="B1" s="2439"/>
      <c r="C1" s="2439"/>
      <c r="D1" s="2439"/>
      <c r="E1" s="2439"/>
      <c r="F1" s="2439"/>
    </row>
    <row r="2" spans="1:7" ht="13.5" customHeight="1" x14ac:dyDescent="0.2">
      <c r="A2" s="2435">
        <f>'Single Audit Cover'!E7</f>
        <v>32038010026</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Iroquois West CUSD 10</v>
      </c>
      <c r="C1" s="2455"/>
      <c r="D1" s="2455"/>
      <c r="E1" s="2455"/>
      <c r="F1" s="2455"/>
      <c r="G1" s="2455"/>
      <c r="H1" s="2455"/>
      <c r="I1" s="2455"/>
      <c r="J1" s="1406"/>
    </row>
    <row r="2" spans="2:10" s="317" customFormat="1" ht="12.75" customHeight="1" x14ac:dyDescent="0.2">
      <c r="B2" s="2456">
        <f>'Single Audit Cover'!E7</f>
        <v>32038010026</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Iroquois West CUSD 10</v>
      </c>
      <c r="C1" s="2454"/>
      <c r="D1" s="2454"/>
      <c r="E1" s="2454"/>
      <c r="F1" s="2454"/>
      <c r="G1" s="2454"/>
      <c r="H1" s="2454"/>
      <c r="I1" s="2454"/>
      <c r="J1" s="2454"/>
      <c r="K1" s="2454"/>
      <c r="L1" s="1371"/>
      <c r="M1" s="1371"/>
    </row>
    <row r="2" spans="1:13" ht="12" customHeight="1" x14ac:dyDescent="0.2">
      <c r="B2" s="2456">
        <f>'Single Audit Cover'!E7</f>
        <v>32038010026</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Iroquois West CUSD 10</v>
      </c>
      <c r="C1" s="2481"/>
      <c r="D1" s="2481"/>
      <c r="E1" s="2481"/>
      <c r="F1" s="2481"/>
      <c r="G1" s="2481"/>
      <c r="H1" s="2481"/>
      <c r="I1" s="2481"/>
      <c r="J1" s="2481"/>
      <c r="K1" s="2481"/>
      <c r="L1" s="1449"/>
    </row>
    <row r="2" spans="1:12" ht="12.75" customHeight="1" x14ac:dyDescent="0.2">
      <c r="B2" s="2482">
        <f>'Single Audit Cover'!E7</f>
        <v>32038010026</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Iroquois West CUSD 10</v>
      </c>
      <c r="C1" s="2454"/>
      <c r="D1" s="2454"/>
      <c r="E1" s="1469"/>
    </row>
    <row r="2" spans="2:5" s="1279" customFormat="1" ht="12.75" customHeight="1" x14ac:dyDescent="0.2">
      <c r="B2" s="2456">
        <f>'Single Audit Cover'!E7</f>
        <v>32038010026</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91392074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2.75E-2</v>
      </c>
      <c r="E10" s="356" t="s">
        <v>1005</v>
      </c>
      <c r="F10" s="355">
        <v>6.2199999999999998E-3</v>
      </c>
      <c r="G10" s="356" t="s">
        <v>1005</v>
      </c>
      <c r="H10" s="355">
        <v>1.99E-3</v>
      </c>
      <c r="I10" s="356" t="s">
        <v>1006</v>
      </c>
      <c r="J10" s="1732">
        <f>ROUND(D10+F10+H10,5)</f>
        <v>3.5709999999999999E-2</v>
      </c>
      <c r="K10" s="222"/>
      <c r="L10" s="355">
        <v>4.9800000000000001E-3</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10891549</v>
      </c>
      <c r="E16" s="356"/>
      <c r="F16" s="1733">
        <f>SUM('Acct Summary 7-8'!C17,'Acct Summary 7-8'!D17,'Acct Summary 7-8'!F17)</f>
        <v>10100439</v>
      </c>
      <c r="G16" s="356"/>
      <c r="H16" s="1733">
        <f>SUM(D16-F16)</f>
        <v>791110</v>
      </c>
      <c r="I16" s="222"/>
      <c r="J16" s="1733">
        <f>SUM('Acct Summary 7-8'!C81,'Acct Summary 7-8'!D81,'Acct Summary 7-8'!F81,'Acct Summary 7-8'!I81)</f>
        <v>10716483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12612106.212000001</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1630000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25" sqref="O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Iroquois West CUSD 10</v>
      </c>
      <c r="E7" s="391"/>
      <c r="G7" s="252"/>
      <c r="H7" s="387"/>
      <c r="I7" s="387"/>
      <c r="J7" s="387"/>
      <c r="K7" s="387"/>
      <c r="L7" s="329"/>
      <c r="M7" s="329"/>
      <c r="N7" s="329"/>
      <c r="O7" s="329"/>
      <c r="P7" s="329"/>
    </row>
    <row r="8" spans="1:18" ht="12.75" x14ac:dyDescent="0.2">
      <c r="A8" s="329"/>
      <c r="B8" s="329"/>
      <c r="C8" s="389" t="s">
        <v>1125</v>
      </c>
      <c r="D8" s="392">
        <f>COVER!A13</f>
        <v>32038010026</v>
      </c>
      <c r="E8" s="393"/>
      <c r="G8" s="329"/>
      <c r="H8" s="329"/>
      <c r="I8" s="329"/>
      <c r="J8" s="329"/>
      <c r="K8" s="329"/>
      <c r="L8" s="329"/>
      <c r="M8" s="329"/>
      <c r="N8" s="329"/>
      <c r="O8" s="329"/>
      <c r="P8" s="329"/>
    </row>
    <row r="9" spans="1:18" ht="12.75" x14ac:dyDescent="0.2">
      <c r="A9" s="329"/>
      <c r="B9" s="329"/>
      <c r="C9" s="389" t="s">
        <v>713</v>
      </c>
      <c r="D9" s="394" t="str">
        <f>COVER!A15</f>
        <v>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10716483</v>
      </c>
      <c r="I12" s="404"/>
      <c r="J12" s="404"/>
      <c r="K12" s="405">
        <f>TRUNC((H12/H13*100000),5)/100000</f>
        <v>0.98392643689999992</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10891549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10100439</v>
      </c>
      <c r="I17" s="404"/>
      <c r="J17" s="416"/>
      <c r="K17" s="405">
        <f>TRUNC((H17/H18*100000),5)/100000</f>
        <v>0.92736478529999988</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10891549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10716483</v>
      </c>
      <c r="I24" s="422"/>
      <c r="J24" s="422"/>
      <c r="K24" s="423">
        <f>TRUNC(((H24/H25*100000)/100000),2)</f>
        <v>381.95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28056.775000000001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2774069.3181599998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1630000</v>
      </c>
      <c r="I32" s="420"/>
      <c r="J32" s="420"/>
      <c r="K32" s="423">
        <f>TRUNC(100-((((H32/H33*100))*100)/100),2)</f>
        <v>87.07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12612106.212000001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1" topLeftCell="C1" activePane="topRight" state="frozen"/>
      <selection pane="topRight" activeCell="E39" sqref="E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4785825</v>
      </c>
      <c r="D4" s="466">
        <v>292133</v>
      </c>
      <c r="E4" s="466">
        <v>823</v>
      </c>
      <c r="F4" s="466">
        <v>324566</v>
      </c>
      <c r="G4" s="466">
        <v>254945</v>
      </c>
      <c r="H4" s="466"/>
      <c r="I4" s="466">
        <v>114116</v>
      </c>
      <c r="J4" s="467"/>
      <c r="K4" s="466">
        <v>326</v>
      </c>
      <c r="L4" s="466">
        <v>552138</v>
      </c>
      <c r="M4" s="468"/>
      <c r="N4" s="469"/>
    </row>
    <row r="5" spans="1:14" x14ac:dyDescent="0.2">
      <c r="A5" s="463" t="s">
        <v>992</v>
      </c>
      <c r="B5" s="470">
        <v>120</v>
      </c>
      <c r="C5" s="465">
        <v>2281840</v>
      </c>
      <c r="D5" s="466">
        <v>895899</v>
      </c>
      <c r="E5" s="466">
        <v>13579</v>
      </c>
      <c r="F5" s="466">
        <v>147</v>
      </c>
      <c r="G5" s="466">
        <v>324381</v>
      </c>
      <c r="H5" s="466"/>
      <c r="I5" s="466">
        <v>2021957</v>
      </c>
      <c r="J5" s="467">
        <v>577884</v>
      </c>
      <c r="K5" s="471">
        <v>95341</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7067665</v>
      </c>
      <c r="D13" s="1737">
        <f t="shared" ref="D13:L13" si="0">SUM(D4:D12)</f>
        <v>1188032</v>
      </c>
      <c r="E13" s="1737">
        <f t="shared" si="0"/>
        <v>14402</v>
      </c>
      <c r="F13" s="1737">
        <f t="shared" si="0"/>
        <v>324713</v>
      </c>
      <c r="G13" s="1737">
        <f t="shared" si="0"/>
        <v>579326</v>
      </c>
      <c r="H13" s="1737">
        <f t="shared" si="0"/>
        <v>0</v>
      </c>
      <c r="I13" s="1737">
        <f t="shared" si="0"/>
        <v>2136073</v>
      </c>
      <c r="J13" s="1737">
        <f t="shared" si="0"/>
        <v>577884</v>
      </c>
      <c r="K13" s="1737">
        <f t="shared" si="0"/>
        <v>95667</v>
      </c>
      <c r="L13" s="1737">
        <f t="shared" si="0"/>
        <v>552138</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15000</v>
      </c>
      <c r="N16" s="484"/>
    </row>
    <row r="17" spans="1:14" s="485" customFormat="1" ht="12.75" customHeight="1" x14ac:dyDescent="0.2">
      <c r="A17" s="482" t="s">
        <v>1403</v>
      </c>
      <c r="B17" s="483">
        <v>230</v>
      </c>
      <c r="C17" s="477"/>
      <c r="D17" s="477"/>
      <c r="E17" s="477"/>
      <c r="F17" s="477"/>
      <c r="G17" s="477"/>
      <c r="H17" s="477"/>
      <c r="I17" s="477"/>
      <c r="J17" s="477"/>
      <c r="K17" s="477"/>
      <c r="L17" s="477"/>
      <c r="M17" s="467">
        <v>2882306</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307068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14401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1615599</v>
      </c>
    </row>
    <row r="23" spans="1:14" ht="13.5" customHeight="1" thickBot="1" x14ac:dyDescent="0.25">
      <c r="A23" s="1736" t="s">
        <v>643</v>
      </c>
      <c r="B23" s="1741"/>
      <c r="C23" s="468"/>
      <c r="D23" s="468"/>
      <c r="E23" s="468"/>
      <c r="F23" s="468"/>
      <c r="G23" s="468"/>
      <c r="H23" s="468"/>
      <c r="I23" s="468"/>
      <c r="J23" s="468"/>
      <c r="K23" s="468"/>
      <c r="L23" s="468"/>
      <c r="M23" s="1688">
        <f>SUM(M15:M22)</f>
        <v>3204374</v>
      </c>
      <c r="N23" s="1688">
        <f>SUM(N21:N22)</f>
        <v>1630000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552138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552138</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1630000</v>
      </c>
    </row>
    <row r="37" spans="1:14" ht="13.5" thickBot="1" x14ac:dyDescent="0.25">
      <c r="A37" s="1736" t="s">
        <v>653</v>
      </c>
      <c r="B37" s="1741"/>
      <c r="C37" s="477"/>
      <c r="D37" s="477"/>
      <c r="E37" s="477"/>
      <c r="F37" s="477"/>
      <c r="G37" s="477"/>
      <c r="H37" s="477"/>
      <c r="I37" s="477"/>
      <c r="J37" s="477"/>
      <c r="K37" s="477"/>
      <c r="L37" s="480"/>
      <c r="M37" s="468"/>
      <c r="N37" s="1688">
        <f>SUM(N36:N36)</f>
        <v>1630000</v>
      </c>
    </row>
    <row r="38" spans="1:14" s="329" customFormat="1" ht="13.5" customHeight="1" thickTop="1" x14ac:dyDescent="0.2">
      <c r="A38" s="496" t="s">
        <v>420</v>
      </c>
      <c r="B38" s="483">
        <v>714</v>
      </c>
      <c r="C38" s="466"/>
      <c r="D38" s="466">
        <v>1188032</v>
      </c>
      <c r="E38" s="466">
        <v>14402</v>
      </c>
      <c r="F38" s="466">
        <v>324713</v>
      </c>
      <c r="G38" s="466">
        <v>579326</v>
      </c>
      <c r="H38" s="466"/>
      <c r="I38" s="466">
        <v>2136073</v>
      </c>
      <c r="J38" s="467">
        <v>577884</v>
      </c>
      <c r="K38" s="466">
        <v>95667</v>
      </c>
      <c r="L38" s="481"/>
      <c r="M38" s="497"/>
      <c r="N38" s="497"/>
    </row>
    <row r="39" spans="1:14" s="329" customFormat="1" ht="13.5" customHeight="1" x14ac:dyDescent="0.2">
      <c r="A39" s="496" t="s">
        <v>342</v>
      </c>
      <c r="B39" s="483">
        <v>730</v>
      </c>
      <c r="C39" s="466">
        <v>7067665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3204374</v>
      </c>
      <c r="N40" s="497"/>
    </row>
    <row r="41" spans="1:14" ht="13.5" customHeight="1" thickBot="1" x14ac:dyDescent="0.25">
      <c r="A41" s="1736" t="s">
        <v>655</v>
      </c>
      <c r="B41" s="1706"/>
      <c r="C41" s="1688">
        <f>(SUM(C34,C37,C38,C39))</f>
        <v>7067665</v>
      </c>
      <c r="D41" s="1688">
        <f t="shared" ref="D41:L41" si="2">SUM(D34,D37,D38:D39)</f>
        <v>1188032</v>
      </c>
      <c r="E41" s="1688">
        <f t="shared" si="2"/>
        <v>14402</v>
      </c>
      <c r="F41" s="1688">
        <f t="shared" si="2"/>
        <v>324713</v>
      </c>
      <c r="G41" s="1688">
        <f t="shared" si="2"/>
        <v>579326</v>
      </c>
      <c r="H41" s="1688">
        <f t="shared" si="2"/>
        <v>0</v>
      </c>
      <c r="I41" s="1688">
        <f t="shared" si="2"/>
        <v>2136073</v>
      </c>
      <c r="J41" s="1688">
        <f t="shared" si="2"/>
        <v>577884</v>
      </c>
      <c r="K41" s="1688">
        <f t="shared" si="2"/>
        <v>95667</v>
      </c>
      <c r="L41" s="1688">
        <f t="shared" si="2"/>
        <v>552138</v>
      </c>
      <c r="M41" s="1688">
        <f>SUM(M40)</f>
        <v>3204374</v>
      </c>
      <c r="N41" s="1688">
        <f>SUM(N37)</f>
        <v>1630000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3022177</v>
      </c>
      <c r="D4" s="1742">
        <f>'Revenues 9-14'!D109</f>
        <v>699289</v>
      </c>
      <c r="E4" s="1742">
        <f>'Revenues 9-14'!E109</f>
        <v>148984</v>
      </c>
      <c r="F4" s="1742">
        <f>'Revenues 9-14'!F109</f>
        <v>293864</v>
      </c>
      <c r="G4" s="1742">
        <f>'Revenues 9-14'!G109</f>
        <v>352806</v>
      </c>
      <c r="H4" s="1742">
        <f>'Revenues 9-14'!H109</f>
        <v>0</v>
      </c>
      <c r="I4" s="1742">
        <f>'Revenues 9-14'!I109</f>
        <v>44861</v>
      </c>
      <c r="J4" s="1742">
        <f>'Revenues 9-14'!J109</f>
        <v>531859</v>
      </c>
      <c r="K4" s="1742">
        <f>'Revenues 9-14'!K109</f>
        <v>43666</v>
      </c>
      <c r="L4" s="347"/>
    </row>
    <row r="5" spans="1:13" ht="15.75" customHeight="1" x14ac:dyDescent="0.2">
      <c r="A5" s="1576" t="s">
        <v>1500</v>
      </c>
      <c r="B5" s="1577">
        <v>2000</v>
      </c>
      <c r="C5" s="1743">
        <f>'Revenues 9-14'!C114</f>
        <v>39309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5686460</v>
      </c>
      <c r="D6" s="1743">
        <f>'Revenues 9-14'!D170</f>
        <v>50000</v>
      </c>
      <c r="E6" s="1743">
        <f>'Revenues 9-14'!E170</f>
        <v>0</v>
      </c>
      <c r="F6" s="1743">
        <f>'Revenues 9-14'!F170</f>
        <v>489997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565592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9313538</v>
      </c>
      <c r="D8" s="1688">
        <f t="shared" ref="D8:K8" si="0">SUM(D4:D7)</f>
        <v>749289</v>
      </c>
      <c r="E8" s="1688">
        <f t="shared" si="0"/>
        <v>148984</v>
      </c>
      <c r="F8" s="1688">
        <f t="shared" si="0"/>
        <v>783861</v>
      </c>
      <c r="G8" s="1688">
        <f t="shared" si="0"/>
        <v>352806</v>
      </c>
      <c r="H8" s="1688">
        <f t="shared" si="0"/>
        <v>0</v>
      </c>
      <c r="I8" s="1688">
        <f t="shared" si="0"/>
        <v>44861</v>
      </c>
      <c r="J8" s="1688">
        <f t="shared" si="0"/>
        <v>531859</v>
      </c>
      <c r="K8" s="1688">
        <f t="shared" si="0"/>
        <v>43666</v>
      </c>
      <c r="L8" s="347"/>
    </row>
    <row r="9" spans="1:13" ht="15.75" thickTop="1" x14ac:dyDescent="0.2">
      <c r="A9" s="514" t="s">
        <v>1653</v>
      </c>
      <c r="B9" s="515">
        <v>3998</v>
      </c>
      <c r="C9" s="481">
        <v>2434112</v>
      </c>
      <c r="D9" s="516"/>
      <c r="E9" s="481"/>
      <c r="F9" s="481"/>
      <c r="G9" s="517"/>
      <c r="H9" s="481"/>
      <c r="I9" s="509" t="s">
        <v>1169</v>
      </c>
      <c r="J9" s="478"/>
      <c r="K9" s="481"/>
      <c r="L9" s="347"/>
    </row>
    <row r="10" spans="1:13" s="519" customFormat="1" ht="13.5" thickBot="1" x14ac:dyDescent="0.25">
      <c r="A10" s="1736" t="s">
        <v>1173</v>
      </c>
      <c r="B10" s="1709"/>
      <c r="C10" s="1688">
        <f>SUM(C8:C9)</f>
        <v>11747650</v>
      </c>
      <c r="D10" s="1688">
        <f t="shared" ref="D10:K10" si="1">SUM(D8:D9)</f>
        <v>749289</v>
      </c>
      <c r="E10" s="1688">
        <f t="shared" si="1"/>
        <v>148984</v>
      </c>
      <c r="F10" s="1688">
        <f t="shared" si="1"/>
        <v>783861</v>
      </c>
      <c r="G10" s="1688">
        <f t="shared" si="1"/>
        <v>352806</v>
      </c>
      <c r="H10" s="1688">
        <f t="shared" si="1"/>
        <v>0</v>
      </c>
      <c r="I10" s="1688">
        <f t="shared" si="1"/>
        <v>44861</v>
      </c>
      <c r="J10" s="1688">
        <f t="shared" si="1"/>
        <v>531859</v>
      </c>
      <c r="K10" s="1688">
        <f t="shared" si="1"/>
        <v>43666</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6046725</v>
      </c>
      <c r="D12" s="520" t="s">
        <v>1169</v>
      </c>
      <c r="E12" s="468" t="s">
        <v>1169</v>
      </c>
      <c r="F12" s="468" t="s">
        <v>1169</v>
      </c>
      <c r="G12" s="1742">
        <f>'Expenditures 15-22'!K229</f>
        <v>101681</v>
      </c>
      <c r="H12" s="521"/>
      <c r="I12" s="468" t="s">
        <v>1169</v>
      </c>
      <c r="J12" s="468" t="s">
        <v>1169</v>
      </c>
      <c r="K12" s="521" t="s">
        <v>1169</v>
      </c>
      <c r="L12" s="347"/>
    </row>
    <row r="13" spans="1:13" ht="15.75" customHeight="1" x14ac:dyDescent="0.2">
      <c r="A13" s="1576" t="s">
        <v>457</v>
      </c>
      <c r="B13" s="1578">
        <v>2000</v>
      </c>
      <c r="C13" s="1743">
        <f>'Expenditures 15-22'!K74</f>
        <v>1746061</v>
      </c>
      <c r="D13" s="1743">
        <f>'Expenditures 15-22'!K129</f>
        <v>656971</v>
      </c>
      <c r="E13" s="469" t="s">
        <v>1169</v>
      </c>
      <c r="F13" s="1743">
        <f>'Expenditures 15-22'!K184</f>
        <v>620299</v>
      </c>
      <c r="G13" s="1743">
        <f>'Expenditures 15-22'!K279</f>
        <v>155033</v>
      </c>
      <c r="H13" s="1743">
        <f>'Expenditures 15-22'!K303</f>
        <v>0</v>
      </c>
      <c r="I13" s="468" t="s">
        <v>1169</v>
      </c>
      <c r="J13" s="1743">
        <f>'Expenditures 15-22'!K330</f>
        <v>548172</v>
      </c>
      <c r="K13" s="1747">
        <f>'Expenditures 15-22'!K352</f>
        <v>84405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1030383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148194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8823169</v>
      </c>
      <c r="D17" s="1688">
        <f t="shared" si="2"/>
        <v>656971</v>
      </c>
      <c r="E17" s="1688">
        <f t="shared" si="2"/>
        <v>148194</v>
      </c>
      <c r="F17" s="1688">
        <f t="shared" si="2"/>
        <v>620299</v>
      </c>
      <c r="G17" s="1688">
        <f t="shared" si="2"/>
        <v>256714</v>
      </c>
      <c r="H17" s="1688">
        <f t="shared" si="2"/>
        <v>0</v>
      </c>
      <c r="I17" s="468"/>
      <c r="J17" s="1688">
        <f>SUM(J12:J16)</f>
        <v>548172</v>
      </c>
      <c r="K17" s="1688">
        <f>SUM(K12:K16)</f>
        <v>84405</v>
      </c>
      <c r="L17" s="347"/>
    </row>
    <row r="18" spans="1:12" ht="15" customHeight="1" thickTop="1" x14ac:dyDescent="0.2">
      <c r="A18" s="1744" t="s">
        <v>1654</v>
      </c>
      <c r="B18" s="1745">
        <v>4180</v>
      </c>
      <c r="C18" s="1742">
        <f t="shared" ref="C18:H18" si="3">C9</f>
        <v>2434112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11257281</v>
      </c>
      <c r="D19" s="1688">
        <f t="shared" si="4"/>
        <v>656971</v>
      </c>
      <c r="E19" s="1688">
        <f t="shared" si="4"/>
        <v>148194</v>
      </c>
      <c r="F19" s="1688">
        <f t="shared" si="4"/>
        <v>620299</v>
      </c>
      <c r="G19" s="1688">
        <f t="shared" si="4"/>
        <v>256714</v>
      </c>
      <c r="H19" s="1688">
        <f t="shared" si="4"/>
        <v>0</v>
      </c>
      <c r="I19" s="468"/>
      <c r="J19" s="1688">
        <f>SUM(J17:J18)</f>
        <v>548172</v>
      </c>
      <c r="K19" s="1688">
        <f>SUM(K17:K18)</f>
        <v>84405</v>
      </c>
      <c r="L19" s="347"/>
    </row>
    <row r="20" spans="1:12" ht="16.5" thickTop="1" thickBot="1" x14ac:dyDescent="0.25">
      <c r="A20" s="2127" t="s">
        <v>1655</v>
      </c>
      <c r="B20" s="2128"/>
      <c r="C20" s="1746">
        <f>C8-C17</f>
        <v>490369</v>
      </c>
      <c r="D20" s="1746">
        <f t="shared" ref="D20:K20" si="5">D8-D17</f>
        <v>92318</v>
      </c>
      <c r="E20" s="1746">
        <f t="shared" si="5"/>
        <v>790</v>
      </c>
      <c r="F20" s="1746">
        <f t="shared" si="5"/>
        <v>163562</v>
      </c>
      <c r="G20" s="1746">
        <f t="shared" si="5"/>
        <v>96092</v>
      </c>
      <c r="H20" s="1746">
        <f t="shared" si="5"/>
        <v>0</v>
      </c>
      <c r="I20" s="1746">
        <f t="shared" si="5"/>
        <v>44861</v>
      </c>
      <c r="J20" s="1746">
        <f t="shared" si="5"/>
        <v>-16313</v>
      </c>
      <c r="K20" s="1746">
        <f t="shared" si="5"/>
        <v>-40739</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490369</v>
      </c>
      <c r="D78" s="1702">
        <f t="shared" si="9"/>
        <v>92318</v>
      </c>
      <c r="E78" s="1702">
        <f t="shared" si="9"/>
        <v>790</v>
      </c>
      <c r="F78" s="1702">
        <f t="shared" si="9"/>
        <v>163562</v>
      </c>
      <c r="G78" s="1702">
        <f t="shared" si="9"/>
        <v>96092</v>
      </c>
      <c r="H78" s="1702">
        <f t="shared" si="9"/>
        <v>0</v>
      </c>
      <c r="I78" s="1702">
        <f t="shared" si="9"/>
        <v>44861</v>
      </c>
      <c r="J78" s="1702">
        <f t="shared" si="9"/>
        <v>-16313</v>
      </c>
      <c r="K78" s="1702">
        <f t="shared" si="9"/>
        <v>-40739</v>
      </c>
      <c r="L78" s="533"/>
    </row>
    <row r="79" spans="1:12" ht="13.5" thickTop="1" x14ac:dyDescent="0.2">
      <c r="A79" s="1494" t="s">
        <v>1947</v>
      </c>
      <c r="B79" s="534"/>
      <c r="C79" s="478">
        <v>6577296</v>
      </c>
      <c r="D79" s="535">
        <v>1095714</v>
      </c>
      <c r="E79" s="535">
        <v>13612</v>
      </c>
      <c r="F79" s="535">
        <v>161151</v>
      </c>
      <c r="G79" s="535">
        <v>483234</v>
      </c>
      <c r="H79" s="535"/>
      <c r="I79" s="535">
        <v>2091212</v>
      </c>
      <c r="J79" s="535">
        <v>594197</v>
      </c>
      <c r="K79" s="535">
        <v>136406</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7067665</v>
      </c>
      <c r="D81" s="1688">
        <f>SUM(D78:D80)</f>
        <v>1188032</v>
      </c>
      <c r="E81" s="1688">
        <f t="shared" ref="E81:K81" si="10">SUM(E78:E80)</f>
        <v>14402</v>
      </c>
      <c r="F81" s="1688">
        <f t="shared" si="10"/>
        <v>324713</v>
      </c>
      <c r="G81" s="1688">
        <f t="shared" si="10"/>
        <v>579326</v>
      </c>
      <c r="H81" s="1688">
        <f t="shared" si="10"/>
        <v>0</v>
      </c>
      <c r="I81" s="1688">
        <f t="shared" si="10"/>
        <v>2136073</v>
      </c>
      <c r="J81" s="1688">
        <f t="shared" si="10"/>
        <v>577884</v>
      </c>
      <c r="K81" s="1688">
        <f t="shared" si="10"/>
        <v>95667</v>
      </c>
      <c r="L81" s="347"/>
    </row>
    <row r="82" spans="1:12" ht="0.75" customHeight="1" thickTop="1" thickBot="1" x14ac:dyDescent="0.25">
      <c r="A82" s="536" t="s">
        <v>343</v>
      </c>
      <c r="B82" s="537"/>
      <c r="C82" s="538">
        <f>(C81-C79)</f>
        <v>490369</v>
      </c>
      <c r="D82" s="538">
        <f t="shared" ref="D82:K82" si="11">(D81-D79)</f>
        <v>92318</v>
      </c>
      <c r="E82" s="538">
        <f t="shared" si="11"/>
        <v>790</v>
      </c>
      <c r="F82" s="538">
        <f t="shared" si="11"/>
        <v>163562</v>
      </c>
      <c r="G82" s="538">
        <f t="shared" si="11"/>
        <v>96092</v>
      </c>
      <c r="H82" s="538">
        <f t="shared" si="11"/>
        <v>0</v>
      </c>
      <c r="I82" s="538">
        <f t="shared" si="11"/>
        <v>44861</v>
      </c>
      <c r="J82" s="538">
        <f t="shared" si="11"/>
        <v>-16313</v>
      </c>
      <c r="K82" s="538">
        <f t="shared" si="11"/>
        <v>-40739</v>
      </c>
    </row>
    <row r="83" spans="1:12" ht="14.25" hidden="1" thickTop="1" thickBot="1" x14ac:dyDescent="0.25">
      <c r="A83" s="539" t="s">
        <v>344</v>
      </c>
      <c r="B83" s="464"/>
      <c r="C83" s="540">
        <f>C82/C81</f>
        <v>6.9382037773437197E-2</v>
      </c>
      <c r="D83" s="540">
        <f t="shared" ref="D83:K83" si="12">D82/D81</f>
        <v>7.7706661100037711E-2</v>
      </c>
      <c r="E83" s="540">
        <f t="shared" si="12"/>
        <v>5.4853492570476323E-2</v>
      </c>
      <c r="F83" s="540">
        <f t="shared" si="12"/>
        <v>0.50371250920043242</v>
      </c>
      <c r="G83" s="540">
        <f t="shared" si="12"/>
        <v>0.16586861283629598</v>
      </c>
      <c r="H83" s="540" t="e">
        <f t="shared" si="12"/>
        <v>#DIV/0!</v>
      </c>
      <c r="I83" s="540">
        <f t="shared" si="12"/>
        <v>2.100162307187067E-2</v>
      </c>
      <c r="J83" s="540">
        <f t="shared" si="12"/>
        <v>-2.8228848696278147E-2</v>
      </c>
      <c r="K83" s="540">
        <f t="shared" si="12"/>
        <v>-0.42584172180584734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3" activePane="bottomLeft" state="frozen"/>
      <selection pane="bottomLeft" activeCell="F16" sqref="F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2393338</v>
      </c>
      <c r="D5" s="481">
        <v>543940</v>
      </c>
      <c r="E5" s="466">
        <v>148887</v>
      </c>
      <c r="F5" s="548">
        <v>174062</v>
      </c>
      <c r="G5" s="466">
        <v>180272</v>
      </c>
      <c r="H5" s="466"/>
      <c r="I5" s="466">
        <v>43516</v>
      </c>
      <c r="J5" s="467">
        <v>530805</v>
      </c>
      <c r="K5" s="466">
        <v>43515</v>
      </c>
    </row>
    <row r="6" spans="1:12" ht="15" x14ac:dyDescent="0.2">
      <c r="A6" s="463" t="s">
        <v>1662</v>
      </c>
      <c r="B6" s="470">
        <v>1130</v>
      </c>
      <c r="C6" s="466"/>
      <c r="D6" s="466">
        <v>43515</v>
      </c>
      <c r="E6" s="475"/>
      <c r="F6" s="475"/>
      <c r="G6" s="468"/>
      <c r="H6" s="468"/>
      <c r="I6" s="468"/>
      <c r="J6" s="468"/>
      <c r="K6" s="468"/>
    </row>
    <row r="7" spans="1:12" x14ac:dyDescent="0.2">
      <c r="A7" s="463" t="s">
        <v>110</v>
      </c>
      <c r="B7" s="549">
        <v>1140</v>
      </c>
      <c r="C7" s="466">
        <v>34813</v>
      </c>
      <c r="D7" s="466"/>
      <c r="E7" s="468"/>
      <c r="F7" s="467"/>
      <c r="G7" s="467"/>
      <c r="H7" s="467"/>
      <c r="I7" s="468"/>
      <c r="J7" s="468"/>
      <c r="K7" s="468"/>
    </row>
    <row r="8" spans="1:12" x14ac:dyDescent="0.2">
      <c r="A8" s="463" t="s">
        <v>413</v>
      </c>
      <c r="B8" s="470">
        <v>1150</v>
      </c>
      <c r="C8" s="475"/>
      <c r="D8" s="475"/>
      <c r="E8" s="477"/>
      <c r="F8" s="477"/>
      <c r="G8" s="481">
        <v>171265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2428151</v>
      </c>
      <c r="D12" s="1707">
        <f t="shared" si="0"/>
        <v>587455</v>
      </c>
      <c r="E12" s="1707">
        <f t="shared" si="0"/>
        <v>148887</v>
      </c>
      <c r="F12" s="1707">
        <f t="shared" si="0"/>
        <v>174062</v>
      </c>
      <c r="G12" s="1707">
        <f t="shared" si="0"/>
        <v>351537</v>
      </c>
      <c r="H12" s="1707">
        <f t="shared" si="0"/>
        <v>0</v>
      </c>
      <c r="I12" s="1707">
        <f t="shared" si="0"/>
        <v>43516</v>
      </c>
      <c r="J12" s="1707">
        <f t="shared" si="0"/>
        <v>530805</v>
      </c>
      <c r="K12" s="1688">
        <f t="shared" si="0"/>
        <v>43515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45200</v>
      </c>
      <c r="D16" s="466">
        <v>54200</v>
      </c>
      <c r="E16" s="466"/>
      <c r="F16" s="466">
        <v>104200</v>
      </c>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45200</v>
      </c>
      <c r="D18" s="1710">
        <f t="shared" ref="D18:K18" si="1">SUM(D14:D17)</f>
        <v>54200</v>
      </c>
      <c r="E18" s="1710">
        <f t="shared" si="1"/>
        <v>0</v>
      </c>
      <c r="F18" s="1710">
        <f t="shared" si="1"/>
        <v>104200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106634</v>
      </c>
      <c r="D65" s="466">
        <v>2024</v>
      </c>
      <c r="E65" s="466">
        <v>97</v>
      </c>
      <c r="F65" s="467">
        <v>398</v>
      </c>
      <c r="G65" s="466">
        <v>1269</v>
      </c>
      <c r="H65" s="466"/>
      <c r="I65" s="466">
        <v>1345</v>
      </c>
      <c r="J65" s="467">
        <v>1054</v>
      </c>
      <c r="K65" s="466">
        <v>151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106634</v>
      </c>
      <c r="D67" s="1688">
        <f t="shared" ref="D67:K67" si="2">SUM(D65:D66)</f>
        <v>2024</v>
      </c>
      <c r="E67" s="1688">
        <f t="shared" si="2"/>
        <v>97</v>
      </c>
      <c r="F67" s="1688">
        <f t="shared" si="2"/>
        <v>398</v>
      </c>
      <c r="G67" s="1688">
        <f t="shared" si="2"/>
        <v>1269</v>
      </c>
      <c r="H67" s="1688">
        <f t="shared" si="2"/>
        <v>0</v>
      </c>
      <c r="I67" s="1688">
        <f t="shared" si="2"/>
        <v>1345</v>
      </c>
      <c r="J67" s="1688">
        <f t="shared" si="2"/>
        <v>1054</v>
      </c>
      <c r="K67" s="1688">
        <f t="shared" si="2"/>
        <v>151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105802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35</v>
      </c>
      <c r="D72" s="468"/>
      <c r="E72" s="468"/>
      <c r="F72" s="468"/>
      <c r="G72" s="468"/>
      <c r="H72" s="468"/>
      <c r="I72" s="468"/>
      <c r="J72" s="468"/>
      <c r="K72" s="468"/>
    </row>
    <row r="73" spans="1:11" ht="12.75" customHeight="1" x14ac:dyDescent="0.2">
      <c r="A73" s="463" t="s">
        <v>998</v>
      </c>
      <c r="B73" s="470">
        <v>1620</v>
      </c>
      <c r="C73" s="551">
        <v>5056</v>
      </c>
      <c r="D73" s="468"/>
      <c r="E73" s="468"/>
      <c r="F73" s="468"/>
      <c r="G73" s="468"/>
      <c r="H73" s="468"/>
      <c r="I73" s="468"/>
      <c r="J73" s="468"/>
      <c r="K73" s="468"/>
    </row>
    <row r="74" spans="1:11" ht="12.75" customHeight="1" x14ac:dyDescent="0.2">
      <c r="A74" s="463" t="s">
        <v>25</v>
      </c>
      <c r="B74" s="470">
        <v>1690</v>
      </c>
      <c r="C74" s="551">
        <v>9332</v>
      </c>
      <c r="D74" s="468"/>
      <c r="E74" s="468"/>
      <c r="F74" s="468"/>
      <c r="G74" s="468"/>
      <c r="H74" s="468"/>
      <c r="I74" s="468"/>
      <c r="J74" s="468"/>
      <c r="K74" s="468"/>
    </row>
    <row r="75" spans="1:11" ht="12.75" customHeight="1" thickBot="1" x14ac:dyDescent="0.25">
      <c r="A75" s="1708" t="s">
        <v>548</v>
      </c>
      <c r="B75" s="1709"/>
      <c r="C75" s="1688">
        <f>SUM(C69:C74)</f>
        <v>120225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33363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2155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29528</v>
      </c>
      <c r="D81" s="466"/>
      <c r="E81" s="468"/>
      <c r="F81" s="468"/>
      <c r="G81" s="468"/>
      <c r="H81" s="468"/>
      <c r="I81" s="468"/>
      <c r="J81" s="468"/>
      <c r="K81" s="468"/>
    </row>
    <row r="82" spans="1:11" ht="12.75" customHeight="1" thickBot="1" x14ac:dyDescent="0.25">
      <c r="A82" s="1708" t="s">
        <v>241</v>
      </c>
      <c r="B82" s="1709"/>
      <c r="C82" s="1707">
        <f>SUM(C77:C81)</f>
        <v>65046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18411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18411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13000</v>
      </c>
      <c r="E95" s="521"/>
      <c r="F95" s="521"/>
      <c r="G95" s="521"/>
      <c r="H95" s="521"/>
      <c r="I95" s="521"/>
      <c r="J95" s="521"/>
      <c r="K95" s="521"/>
    </row>
    <row r="96" spans="1:11" ht="12.75" customHeight="1" x14ac:dyDescent="0.2">
      <c r="A96" s="463" t="s">
        <v>391</v>
      </c>
      <c r="B96" s="470">
        <v>1920</v>
      </c>
      <c r="C96" s="551">
        <v>64000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94395</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7698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72417</v>
      </c>
      <c r="D107" s="466">
        <v>42610</v>
      </c>
      <c r="E107" s="466"/>
      <c r="F107" s="466">
        <v>15204</v>
      </c>
      <c r="G107" s="466"/>
      <c r="H107" s="466"/>
      <c r="I107" s="466"/>
      <c r="J107" s="467"/>
      <c r="K107" s="466"/>
    </row>
    <row r="108" spans="1:12" ht="12.75" customHeight="1" thickBot="1" x14ac:dyDescent="0.25">
      <c r="A108" s="1708" t="s">
        <v>487</v>
      </c>
      <c r="B108" s="1712"/>
      <c r="C108" s="1707">
        <f>SUM(C95:C107)</f>
        <v>238510</v>
      </c>
      <c r="D108" s="1707">
        <f t="shared" ref="D108:K108" si="3">SUM(D95:D107)</f>
        <v>55610</v>
      </c>
      <c r="E108" s="1707">
        <f t="shared" si="3"/>
        <v>0</v>
      </c>
      <c r="F108" s="1707">
        <f t="shared" si="3"/>
        <v>15204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3022177</v>
      </c>
      <c r="D109" s="1715">
        <f t="shared" si="4"/>
        <v>699289</v>
      </c>
      <c r="E109" s="1715">
        <f t="shared" si="4"/>
        <v>148984</v>
      </c>
      <c r="F109" s="1715">
        <f t="shared" si="4"/>
        <v>293864</v>
      </c>
      <c r="G109" s="1715">
        <f t="shared" si="4"/>
        <v>352806</v>
      </c>
      <c r="H109" s="1715">
        <f t="shared" si="4"/>
        <v>0</v>
      </c>
      <c r="I109" s="1715">
        <f t="shared" si="4"/>
        <v>44861</v>
      </c>
      <c r="J109" s="1715">
        <f t="shared" si="4"/>
        <v>531859</v>
      </c>
      <c r="K109" s="1702">
        <f t="shared" si="4"/>
        <v>43666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39309</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39309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3912928</v>
      </c>
      <c r="D117" s="481">
        <v>50000</v>
      </c>
      <c r="E117" s="466"/>
      <c r="F117" s="481">
        <v>150000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3912928</v>
      </c>
      <c r="D122" s="1707">
        <f t="shared" si="5"/>
        <v>50000</v>
      </c>
      <c r="E122" s="1707">
        <f t="shared" si="5"/>
        <v>0</v>
      </c>
      <c r="F122" s="1707">
        <f t="shared" si="5"/>
        <v>150000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17651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1348863</v>
      </c>
      <c r="D128" s="561"/>
      <c r="E128" s="468"/>
      <c r="F128" s="466"/>
      <c r="G128" s="468"/>
      <c r="H128" s="468"/>
      <c r="I128" s="468"/>
      <c r="J128" s="468"/>
      <c r="K128" s="468"/>
    </row>
    <row r="129" spans="1:11" ht="12.75" customHeight="1" x14ac:dyDescent="0.2">
      <c r="A129" s="463" t="s">
        <v>1447</v>
      </c>
      <c r="B129" s="562">
        <v>3130</v>
      </c>
      <c r="C129" s="466">
        <v>304456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1670970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19659</v>
      </c>
      <c r="D134" s="466"/>
      <c r="E134" s="561"/>
      <c r="F134" s="468"/>
      <c r="G134" s="466"/>
      <c r="H134" s="468"/>
      <c r="I134" s="468"/>
      <c r="J134" s="468"/>
      <c r="K134" s="468"/>
    </row>
    <row r="135" spans="1:11" ht="12.75" customHeight="1" x14ac:dyDescent="0.2">
      <c r="A135" s="463" t="s">
        <v>669</v>
      </c>
      <c r="B135" s="562">
        <v>3220</v>
      </c>
      <c r="C135" s="551">
        <v>8973</v>
      </c>
      <c r="D135" s="466"/>
      <c r="E135" s="561"/>
      <c r="F135" s="468"/>
      <c r="G135" s="467"/>
      <c r="H135" s="468"/>
      <c r="I135" s="468"/>
      <c r="J135" s="468"/>
      <c r="K135" s="468"/>
    </row>
    <row r="136" spans="1:11" ht="12.75" customHeight="1" x14ac:dyDescent="0.2">
      <c r="A136" s="463" t="s">
        <v>249</v>
      </c>
      <c r="B136" s="562">
        <v>3225</v>
      </c>
      <c r="C136" s="551">
        <v>18372</v>
      </c>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47004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4988</v>
      </c>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4988</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4556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v>14661</v>
      </c>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255118</v>
      </c>
      <c r="G152" s="467"/>
      <c r="H152" s="468"/>
      <c r="I152" s="468"/>
      <c r="J152" s="468"/>
      <c r="K152" s="468"/>
    </row>
    <row r="153" spans="1:11" ht="12.75" customHeight="1" x14ac:dyDescent="0.2">
      <c r="A153" s="463" t="s">
        <v>1057</v>
      </c>
      <c r="B153" s="562">
        <v>3510</v>
      </c>
      <c r="C153" s="551"/>
      <c r="D153" s="466"/>
      <c r="E153" s="561"/>
      <c r="F153" s="466">
        <v>84879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339997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27750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3603</v>
      </c>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1773532</v>
      </c>
      <c r="D169" s="1722">
        <f t="shared" si="6"/>
        <v>0</v>
      </c>
      <c r="E169" s="1722">
        <f t="shared" si="6"/>
        <v>0</v>
      </c>
      <c r="F169" s="1722">
        <f t="shared" si="6"/>
        <v>339997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5686460</v>
      </c>
      <c r="D170" s="1715">
        <f t="shared" si="7"/>
        <v>50000</v>
      </c>
      <c r="E170" s="1715">
        <f t="shared" si="7"/>
        <v>0</v>
      </c>
      <c r="F170" s="1715">
        <f t="shared" si="7"/>
        <v>489997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209551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44462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254013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219369</v>
      </c>
      <c r="D200" s="466"/>
      <c r="E200" s="468"/>
      <c r="F200" s="466"/>
      <c r="G200" s="466"/>
      <c r="H200" s="468"/>
      <c r="I200" s="468"/>
      <c r="J200" s="468"/>
      <c r="K200" s="468"/>
    </row>
    <row r="201" spans="1:11" ht="12.75" customHeight="1" x14ac:dyDescent="0.2">
      <c r="A201" s="463" t="s">
        <v>919</v>
      </c>
      <c r="B201" s="470">
        <v>4305</v>
      </c>
      <c r="C201" s="551">
        <v>26860</v>
      </c>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24901</v>
      </c>
      <c r="D203" s="466"/>
      <c r="E203" s="468"/>
      <c r="F203" s="466"/>
      <c r="G203" s="466"/>
      <c r="H203" s="468"/>
      <c r="I203" s="468"/>
      <c r="J203" s="468"/>
      <c r="K203" s="468"/>
    </row>
    <row r="204" spans="1:11" ht="12.75" customHeight="1" thickBot="1" x14ac:dyDescent="0.25">
      <c r="A204" s="1708" t="s">
        <v>400</v>
      </c>
      <c r="B204" s="1709"/>
      <c r="C204" s="1707">
        <f>SUM(C200:C203)</f>
        <v>271130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24361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10745</v>
      </c>
      <c r="D263" s="576"/>
      <c r="E263" s="468"/>
      <c r="F263" s="576"/>
      <c r="G263" s="576"/>
      <c r="H263" s="468"/>
      <c r="I263" s="468"/>
      <c r="J263" s="468"/>
      <c r="K263" s="468"/>
    </row>
    <row r="264" spans="1:11" ht="12.75" customHeight="1" thickTop="1" thickBot="1" x14ac:dyDescent="0.25">
      <c r="A264" s="463" t="s">
        <v>377</v>
      </c>
      <c r="B264" s="470">
        <v>4992</v>
      </c>
      <c r="C264" s="575">
        <v>3184</v>
      </c>
      <c r="D264" s="576"/>
      <c r="E264" s="468"/>
      <c r="F264" s="576"/>
      <c r="G264" s="576"/>
      <c r="H264" s="468"/>
      <c r="I264" s="468"/>
      <c r="J264" s="468"/>
      <c r="K264" s="468"/>
    </row>
    <row r="265" spans="1:11" s="593" customFormat="1" ht="12.75" customHeight="1" thickTop="1" thickBot="1" x14ac:dyDescent="0.25">
      <c r="A265" s="563" t="s">
        <v>75</v>
      </c>
      <c r="B265" s="557">
        <v>4999</v>
      </c>
      <c r="C265" s="575">
        <v>2159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565592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565592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9313538</v>
      </c>
      <c r="D268" s="1715">
        <f t="shared" si="12"/>
        <v>749289</v>
      </c>
      <c r="E268" s="1715">
        <f t="shared" si="12"/>
        <v>148984</v>
      </c>
      <c r="F268" s="1715">
        <f t="shared" si="12"/>
        <v>783861</v>
      </c>
      <c r="G268" s="1715">
        <f t="shared" si="12"/>
        <v>352806</v>
      </c>
      <c r="H268" s="1715">
        <f t="shared" si="12"/>
        <v>0</v>
      </c>
      <c r="I268" s="1715">
        <f t="shared" si="12"/>
        <v>44861</v>
      </c>
      <c r="J268" s="1715">
        <f t="shared" si="12"/>
        <v>531859</v>
      </c>
      <c r="K268" s="1702">
        <f t="shared" si="12"/>
        <v>43666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8" activePane="bottomLeft" state="frozen"/>
      <selection pane="bottomLeft" activeCell="L349" sqref="L3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2435609</v>
      </c>
      <c r="D5" s="466">
        <v>610795</v>
      </c>
      <c r="E5" s="466">
        <v>26557</v>
      </c>
      <c r="F5" s="466">
        <v>145725</v>
      </c>
      <c r="G5" s="466">
        <v>849</v>
      </c>
      <c r="H5" s="466">
        <v>150</v>
      </c>
      <c r="I5" s="467"/>
      <c r="J5" s="467"/>
      <c r="K5" s="1671">
        <f>SUM(C5:J5)</f>
        <v>3219685</v>
      </c>
      <c r="L5" s="466">
        <f>2452337+654393+27677+500</f>
        <v>3134907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85159</v>
      </c>
      <c r="D7" s="467">
        <v>16269</v>
      </c>
      <c r="E7" s="467">
        <v>135</v>
      </c>
      <c r="F7" s="467">
        <v>431</v>
      </c>
      <c r="G7" s="467"/>
      <c r="H7" s="467"/>
      <c r="I7" s="467"/>
      <c r="J7" s="467"/>
      <c r="K7" s="1671">
        <f t="shared" ref="K7:K32" si="0">SUM(C7:J7)</f>
        <v>101994</v>
      </c>
      <c r="L7" s="466">
        <f>84037+12313+240+500</f>
        <v>97090</v>
      </c>
    </row>
    <row r="8" spans="1:14" x14ac:dyDescent="0.2">
      <c r="A8" s="1504" t="s">
        <v>164</v>
      </c>
      <c r="B8" s="614">
        <v>1200</v>
      </c>
      <c r="C8" s="466"/>
      <c r="D8" s="466"/>
      <c r="E8" s="466">
        <v>1718798</v>
      </c>
      <c r="F8" s="466"/>
      <c r="G8" s="466"/>
      <c r="H8" s="466"/>
      <c r="I8" s="467"/>
      <c r="J8" s="467"/>
      <c r="K8" s="1671">
        <f t="shared" si="0"/>
        <v>1718798</v>
      </c>
      <c r="L8" s="466">
        <v>1483530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159193+1775</f>
        <v>160968</v>
      </c>
      <c r="D10" s="466">
        <v>84</v>
      </c>
      <c r="E10" s="466">
        <f>13116+18656</f>
        <v>31772</v>
      </c>
      <c r="F10" s="466">
        <f>710+7630</f>
        <v>8340</v>
      </c>
      <c r="G10" s="466"/>
      <c r="H10" s="466">
        <v>7767</v>
      </c>
      <c r="I10" s="467"/>
      <c r="J10" s="467"/>
      <c r="K10" s="1671">
        <f t="shared" si="0"/>
        <v>208931</v>
      </c>
      <c r="L10" s="466">
        <f>167270+35076+1300+16525</f>
        <v>220171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208785</v>
      </c>
      <c r="D13" s="466">
        <v>42193</v>
      </c>
      <c r="E13" s="466">
        <v>58500</v>
      </c>
      <c r="F13" s="466">
        <v>21999</v>
      </c>
      <c r="G13" s="466"/>
      <c r="H13" s="466">
        <v>510</v>
      </c>
      <c r="I13" s="467"/>
      <c r="J13" s="467"/>
      <c r="K13" s="1671">
        <f t="shared" si="0"/>
        <v>331987</v>
      </c>
      <c r="L13" s="466">
        <f>206000+51356+29078+500+60770</f>
        <v>347704</v>
      </c>
    </row>
    <row r="14" spans="1:14" x14ac:dyDescent="0.2">
      <c r="A14" s="1504" t="s">
        <v>963</v>
      </c>
      <c r="B14" s="614">
        <v>1500</v>
      </c>
      <c r="C14" s="466">
        <v>151655</v>
      </c>
      <c r="D14" s="466">
        <v>8696</v>
      </c>
      <c r="E14" s="466">
        <v>16895</v>
      </c>
      <c r="F14" s="466">
        <v>26780</v>
      </c>
      <c r="G14" s="466">
        <v>6129</v>
      </c>
      <c r="H14" s="466">
        <v>17450</v>
      </c>
      <c r="I14" s="467"/>
      <c r="J14" s="467"/>
      <c r="K14" s="1671">
        <f t="shared" si="0"/>
        <v>227605</v>
      </c>
      <c r="L14" s="466">
        <f>150802+8756+23400+18262+3800+14250</f>
        <v>219270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43206</v>
      </c>
      <c r="D17" s="467">
        <v>5224</v>
      </c>
      <c r="E17" s="467">
        <v>415</v>
      </c>
      <c r="F17" s="467">
        <v>1314</v>
      </c>
      <c r="G17" s="467">
        <v>16160</v>
      </c>
      <c r="H17" s="467"/>
      <c r="I17" s="467"/>
      <c r="J17" s="467"/>
      <c r="K17" s="1671">
        <f t="shared" si="0"/>
        <v>66319</v>
      </c>
      <c r="L17" s="466">
        <f>39532+13601+500+1200+16160</f>
        <v>70993</v>
      </c>
    </row>
    <row r="18" spans="1:12" x14ac:dyDescent="0.2">
      <c r="A18" s="1504" t="s">
        <v>1087</v>
      </c>
      <c r="B18" s="614">
        <v>1800</v>
      </c>
      <c r="C18" s="466">
        <f>139813-2</f>
        <v>139811</v>
      </c>
      <c r="D18" s="466">
        <v>27116</v>
      </c>
      <c r="E18" s="466">
        <v>3785</v>
      </c>
      <c r="F18" s="466">
        <v>694</v>
      </c>
      <c r="G18" s="466"/>
      <c r="H18" s="466"/>
      <c r="I18" s="467"/>
      <c r="J18" s="467"/>
      <c r="K18" s="1671">
        <f t="shared" si="0"/>
        <v>171406</v>
      </c>
      <c r="L18" s="466">
        <f>147067+27770+3600+1308</f>
        <v>179745</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3225193</v>
      </c>
      <c r="D33" s="1670">
        <f t="shared" ref="D33:L33" si="1">SUM(D5:D32)</f>
        <v>710377</v>
      </c>
      <c r="E33" s="1670">
        <f t="shared" si="1"/>
        <v>1856857</v>
      </c>
      <c r="F33" s="1670">
        <f t="shared" si="1"/>
        <v>205283</v>
      </c>
      <c r="G33" s="1670">
        <f t="shared" si="1"/>
        <v>23138</v>
      </c>
      <c r="H33" s="1670">
        <f t="shared" si="1"/>
        <v>25877</v>
      </c>
      <c r="I33" s="1670">
        <f t="shared" si="1"/>
        <v>0</v>
      </c>
      <c r="J33" s="1670">
        <f t="shared" si="1"/>
        <v>0</v>
      </c>
      <c r="K33" s="1670">
        <f t="shared" si="1"/>
        <v>6046725</v>
      </c>
      <c r="L33" s="1670">
        <f t="shared" si="1"/>
        <v>5753410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57666</v>
      </c>
      <c r="D36" s="481">
        <v>17569</v>
      </c>
      <c r="E36" s="481">
        <v>840</v>
      </c>
      <c r="F36" s="481">
        <v>5022</v>
      </c>
      <c r="G36" s="481"/>
      <c r="H36" s="481"/>
      <c r="I36" s="467"/>
      <c r="J36" s="467"/>
      <c r="K36" s="1671">
        <f t="shared" ref="K36:K41" si="2">SUM(C36:J36)</f>
        <v>81097</v>
      </c>
      <c r="L36" s="466">
        <f>71680+15982+850+5676</f>
        <v>94188</v>
      </c>
    </row>
    <row r="37" spans="1:14" x14ac:dyDescent="0.2">
      <c r="A37" s="1504" t="s">
        <v>1090</v>
      </c>
      <c r="B37" s="614">
        <v>2120</v>
      </c>
      <c r="C37" s="466">
        <v>42337</v>
      </c>
      <c r="D37" s="466">
        <v>14286</v>
      </c>
      <c r="E37" s="466"/>
      <c r="F37" s="466"/>
      <c r="G37" s="466"/>
      <c r="H37" s="466"/>
      <c r="I37" s="467"/>
      <c r="J37" s="467"/>
      <c r="K37" s="1671">
        <f t="shared" si="2"/>
        <v>56623</v>
      </c>
      <c r="L37" s="466">
        <f>42516+14397+6200+700+150</f>
        <v>63963</v>
      </c>
    </row>
    <row r="38" spans="1:14" x14ac:dyDescent="0.2">
      <c r="A38" s="1504" t="s">
        <v>198</v>
      </c>
      <c r="B38" s="614">
        <v>2130</v>
      </c>
      <c r="C38" s="466"/>
      <c r="D38" s="466"/>
      <c r="E38" s="466">
        <v>3520</v>
      </c>
      <c r="F38" s="466"/>
      <c r="G38" s="466"/>
      <c r="H38" s="466"/>
      <c r="I38" s="467"/>
      <c r="J38" s="467"/>
      <c r="K38" s="1671">
        <f t="shared" si="2"/>
        <v>3520</v>
      </c>
      <c r="L38" s="466">
        <v>3600</v>
      </c>
    </row>
    <row r="39" spans="1:14" x14ac:dyDescent="0.2">
      <c r="A39" s="1504" t="s">
        <v>199</v>
      </c>
      <c r="B39" s="614">
        <v>2140</v>
      </c>
      <c r="C39" s="466">
        <v>1667</v>
      </c>
      <c r="D39" s="466">
        <v>710</v>
      </c>
      <c r="E39" s="466"/>
      <c r="F39" s="466"/>
      <c r="G39" s="466"/>
      <c r="H39" s="466"/>
      <c r="I39" s="467"/>
      <c r="J39" s="467"/>
      <c r="K39" s="1671">
        <f t="shared" si="2"/>
        <v>2377</v>
      </c>
      <c r="L39" s="466">
        <v>0</v>
      </c>
    </row>
    <row r="40" spans="1:14" x14ac:dyDescent="0.2">
      <c r="A40" s="1504" t="s">
        <v>200</v>
      </c>
      <c r="B40" s="614">
        <v>2150</v>
      </c>
      <c r="C40" s="466">
        <v>37848</v>
      </c>
      <c r="D40" s="466">
        <v>4404</v>
      </c>
      <c r="E40" s="466">
        <v>17502</v>
      </c>
      <c r="F40" s="466">
        <v>314</v>
      </c>
      <c r="G40" s="466"/>
      <c r="H40" s="466"/>
      <c r="I40" s="467"/>
      <c r="J40" s="467"/>
      <c r="K40" s="1671">
        <f t="shared" si="2"/>
        <v>60068</v>
      </c>
      <c r="L40" s="466">
        <f>41190+4850+30700+215+360</f>
        <v>77315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139518</v>
      </c>
      <c r="D42" s="1670">
        <f t="shared" ref="D42:L42" si="3">SUM(D36:D41)</f>
        <v>36969</v>
      </c>
      <c r="E42" s="1670">
        <f t="shared" si="3"/>
        <v>21862</v>
      </c>
      <c r="F42" s="1670">
        <f t="shared" si="3"/>
        <v>5336</v>
      </c>
      <c r="G42" s="1670">
        <f t="shared" si="3"/>
        <v>0</v>
      </c>
      <c r="H42" s="1670">
        <f t="shared" si="3"/>
        <v>0</v>
      </c>
      <c r="I42" s="1670">
        <f t="shared" si="3"/>
        <v>0</v>
      </c>
      <c r="J42" s="1670">
        <f t="shared" si="3"/>
        <v>0</v>
      </c>
      <c r="K42" s="1670">
        <f t="shared" si="3"/>
        <v>203685</v>
      </c>
      <c r="L42" s="1670">
        <f t="shared" si="3"/>
        <v>239066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62061</v>
      </c>
      <c r="D44" s="481">
        <v>1034</v>
      </c>
      <c r="E44" s="481">
        <v>917</v>
      </c>
      <c r="F44" s="481"/>
      <c r="G44" s="481"/>
      <c r="H44" s="481">
        <v>290</v>
      </c>
      <c r="I44" s="467"/>
      <c r="J44" s="467"/>
      <c r="K44" s="1672">
        <f>SUM(C44:J44)</f>
        <v>64302</v>
      </c>
      <c r="L44" s="481">
        <f>62062+1034+600+350</f>
        <v>64046</v>
      </c>
    </row>
    <row r="45" spans="1:14" x14ac:dyDescent="0.2">
      <c r="A45" s="1504" t="s">
        <v>815</v>
      </c>
      <c r="B45" s="614">
        <v>2220</v>
      </c>
      <c r="C45" s="466">
        <f>37914+63949</f>
        <v>101863</v>
      </c>
      <c r="D45" s="466">
        <f>8688+8262</f>
        <v>16950</v>
      </c>
      <c r="E45" s="466">
        <f>362+37611</f>
        <v>37973</v>
      </c>
      <c r="F45" s="466">
        <f>3835+29263</f>
        <v>33098</v>
      </c>
      <c r="G45" s="466">
        <v>52034</v>
      </c>
      <c r="H45" s="466">
        <v>1830</v>
      </c>
      <c r="I45" s="467"/>
      <c r="J45" s="467"/>
      <c r="K45" s="1672">
        <f>SUM(C45:J45)</f>
        <v>243748</v>
      </c>
      <c r="L45" s="466">
        <f>38622+8946+1450+5442+1600+63949+8945+41216+39000+170000</f>
        <v>379170</v>
      </c>
    </row>
    <row r="46" spans="1:14" x14ac:dyDescent="0.2">
      <c r="A46" s="1504" t="s">
        <v>816</v>
      </c>
      <c r="B46" s="614">
        <v>2230</v>
      </c>
      <c r="C46" s="466"/>
      <c r="D46" s="466"/>
      <c r="E46" s="466">
        <v>15120</v>
      </c>
      <c r="F46" s="466"/>
      <c r="G46" s="466"/>
      <c r="H46" s="466"/>
      <c r="I46" s="467"/>
      <c r="J46" s="467"/>
      <c r="K46" s="1672">
        <f>SUM(C46:J46)</f>
        <v>15120</v>
      </c>
      <c r="L46" s="466">
        <v>17000</v>
      </c>
    </row>
    <row r="47" spans="1:14" ht="12.75" customHeight="1" thickBot="1" x14ac:dyDescent="0.25">
      <c r="A47" s="1668" t="s">
        <v>561</v>
      </c>
      <c r="B47" s="1669" t="s">
        <v>32</v>
      </c>
      <c r="C47" s="1670">
        <f>SUM(C44:C46)</f>
        <v>163924</v>
      </c>
      <c r="D47" s="1670">
        <f t="shared" ref="D47:K47" si="4">SUM(D44:D46)</f>
        <v>17984</v>
      </c>
      <c r="E47" s="1670">
        <f t="shared" si="4"/>
        <v>54010</v>
      </c>
      <c r="F47" s="1670">
        <f t="shared" si="4"/>
        <v>33098</v>
      </c>
      <c r="G47" s="1670">
        <f t="shared" si="4"/>
        <v>52034</v>
      </c>
      <c r="H47" s="1670">
        <f t="shared" si="4"/>
        <v>2120</v>
      </c>
      <c r="I47" s="1670">
        <f t="shared" si="4"/>
        <v>0</v>
      </c>
      <c r="J47" s="1670">
        <f t="shared" si="4"/>
        <v>0</v>
      </c>
      <c r="K47" s="1670">
        <f t="shared" si="4"/>
        <v>323170</v>
      </c>
      <c r="L47" s="1670">
        <f>SUM(L44:L46)</f>
        <v>460216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3201</v>
      </c>
      <c r="D49" s="481">
        <v>3926</v>
      </c>
      <c r="E49" s="481">
        <v>32763</v>
      </c>
      <c r="F49" s="481">
        <v>1115</v>
      </c>
      <c r="G49" s="481"/>
      <c r="H49" s="481">
        <v>73890</v>
      </c>
      <c r="I49" s="467"/>
      <c r="J49" s="467"/>
      <c r="K49" s="1672">
        <f>SUM(C49:J49)</f>
        <v>114895</v>
      </c>
      <c r="L49" s="481">
        <f>3000+1722+49732+1650+85000</f>
        <v>141104</v>
      </c>
    </row>
    <row r="50" spans="1:14" x14ac:dyDescent="0.2">
      <c r="A50" s="1504" t="s">
        <v>818</v>
      </c>
      <c r="B50" s="614">
        <v>2320</v>
      </c>
      <c r="C50" s="466">
        <v>180675</v>
      </c>
      <c r="D50" s="466">
        <v>1162</v>
      </c>
      <c r="E50" s="466">
        <v>2459</v>
      </c>
      <c r="F50" s="466">
        <v>1100</v>
      </c>
      <c r="G50" s="466"/>
      <c r="H50" s="466">
        <v>430</v>
      </c>
      <c r="I50" s="467"/>
      <c r="J50" s="467"/>
      <c r="K50" s="1672">
        <f>SUM(C50:J50)</f>
        <v>185826</v>
      </c>
      <c r="L50" s="466">
        <f>177489+1159+4600+2500+500+2000</f>
        <v>188248</v>
      </c>
    </row>
    <row r="51" spans="1:14" x14ac:dyDescent="0.2">
      <c r="A51" s="1504" t="s">
        <v>42</v>
      </c>
      <c r="B51" s="614">
        <v>2330</v>
      </c>
      <c r="C51" s="466">
        <v>2</v>
      </c>
      <c r="D51" s="466"/>
      <c r="E51" s="466">
        <v>645</v>
      </c>
      <c r="F51" s="466"/>
      <c r="G51" s="466"/>
      <c r="H51" s="466"/>
      <c r="I51" s="467"/>
      <c r="J51" s="467"/>
      <c r="K51" s="1672">
        <f>SUM(C51:J51)</f>
        <v>647</v>
      </c>
      <c r="L51" s="466">
        <f>12500+646</f>
        <v>13146</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183878</v>
      </c>
      <c r="D53" s="1670">
        <f t="shared" ref="D53:L53" si="5">SUM(D49:D52)</f>
        <v>5088</v>
      </c>
      <c r="E53" s="1670">
        <f t="shared" si="5"/>
        <v>35867</v>
      </c>
      <c r="F53" s="1670">
        <f t="shared" si="5"/>
        <v>2215</v>
      </c>
      <c r="G53" s="1670">
        <f t="shared" si="5"/>
        <v>0</v>
      </c>
      <c r="H53" s="1670">
        <f t="shared" si="5"/>
        <v>74320</v>
      </c>
      <c r="I53" s="1670">
        <f t="shared" si="5"/>
        <v>0</v>
      </c>
      <c r="J53" s="1670">
        <f t="shared" si="5"/>
        <v>0</v>
      </c>
      <c r="K53" s="1670">
        <f t="shared" si="5"/>
        <v>301368</v>
      </c>
      <c r="L53" s="1670">
        <f t="shared" si="5"/>
        <v>342498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424069</v>
      </c>
      <c r="D55" s="481">
        <v>73693</v>
      </c>
      <c r="E55" s="481">
        <v>2397</v>
      </c>
      <c r="F55" s="481">
        <v>21201</v>
      </c>
      <c r="G55" s="481"/>
      <c r="H55" s="481">
        <v>1386</v>
      </c>
      <c r="I55" s="467"/>
      <c r="J55" s="467"/>
      <c r="K55" s="1672">
        <f>SUM(C55:J55)</f>
        <v>522746</v>
      </c>
      <c r="L55" s="481">
        <f>426658+89485+5900+16550+500+1800</f>
        <v>540893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424069</v>
      </c>
      <c r="D57" s="1674">
        <f t="shared" ref="D57:K57" si="6">SUM(D55:D56)</f>
        <v>73693</v>
      </c>
      <c r="E57" s="1674">
        <f t="shared" si="6"/>
        <v>2397</v>
      </c>
      <c r="F57" s="1674">
        <f t="shared" si="6"/>
        <v>21201</v>
      </c>
      <c r="G57" s="1674">
        <f t="shared" si="6"/>
        <v>0</v>
      </c>
      <c r="H57" s="1674">
        <f t="shared" si="6"/>
        <v>1386</v>
      </c>
      <c r="I57" s="1674">
        <f t="shared" si="6"/>
        <v>0</v>
      </c>
      <c r="J57" s="1674">
        <f t="shared" si="6"/>
        <v>0</v>
      </c>
      <c r="K57" s="1674">
        <f t="shared" si="6"/>
        <v>522746</v>
      </c>
      <c r="L57" s="1670">
        <f>SUM(L55:L56)</f>
        <v>540893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67957</v>
      </c>
      <c r="D60" s="466">
        <v>16880</v>
      </c>
      <c r="E60" s="466">
        <v>11418</v>
      </c>
      <c r="F60" s="466">
        <v>686</v>
      </c>
      <c r="G60" s="466"/>
      <c r="H60" s="466"/>
      <c r="I60" s="467"/>
      <c r="J60" s="467"/>
      <c r="K60" s="1672">
        <f t="shared" si="7"/>
        <v>96941</v>
      </c>
      <c r="L60" s="466">
        <f>74760+17892+13300+1000+1500+1075</f>
        <v>109527</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112578</v>
      </c>
      <c r="D63" s="466">
        <v>17368</v>
      </c>
      <c r="E63" s="466">
        <v>16150</v>
      </c>
      <c r="F63" s="466">
        <v>137305</v>
      </c>
      <c r="G63" s="466">
        <v>14355</v>
      </c>
      <c r="H63" s="466">
        <v>395</v>
      </c>
      <c r="I63" s="467"/>
      <c r="J63" s="467"/>
      <c r="K63" s="1672">
        <f t="shared" si="7"/>
        <v>298151</v>
      </c>
      <c r="L63" s="466">
        <f>112829+13419+14250+163500+17000+200</f>
        <v>321198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180535</v>
      </c>
      <c r="D65" s="1670">
        <f t="shared" ref="D65:L65" si="8">SUM(D59:D64)</f>
        <v>34248</v>
      </c>
      <c r="E65" s="1670">
        <f t="shared" si="8"/>
        <v>27568</v>
      </c>
      <c r="F65" s="1670">
        <f t="shared" si="8"/>
        <v>137991</v>
      </c>
      <c r="G65" s="1670">
        <f t="shared" si="8"/>
        <v>14355</v>
      </c>
      <c r="H65" s="1670">
        <f t="shared" si="8"/>
        <v>395</v>
      </c>
      <c r="I65" s="1670">
        <f t="shared" si="8"/>
        <v>0</v>
      </c>
      <c r="J65" s="1670">
        <f t="shared" si="8"/>
        <v>0</v>
      </c>
      <c r="K65" s="1670">
        <f t="shared" si="8"/>
        <v>395092</v>
      </c>
      <c r="L65" s="1670">
        <f t="shared" si="8"/>
        <v>430725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1091924</v>
      </c>
      <c r="D74" s="1677">
        <f t="shared" ref="D74:K74" si="10">SUM(D42,D47,D53,D57,D65,D72,D73)</f>
        <v>167982</v>
      </c>
      <c r="E74" s="1677">
        <f t="shared" si="10"/>
        <v>141704</v>
      </c>
      <c r="F74" s="1677">
        <f t="shared" si="10"/>
        <v>199841</v>
      </c>
      <c r="G74" s="1677">
        <f t="shared" si="10"/>
        <v>66389</v>
      </c>
      <c r="H74" s="1677">
        <f t="shared" si="10"/>
        <v>78221</v>
      </c>
      <c r="I74" s="1677">
        <f t="shared" si="10"/>
        <v>0</v>
      </c>
      <c r="J74" s="1677">
        <f t="shared" si="10"/>
        <v>0</v>
      </c>
      <c r="K74" s="1677">
        <f t="shared" si="10"/>
        <v>1746061</v>
      </c>
      <c r="L74" s="1677">
        <f>SUM(L42,L47,L53,L57,L65,L72,L73)</f>
        <v>2013398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1030383</v>
      </c>
      <c r="F79" s="616"/>
      <c r="G79" s="616"/>
      <c r="H79" s="466"/>
      <c r="I79" s="477"/>
      <c r="J79" s="477"/>
      <c r="K79" s="1671">
        <f t="shared" si="11"/>
        <v>1030383</v>
      </c>
      <c r="L79" s="466">
        <f>1185495+49000</f>
        <v>1234495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1030383</v>
      </c>
      <c r="F84" s="616"/>
      <c r="G84" s="616"/>
      <c r="H84" s="1670">
        <f>SUM(H78:H83)</f>
        <v>0</v>
      </c>
      <c r="I84" s="477"/>
      <c r="J84" s="477"/>
      <c r="K84" s="1670">
        <f>SUM(K78:K83)</f>
        <v>1030383</v>
      </c>
      <c r="L84" s="1670">
        <f>SUM(L78:L83)</f>
        <v>1234495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1030383</v>
      </c>
      <c r="F102" s="616"/>
      <c r="G102" s="616"/>
      <c r="H102" s="1677">
        <f>SUM(H84,H92,H100,H101)</f>
        <v>0</v>
      </c>
      <c r="I102" s="477"/>
      <c r="J102" s="477"/>
      <c r="K102" s="1677">
        <f>SUM(K84,K92,K100,K101)</f>
        <v>1030383</v>
      </c>
      <c r="L102" s="1677">
        <f>SUM(L84,L92,L100,L101)</f>
        <v>1234495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4317117</v>
      </c>
      <c r="D114" s="1670">
        <f t="shared" ref="D114:K114" si="13">SUM(D33,D74,D75,D102,D112,D113)</f>
        <v>878359</v>
      </c>
      <c r="E114" s="1670">
        <f t="shared" si="13"/>
        <v>3028944</v>
      </c>
      <c r="F114" s="1670">
        <f t="shared" si="13"/>
        <v>405124</v>
      </c>
      <c r="G114" s="1670">
        <f t="shared" si="13"/>
        <v>89527</v>
      </c>
      <c r="H114" s="1670">
        <f>SUM(H33,H74,H75,H102,H112,H113)</f>
        <v>104098</v>
      </c>
      <c r="I114" s="1670">
        <f t="shared" si="13"/>
        <v>0</v>
      </c>
      <c r="J114" s="1670">
        <f t="shared" si="13"/>
        <v>0</v>
      </c>
      <c r="K114" s="1670">
        <f t="shared" si="13"/>
        <v>8823169</v>
      </c>
      <c r="L114" s="1670">
        <f>SUM(L33,L74,L75,L102,L112,L113)</f>
        <v>9001303</v>
      </c>
    </row>
    <row r="115" spans="1:14" ht="13.5" thickTop="1" x14ac:dyDescent="0.2">
      <c r="A115" s="2157" t="s">
        <v>996</v>
      </c>
      <c r="B115" s="2158"/>
      <c r="C115" s="618"/>
      <c r="D115" s="618"/>
      <c r="E115" s="618"/>
      <c r="F115" s="618"/>
      <c r="G115" s="618"/>
      <c r="H115" s="618"/>
      <c r="I115" s="618"/>
      <c r="J115" s="618"/>
      <c r="K115" s="1684">
        <f>'Revenues 9-14'!C268-'Expenditures 15-22'!K114</f>
        <v>490369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195550</v>
      </c>
      <c r="D124" s="466">
        <v>59340</v>
      </c>
      <c r="E124" s="466">
        <v>213994</v>
      </c>
      <c r="F124" s="466">
        <v>185829</v>
      </c>
      <c r="G124" s="466">
        <v>2258</v>
      </c>
      <c r="H124" s="466"/>
      <c r="I124" s="467"/>
      <c r="J124" s="467"/>
      <c r="K124" s="1670">
        <f>SUM(C124:J124)</f>
        <v>656971</v>
      </c>
      <c r="L124" s="466">
        <f>197444+53676+165100+196000+3000</f>
        <v>615220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195550</v>
      </c>
      <c r="D127" s="1670">
        <f t="shared" ref="D127:L127" si="14">SUM(D122:D126)</f>
        <v>59340</v>
      </c>
      <c r="E127" s="1670">
        <f t="shared" si="14"/>
        <v>213994</v>
      </c>
      <c r="F127" s="1670">
        <f t="shared" si="14"/>
        <v>185829</v>
      </c>
      <c r="G127" s="1670">
        <f t="shared" si="14"/>
        <v>2258</v>
      </c>
      <c r="H127" s="1670">
        <f t="shared" si="14"/>
        <v>0</v>
      </c>
      <c r="I127" s="1670">
        <f t="shared" si="14"/>
        <v>0</v>
      </c>
      <c r="J127" s="1670">
        <f t="shared" si="14"/>
        <v>0</v>
      </c>
      <c r="K127" s="1670">
        <f t="shared" si="14"/>
        <v>656971</v>
      </c>
      <c r="L127" s="1670">
        <f t="shared" si="14"/>
        <v>615220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195550</v>
      </c>
      <c r="D129" s="1677">
        <f t="shared" ref="D129:L129" si="15">SUM(D120,D127,D128)</f>
        <v>59340</v>
      </c>
      <c r="E129" s="1677">
        <f t="shared" si="15"/>
        <v>213994</v>
      </c>
      <c r="F129" s="1677">
        <f t="shared" si="15"/>
        <v>185829</v>
      </c>
      <c r="G129" s="1677">
        <f t="shared" si="15"/>
        <v>2258</v>
      </c>
      <c r="H129" s="1677">
        <f t="shared" si="15"/>
        <v>0</v>
      </c>
      <c r="I129" s="1677">
        <f t="shared" si="15"/>
        <v>0</v>
      </c>
      <c r="J129" s="1677">
        <f t="shared" si="15"/>
        <v>0</v>
      </c>
      <c r="K129" s="1677">
        <f t="shared" si="15"/>
        <v>656971</v>
      </c>
      <c r="L129" s="1677">
        <f t="shared" si="15"/>
        <v>615220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195550</v>
      </c>
      <c r="D151" s="1670">
        <f t="shared" ref="D151:K151" si="16">SUM(D129,D130,D139,D149,D150)</f>
        <v>59340</v>
      </c>
      <c r="E151" s="1670">
        <f t="shared" si="16"/>
        <v>213994</v>
      </c>
      <c r="F151" s="1670">
        <f t="shared" si="16"/>
        <v>185829</v>
      </c>
      <c r="G151" s="1670">
        <f t="shared" si="16"/>
        <v>2258</v>
      </c>
      <c r="H151" s="1670">
        <f t="shared" si="16"/>
        <v>0</v>
      </c>
      <c r="I151" s="1670">
        <f t="shared" si="16"/>
        <v>0</v>
      </c>
      <c r="J151" s="1670">
        <f t="shared" si="16"/>
        <v>0</v>
      </c>
      <c r="K151" s="1670">
        <f t="shared" si="16"/>
        <v>656971</v>
      </c>
      <c r="L151" s="1670">
        <f>SUM(L129,L130,L139,L149,L150)</f>
        <v>615220</v>
      </c>
    </row>
    <row r="152" spans="1:14" ht="12.75" customHeight="1" thickTop="1" x14ac:dyDescent="0.2">
      <c r="A152" s="2177" t="s">
        <v>1178</v>
      </c>
      <c r="B152" s="2178"/>
      <c r="C152" s="618"/>
      <c r="D152" s="618"/>
      <c r="E152" s="618"/>
      <c r="F152" s="618"/>
      <c r="G152" s="618"/>
      <c r="H152" s="618"/>
      <c r="I152" s="618"/>
      <c r="J152" s="616"/>
      <c r="K152" s="1684">
        <f>'Revenues 9-14'!D268-'Expenditures 15-22'!K151</f>
        <v>92318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52219</v>
      </c>
      <c r="I169" s="616"/>
      <c r="J169" s="616"/>
      <c r="K169" s="1671">
        <f>SUM(C169:H169)</f>
        <v>52219</v>
      </c>
      <c r="L169" s="656">
        <v>52219</v>
      </c>
    </row>
    <row r="170" spans="1:14" ht="33.75" customHeight="1" x14ac:dyDescent="0.2">
      <c r="A170" s="669" t="s">
        <v>1670</v>
      </c>
      <c r="B170" s="671" t="s">
        <v>31</v>
      </c>
      <c r="C170" s="616"/>
      <c r="D170" s="616"/>
      <c r="E170" s="616"/>
      <c r="F170" s="616"/>
      <c r="G170" s="616"/>
      <c r="H170" s="569">
        <v>95000</v>
      </c>
      <c r="I170" s="616"/>
      <c r="J170" s="616"/>
      <c r="K170" s="1671">
        <f>SUM(C170:J170)</f>
        <v>95000</v>
      </c>
      <c r="L170" s="569">
        <v>95000</v>
      </c>
    </row>
    <row r="171" spans="1:14" ht="15.75" customHeight="1" x14ac:dyDescent="0.2">
      <c r="A171" s="621" t="s">
        <v>766</v>
      </c>
      <c r="B171" s="672" t="s">
        <v>84</v>
      </c>
      <c r="C171" s="616"/>
      <c r="D171" s="616"/>
      <c r="E171" s="466"/>
      <c r="F171" s="616"/>
      <c r="G171" s="616"/>
      <c r="H171" s="569">
        <v>975</v>
      </c>
      <c r="I171" s="477"/>
      <c r="J171" s="616"/>
      <c r="K171" s="1671">
        <f>SUM(C171:J171)</f>
        <v>975</v>
      </c>
      <c r="L171" s="569">
        <v>1000</v>
      </c>
    </row>
    <row r="172" spans="1:14" ht="12.75" customHeight="1" thickBot="1" x14ac:dyDescent="0.25">
      <c r="A172" s="1668" t="s">
        <v>638</v>
      </c>
      <c r="B172" s="1669" t="s">
        <v>492</v>
      </c>
      <c r="C172" s="616"/>
      <c r="D172" s="616"/>
      <c r="E172" s="1677">
        <f>SUM(E168,E169,E170,E171)</f>
        <v>0</v>
      </c>
      <c r="F172" s="616"/>
      <c r="G172" s="616"/>
      <c r="H172" s="1677">
        <f>SUM(H168,H169,H170,H171)</f>
        <v>148194</v>
      </c>
      <c r="I172" s="638"/>
      <c r="J172" s="616"/>
      <c r="K172" s="1677">
        <f>SUM(K168,K169,K170,K171)</f>
        <v>148194</v>
      </c>
      <c r="L172" s="1677">
        <f>SUM(L168,L169,L170,L171)</f>
        <v>148219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148194</v>
      </c>
      <c r="I174" s="638"/>
      <c r="J174" s="616"/>
      <c r="K174" s="1677">
        <f>SUM(K160,K172,K173)</f>
        <v>148194</v>
      </c>
      <c r="L174" s="1677">
        <f>SUM(L160,L172,L173)</f>
        <v>148219</v>
      </c>
    </row>
    <row r="175" spans="1:14" ht="13.5" thickTop="1" x14ac:dyDescent="0.2">
      <c r="A175" s="2157" t="s">
        <v>996</v>
      </c>
      <c r="B175" s="2158"/>
      <c r="C175" s="616"/>
      <c r="D175" s="616"/>
      <c r="E175" s="616"/>
      <c r="F175" s="616"/>
      <c r="G175" s="616"/>
      <c r="H175" s="618"/>
      <c r="I175" s="616"/>
      <c r="J175" s="616"/>
      <c r="K175" s="1684">
        <f>'Revenues 9-14'!E268-'Expenditures 15-22'!K174</f>
        <v>790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162817+7700</f>
        <v>170517</v>
      </c>
      <c r="D182" s="466">
        <f>21818+149</f>
        <v>21967</v>
      </c>
      <c r="E182" s="466">
        <v>237890</v>
      </c>
      <c r="F182" s="466">
        <v>52233</v>
      </c>
      <c r="G182" s="466">
        <v>137692</v>
      </c>
      <c r="H182" s="466"/>
      <c r="I182" s="467"/>
      <c r="J182" s="467"/>
      <c r="K182" s="1671">
        <f>SUM(C182:J182)</f>
        <v>620299</v>
      </c>
      <c r="L182" s="466">
        <f>171399+23031+230928+55504+138192+1000+7700+699+178536</f>
        <v>806989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170517</v>
      </c>
      <c r="D184" s="1677">
        <f t="shared" ref="D184:J184" si="17">SUM(D180,D182,D183)</f>
        <v>21967</v>
      </c>
      <c r="E184" s="1677">
        <f t="shared" si="17"/>
        <v>237890</v>
      </c>
      <c r="F184" s="1677">
        <f t="shared" si="17"/>
        <v>52233</v>
      </c>
      <c r="G184" s="1677">
        <f t="shared" si="17"/>
        <v>137692</v>
      </c>
      <c r="H184" s="1677">
        <f t="shared" si="17"/>
        <v>0</v>
      </c>
      <c r="I184" s="1677">
        <f t="shared" si="17"/>
        <v>0</v>
      </c>
      <c r="J184" s="1677">
        <f t="shared" si="17"/>
        <v>0</v>
      </c>
      <c r="K184" s="1677">
        <f>SUM(K180,K182,K183)</f>
        <v>620299</v>
      </c>
      <c r="L184" s="1677">
        <f>SUM(L180, L182:L183)</f>
        <v>806989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170517</v>
      </c>
      <c r="D210" s="1670">
        <f>SUM(D184,D185)</f>
        <v>21967</v>
      </c>
      <c r="E210" s="1670">
        <f>SUM(E184,E185,E196)</f>
        <v>237890</v>
      </c>
      <c r="F210" s="1670">
        <f>SUM(F184,F185)</f>
        <v>52233</v>
      </c>
      <c r="G210" s="1670">
        <f>SUM(G184,G185)</f>
        <v>137692</v>
      </c>
      <c r="H210" s="1670">
        <f>SUM(H184,H185,H196,H208,H209)</f>
        <v>0</v>
      </c>
      <c r="I210" s="1670">
        <f>SUM(I184,I185)</f>
        <v>0</v>
      </c>
      <c r="J210" s="1670">
        <f>SUM(J184,J185)</f>
        <v>0</v>
      </c>
      <c r="K210" s="1671">
        <f>SUM(K184,K185,K196,K208,K209)</f>
        <v>620299</v>
      </c>
      <c r="L210" s="1670">
        <f>SUM(L184,L185,L196,L208,L209)</f>
        <v>806989</v>
      </c>
    </row>
    <row r="211" spans="1:14" ht="13.5" thickTop="1" x14ac:dyDescent="0.2">
      <c r="A211" s="2157" t="s">
        <v>996</v>
      </c>
      <c r="B211" s="2158"/>
      <c r="C211" s="618"/>
      <c r="D211" s="618"/>
      <c r="E211" s="618"/>
      <c r="F211" s="618"/>
      <c r="G211" s="618"/>
      <c r="H211" s="618"/>
      <c r="I211" s="616"/>
      <c r="J211" s="616"/>
      <c r="K211" s="1684">
        <f>'Revenues 9-14'!F268-'Expenditures 15-22'!K210</f>
        <v>163562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45560</v>
      </c>
      <c r="E215" s="616"/>
      <c r="F215" s="616"/>
      <c r="G215" s="616"/>
      <c r="H215" s="616"/>
      <c r="I215" s="616"/>
      <c r="J215" s="616"/>
      <c r="K215" s="1671">
        <f>D215</f>
        <v>45560</v>
      </c>
      <c r="L215" s="466">
        <v>51998</v>
      </c>
    </row>
    <row r="216" spans="1:14" x14ac:dyDescent="0.2">
      <c r="A216" s="1504" t="s">
        <v>163</v>
      </c>
      <c r="B216" s="614" t="s">
        <v>967</v>
      </c>
      <c r="C216" s="616"/>
      <c r="D216" s="467">
        <v>4850</v>
      </c>
      <c r="E216" s="616"/>
      <c r="F216" s="616"/>
      <c r="G216" s="616"/>
      <c r="H216" s="616"/>
      <c r="I216" s="616"/>
      <c r="J216" s="616"/>
      <c r="K216" s="1671">
        <f t="shared" ref="K216:K228" si="19">D216</f>
        <v>4850</v>
      </c>
      <c r="L216" s="466">
        <v>5154</v>
      </c>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27646</v>
      </c>
      <c r="E219" s="616"/>
      <c r="F219" s="616"/>
      <c r="G219" s="616"/>
      <c r="H219" s="616"/>
      <c r="I219" s="616"/>
      <c r="J219" s="616"/>
      <c r="K219" s="1671">
        <f t="shared" si="19"/>
        <v>27646</v>
      </c>
      <c r="L219" s="466">
        <v>31080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3128</v>
      </c>
      <c r="E222" s="616"/>
      <c r="F222" s="616"/>
      <c r="G222" s="616"/>
      <c r="H222" s="616"/>
      <c r="I222" s="616"/>
      <c r="J222" s="616"/>
      <c r="K222" s="1671">
        <f t="shared" si="19"/>
        <v>3128</v>
      </c>
      <c r="L222" s="466">
        <v>2964</v>
      </c>
    </row>
    <row r="223" spans="1:14" x14ac:dyDescent="0.2">
      <c r="A223" s="1504" t="s">
        <v>963</v>
      </c>
      <c r="B223" s="614">
        <v>1500</v>
      </c>
      <c r="C223" s="616"/>
      <c r="D223" s="466">
        <v>7482</v>
      </c>
      <c r="E223" s="616"/>
      <c r="F223" s="616"/>
      <c r="G223" s="616"/>
      <c r="H223" s="616"/>
      <c r="I223" s="616"/>
      <c r="J223" s="616"/>
      <c r="K223" s="1671">
        <f t="shared" si="19"/>
        <v>7482</v>
      </c>
      <c r="L223" s="466">
        <v>6500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638</v>
      </c>
      <c r="E226" s="616"/>
      <c r="F226" s="616"/>
      <c r="G226" s="616"/>
      <c r="H226" s="616"/>
      <c r="I226" s="616"/>
      <c r="J226" s="616"/>
      <c r="K226" s="1671">
        <f t="shared" si="19"/>
        <v>638</v>
      </c>
      <c r="L226" s="466">
        <v>585</v>
      </c>
    </row>
    <row r="227" spans="1:12" x14ac:dyDescent="0.2">
      <c r="A227" s="1504" t="s">
        <v>1087</v>
      </c>
      <c r="B227" s="614">
        <v>1800</v>
      </c>
      <c r="C227" s="616"/>
      <c r="D227" s="466">
        <v>12377</v>
      </c>
      <c r="E227" s="616"/>
      <c r="F227" s="616"/>
      <c r="G227" s="616"/>
      <c r="H227" s="616"/>
      <c r="I227" s="616"/>
      <c r="J227" s="616"/>
      <c r="K227" s="1671">
        <f t="shared" si="19"/>
        <v>12377</v>
      </c>
      <c r="L227" s="466">
        <v>13087</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101681</v>
      </c>
      <c r="E229" s="616"/>
      <c r="F229" s="616"/>
      <c r="G229" s="616"/>
      <c r="H229" s="616"/>
      <c r="I229" s="616"/>
      <c r="J229" s="616"/>
      <c r="K229" s="1670">
        <f>SUM(K215:K228)</f>
        <v>101681</v>
      </c>
      <c r="L229" s="1670">
        <f>SUM(L215:L228)</f>
        <v>111368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894</v>
      </c>
      <c r="E232" s="616"/>
      <c r="F232" s="616"/>
      <c r="G232" s="616"/>
      <c r="H232" s="616"/>
      <c r="I232" s="616"/>
      <c r="J232" s="616"/>
      <c r="K232" s="1671">
        <f t="shared" ref="K232:K237" si="20">D232</f>
        <v>894</v>
      </c>
      <c r="L232" s="466">
        <v>690</v>
      </c>
    </row>
    <row r="233" spans="1:12" x14ac:dyDescent="0.2">
      <c r="A233" s="1504" t="s">
        <v>1090</v>
      </c>
      <c r="B233" s="614">
        <v>2120</v>
      </c>
      <c r="C233" s="616"/>
      <c r="D233" s="466">
        <v>682</v>
      </c>
      <c r="E233" s="616"/>
      <c r="F233" s="616"/>
      <c r="G233" s="616"/>
      <c r="H233" s="616"/>
      <c r="I233" s="616"/>
      <c r="J233" s="616"/>
      <c r="K233" s="1671">
        <f t="shared" si="20"/>
        <v>682</v>
      </c>
      <c r="L233" s="466">
        <v>685</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v>128</v>
      </c>
      <c r="E235" s="616"/>
      <c r="F235" s="616"/>
      <c r="G235" s="616"/>
      <c r="H235" s="616"/>
      <c r="I235" s="616"/>
      <c r="J235" s="616"/>
      <c r="K235" s="1671">
        <f t="shared" si="20"/>
        <v>128</v>
      </c>
      <c r="L235" s="466">
        <v>0</v>
      </c>
    </row>
    <row r="236" spans="1:12" x14ac:dyDescent="0.2">
      <c r="A236" s="1504" t="s">
        <v>200</v>
      </c>
      <c r="B236" s="614">
        <v>2150</v>
      </c>
      <c r="C236" s="616"/>
      <c r="D236" s="466">
        <v>561</v>
      </c>
      <c r="E236" s="616"/>
      <c r="F236" s="616"/>
      <c r="G236" s="616"/>
      <c r="H236" s="616"/>
      <c r="I236" s="616"/>
      <c r="J236" s="616"/>
      <c r="K236" s="1671">
        <f t="shared" si="20"/>
        <v>561</v>
      </c>
      <c r="L236" s="466">
        <v>610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2265</v>
      </c>
      <c r="E238" s="616"/>
      <c r="F238" s="616"/>
      <c r="G238" s="616"/>
      <c r="H238" s="616"/>
      <c r="I238" s="616"/>
      <c r="J238" s="616"/>
      <c r="K238" s="1670">
        <f>SUM(K232:K237)</f>
        <v>2265</v>
      </c>
      <c r="L238" s="1670">
        <f>SUM(L232:L237)</f>
        <v>1985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1000</v>
      </c>
      <c r="E240" s="616"/>
      <c r="F240" s="616"/>
      <c r="G240" s="616"/>
      <c r="H240" s="616"/>
      <c r="I240" s="616"/>
      <c r="J240" s="616"/>
      <c r="K240" s="1672">
        <f>D240</f>
        <v>1000</v>
      </c>
      <c r="L240" s="481">
        <v>1000</v>
      </c>
    </row>
    <row r="241" spans="1:12" x14ac:dyDescent="0.2">
      <c r="A241" s="1504" t="s">
        <v>815</v>
      </c>
      <c r="B241" s="614">
        <v>2220</v>
      </c>
      <c r="C241" s="616"/>
      <c r="D241" s="466">
        <f>6962+11397</f>
        <v>18359</v>
      </c>
      <c r="E241" s="616"/>
      <c r="F241" s="616"/>
      <c r="G241" s="616"/>
      <c r="H241" s="616"/>
      <c r="I241" s="616"/>
      <c r="J241" s="616"/>
      <c r="K241" s="1672">
        <f>D241</f>
        <v>18359</v>
      </c>
      <c r="L241" s="466">
        <f>7553+12575</f>
        <v>20128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19359</v>
      </c>
      <c r="E243" s="616"/>
      <c r="F243" s="616"/>
      <c r="G243" s="616"/>
      <c r="H243" s="616"/>
      <c r="I243" s="616"/>
      <c r="J243" s="616"/>
      <c r="K243" s="1670">
        <f>SUM(K240:K242)</f>
        <v>19359</v>
      </c>
      <c r="L243" s="1670">
        <f>SUM(L240:L242)</f>
        <v>21128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302</v>
      </c>
      <c r="E245" s="616"/>
      <c r="F245" s="616"/>
      <c r="G245" s="616"/>
      <c r="H245" s="616"/>
      <c r="I245" s="616"/>
      <c r="J245" s="616"/>
      <c r="K245" s="1672">
        <f>D245</f>
        <v>302</v>
      </c>
      <c r="L245" s="481">
        <v>192</v>
      </c>
    </row>
    <row r="246" spans="1:12" x14ac:dyDescent="0.2">
      <c r="A246" s="1504" t="s">
        <v>818</v>
      </c>
      <c r="B246" s="614">
        <v>2320</v>
      </c>
      <c r="C246" s="616"/>
      <c r="D246" s="466">
        <v>2904</v>
      </c>
      <c r="E246" s="616"/>
      <c r="F246" s="616"/>
      <c r="G246" s="616"/>
      <c r="H246" s="616"/>
      <c r="I246" s="616"/>
      <c r="J246" s="616"/>
      <c r="K246" s="1672">
        <f t="shared" ref="K246:K256" si="21">D246</f>
        <v>2904</v>
      </c>
      <c r="L246" s="466">
        <v>2898</v>
      </c>
    </row>
    <row r="247" spans="1:12" x14ac:dyDescent="0.2">
      <c r="A247" s="1504" t="s">
        <v>819</v>
      </c>
      <c r="B247" s="614">
        <v>2330</v>
      </c>
      <c r="C247" s="616"/>
      <c r="D247" s="466">
        <v>362</v>
      </c>
      <c r="E247" s="616"/>
      <c r="F247" s="616"/>
      <c r="G247" s="616"/>
      <c r="H247" s="616"/>
      <c r="I247" s="616"/>
      <c r="J247" s="616"/>
      <c r="K247" s="1672">
        <f t="shared" si="21"/>
        <v>362</v>
      </c>
      <c r="L247" s="466">
        <v>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3568</v>
      </c>
      <c r="E257" s="616"/>
      <c r="F257" s="616"/>
      <c r="G257" s="616"/>
      <c r="H257" s="616"/>
      <c r="I257" s="616"/>
      <c r="J257" s="616"/>
      <c r="K257" s="1670">
        <f>SUM(K245:K256)</f>
        <v>3568</v>
      </c>
      <c r="L257" s="1670">
        <f>SUM(L245:L256)</f>
        <v>3090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27447</v>
      </c>
      <c r="E259" s="616"/>
      <c r="F259" s="616"/>
      <c r="G259" s="616"/>
      <c r="H259" s="616"/>
      <c r="I259" s="616"/>
      <c r="J259" s="616"/>
      <c r="K259" s="1672">
        <f>D259</f>
        <v>27447</v>
      </c>
      <c r="L259" s="481">
        <v>45927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27447</v>
      </c>
      <c r="E261" s="616"/>
      <c r="F261" s="616"/>
      <c r="G261" s="616"/>
      <c r="H261" s="616"/>
      <c r="I261" s="616"/>
      <c r="J261" s="616"/>
      <c r="K261" s="1670">
        <f>SUM(K259:K260)</f>
        <v>27447</v>
      </c>
      <c r="L261" s="1670">
        <f>SUM(L259:L260)</f>
        <v>45927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12380</v>
      </c>
      <c r="E264" s="616"/>
      <c r="F264" s="616"/>
      <c r="G264" s="616"/>
      <c r="H264" s="616"/>
      <c r="I264" s="616"/>
      <c r="J264" s="616"/>
      <c r="K264" s="1672">
        <f t="shared" ref="K264:K269" si="22">D264</f>
        <v>12380</v>
      </c>
      <c r="L264" s="466">
        <v>12711</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43235</v>
      </c>
      <c r="E266" s="616"/>
      <c r="F266" s="616"/>
      <c r="G266" s="616"/>
      <c r="H266" s="616"/>
      <c r="I266" s="616"/>
      <c r="J266" s="616"/>
      <c r="K266" s="1672">
        <f t="shared" si="22"/>
        <v>43235</v>
      </c>
      <c r="L266" s="466">
        <v>43959</v>
      </c>
    </row>
    <row r="267" spans="1:14" x14ac:dyDescent="0.2">
      <c r="A267" s="1504" t="s">
        <v>953</v>
      </c>
      <c r="B267" s="614">
        <v>2550</v>
      </c>
      <c r="C267" s="616"/>
      <c r="D267" s="466">
        <f>19453+6837</f>
        <v>26290</v>
      </c>
      <c r="E267" s="616"/>
      <c r="F267" s="616"/>
      <c r="G267" s="616"/>
      <c r="H267" s="616"/>
      <c r="I267" s="616"/>
      <c r="J267" s="616"/>
      <c r="K267" s="1672">
        <f t="shared" si="22"/>
        <v>26290</v>
      </c>
      <c r="L267" s="466">
        <f>17183+7026</f>
        <v>24209</v>
      </c>
    </row>
    <row r="268" spans="1:14" x14ac:dyDescent="0.2">
      <c r="A268" s="1504" t="s">
        <v>100</v>
      </c>
      <c r="B268" s="614">
        <v>2560</v>
      </c>
      <c r="C268" s="616"/>
      <c r="D268" s="466">
        <v>20478</v>
      </c>
      <c r="E268" s="616"/>
      <c r="F268" s="616"/>
      <c r="G268" s="616"/>
      <c r="H268" s="616"/>
      <c r="I268" s="616"/>
      <c r="J268" s="616"/>
      <c r="K268" s="1672">
        <f t="shared" si="22"/>
        <v>20478</v>
      </c>
      <c r="L268" s="466">
        <v>21849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102383</v>
      </c>
      <c r="E270" s="616"/>
      <c r="F270" s="616"/>
      <c r="G270" s="616"/>
      <c r="H270" s="616"/>
      <c r="I270" s="616"/>
      <c r="J270" s="616"/>
      <c r="K270" s="1670">
        <f>SUM(K263:K269)</f>
        <v>102383</v>
      </c>
      <c r="L270" s="1670">
        <f>SUM(L263:L269)</f>
        <v>102728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v>11</v>
      </c>
      <c r="E273" s="616"/>
      <c r="F273" s="616"/>
      <c r="G273" s="616"/>
      <c r="H273" s="616"/>
      <c r="I273" s="616"/>
      <c r="J273" s="616"/>
      <c r="K273" s="1672">
        <f>D273</f>
        <v>11</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11</v>
      </c>
      <c r="E277" s="616"/>
      <c r="F277" s="616"/>
      <c r="G277" s="616"/>
      <c r="H277" s="616"/>
      <c r="I277" s="616"/>
      <c r="J277" s="616"/>
      <c r="K277" s="1670">
        <f>SUM(K272:K276)</f>
        <v>11</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155033</v>
      </c>
      <c r="E279" s="616"/>
      <c r="F279" s="616"/>
      <c r="G279" s="616"/>
      <c r="H279" s="616"/>
      <c r="I279" s="616"/>
      <c r="J279" s="616"/>
      <c r="K279" s="1677">
        <f>SUM(K238,K243,K257,K261,K270,K277,K278)</f>
        <v>155033</v>
      </c>
      <c r="L279" s="1677">
        <f>SUM(L238,L243,L257,L261,L270,L277,L278)</f>
        <v>174858</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256714</v>
      </c>
      <c r="E295" s="616"/>
      <c r="F295" s="616"/>
      <c r="G295" s="616"/>
      <c r="H295" s="1670">
        <f>H293</f>
        <v>0</v>
      </c>
      <c r="I295" s="616"/>
      <c r="J295" s="616"/>
      <c r="K295" s="1670">
        <f>SUM(K229,K279,K280,K285,K293,K294)</f>
        <v>256714</v>
      </c>
      <c r="L295" s="1670">
        <f>SUM(L229,L279,L280,L285,L293,L294)</f>
        <v>286226</v>
      </c>
    </row>
    <row r="296" spans="1:14" ht="13.5" thickTop="1" x14ac:dyDescent="0.2">
      <c r="A296" s="2157" t="s">
        <v>996</v>
      </c>
      <c r="B296" s="2158"/>
      <c r="C296" s="616"/>
      <c r="D296" s="618"/>
      <c r="E296" s="616"/>
      <c r="F296" s="616"/>
      <c r="G296" s="616"/>
      <c r="H296" s="687"/>
      <c r="I296" s="616"/>
      <c r="J296" s="616"/>
      <c r="K296" s="1684">
        <f>'Revenues 9-14'!G268-'Expenditures 15-22'!K295</f>
        <v>96092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248824</v>
      </c>
      <c r="D319" s="467"/>
      <c r="E319" s="467">
        <v>248171</v>
      </c>
      <c r="F319" s="467">
        <v>51177</v>
      </c>
      <c r="G319" s="467">
        <v>0</v>
      </c>
      <c r="H319" s="467"/>
      <c r="I319" s="467"/>
      <c r="J319" s="467"/>
      <c r="K319" s="1671">
        <f>SUM(C319:J319)</f>
        <v>548172</v>
      </c>
      <c r="L319" s="467">
        <f>245285+266912+61000</f>
        <v>573197</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248824</v>
      </c>
      <c r="D330" s="1670">
        <f t="shared" ref="D330:J330" si="25">SUM(D319:D329)</f>
        <v>0</v>
      </c>
      <c r="E330" s="1670">
        <f t="shared" si="25"/>
        <v>248171</v>
      </c>
      <c r="F330" s="1670">
        <f t="shared" si="25"/>
        <v>51177</v>
      </c>
      <c r="G330" s="1670">
        <f t="shared" si="25"/>
        <v>0</v>
      </c>
      <c r="H330" s="1670">
        <f t="shared" si="25"/>
        <v>0</v>
      </c>
      <c r="I330" s="1670">
        <f t="shared" si="25"/>
        <v>0</v>
      </c>
      <c r="J330" s="1670">
        <f t="shared" si="25"/>
        <v>0</v>
      </c>
      <c r="K330" s="1670">
        <f>SUM(K319:K329)</f>
        <v>548172</v>
      </c>
      <c r="L330" s="1670">
        <f>SUM(L319:L329)</f>
        <v>573197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248824</v>
      </c>
      <c r="D342" s="1670">
        <f>SUM(D330)</f>
        <v>0</v>
      </c>
      <c r="E342" s="1670">
        <f>SUM(E330)</f>
        <v>248171</v>
      </c>
      <c r="F342" s="1670">
        <f>SUM(F330)</f>
        <v>51177</v>
      </c>
      <c r="G342" s="1670">
        <f>SUM(G330)</f>
        <v>0</v>
      </c>
      <c r="H342" s="1670">
        <f>SUM(H330,H334,H340)</f>
        <v>0</v>
      </c>
      <c r="I342" s="1670">
        <f>SUM(I330)</f>
        <v>0</v>
      </c>
      <c r="J342" s="1670">
        <f>SUM(J330)</f>
        <v>0</v>
      </c>
      <c r="K342" s="1670">
        <f>SUM(K330,K334,K340)</f>
        <v>548172</v>
      </c>
      <c r="L342" s="1677">
        <f>SUM(L330,L334,L340,L341)</f>
        <v>573197</v>
      </c>
    </row>
    <row r="343" spans="1:14" ht="12.75" customHeight="1" thickTop="1" x14ac:dyDescent="0.2">
      <c r="A343" s="2170" t="s">
        <v>996</v>
      </c>
      <c r="B343" s="2171"/>
      <c r="C343" s="616"/>
      <c r="D343" s="616"/>
      <c r="E343" s="616"/>
      <c r="F343" s="616"/>
      <c r="G343" s="616"/>
      <c r="H343" s="616"/>
      <c r="I343" s="616"/>
      <c r="J343" s="616"/>
      <c r="K343" s="1684">
        <f>'Revenues 9-14'!J268-'Expenditures 15-22'!K342</f>
        <v>-16313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84405</v>
      </c>
      <c r="H348" s="466"/>
      <c r="I348" s="467"/>
      <c r="J348" s="467"/>
      <c r="K348" s="1671">
        <f>SUM(C348:J348)</f>
        <v>84405</v>
      </c>
      <c r="L348" s="466">
        <f>3000+20300</f>
        <v>23300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84405</v>
      </c>
      <c r="H350" s="1670">
        <f t="shared" si="26"/>
        <v>0</v>
      </c>
      <c r="I350" s="1670">
        <f t="shared" si="26"/>
        <v>0</v>
      </c>
      <c r="J350" s="1670">
        <f t="shared" si="26"/>
        <v>0</v>
      </c>
      <c r="K350" s="1670">
        <f t="shared" si="26"/>
        <v>84405</v>
      </c>
      <c r="L350" s="1670">
        <f t="shared" si="26"/>
        <v>23300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84405</v>
      </c>
      <c r="H352" s="1670">
        <f t="shared" si="27"/>
        <v>0</v>
      </c>
      <c r="I352" s="1670">
        <f t="shared" si="27"/>
        <v>0</v>
      </c>
      <c r="J352" s="1670">
        <f t="shared" si="27"/>
        <v>0</v>
      </c>
      <c r="K352" s="1670">
        <f t="shared" si="27"/>
        <v>84405</v>
      </c>
      <c r="L352" s="1670">
        <f t="shared" si="27"/>
        <v>23300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84405</v>
      </c>
      <c r="H367" s="1670">
        <f t="shared" si="28"/>
        <v>0</v>
      </c>
      <c r="I367" s="1670">
        <f t="shared" si="28"/>
        <v>0</v>
      </c>
      <c r="J367" s="1670">
        <f t="shared" si="28"/>
        <v>0</v>
      </c>
      <c r="K367" s="1670">
        <f t="shared" si="28"/>
        <v>84405</v>
      </c>
      <c r="L367" s="1670">
        <f t="shared" si="28"/>
        <v>23300</v>
      </c>
    </row>
    <row r="368" spans="1:14" ht="13.5" thickTop="1" x14ac:dyDescent="0.2">
      <c r="A368" s="2157" t="s">
        <v>996</v>
      </c>
      <c r="B368" s="2158"/>
      <c r="C368" s="654"/>
      <c r="D368" s="654"/>
      <c r="E368" s="626"/>
      <c r="F368" s="626"/>
      <c r="G368" s="626"/>
      <c r="H368" s="626"/>
      <c r="I368" s="626"/>
      <c r="J368" s="623"/>
      <c r="K368" s="1671">
        <f>'Revenues 9-14'!K268-'Expenditures 15-22'!K367</f>
        <v>-40739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http://purl.org/dc/elements/1.1/"/>
    <ds:schemaRef ds:uri="http://purl.org/dc/dcmitype/"/>
    <ds:schemaRef ds:uri="http://schemas.openxmlformats.org/package/2006/metadata/core-properties"/>
    <ds:schemaRef ds:uri="6ce3111e-7420-4802-b50a-75d4e9a0b980"/>
    <ds:schemaRef ds:uri="d21dc803-237d-4c68-8692-8d731fd29118"/>
    <ds:schemaRef ds:uri="4d435f69-8686-490b-bd6d-b153bf22ab50"/>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2019-10-09T14:48:15Z</cp:lastPrinted>
  <dcterms:created xsi:type="dcterms:W3CDTF">2003-10-29T19:06:34Z</dcterms:created>
  <dcterms:modified xsi:type="dcterms:W3CDTF">2020-01-03T21:08:55Z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