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834DCBE-5CEF-4812-AC16-D242EF85F11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74" i="127"/>
  <c r="B75"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G30" i="108" l="1"/>
  <c r="C129" i="29"/>
  <c r="B3647" i="106"/>
  <c r="D3647"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2031" i="106" l="1"/>
  <c r="D2031" i="106" s="1"/>
  <c r="N23" i="3"/>
  <c r="B284" i="106" s="1"/>
  <c r="D284" i="106" s="1"/>
  <c r="C114" i="29"/>
  <c r="B757" i="106" s="1"/>
  <c r="D757" i="106" s="1"/>
  <c r="B1381" i="106"/>
  <c r="D1381" i="106" s="1"/>
  <c r="B5527" i="106"/>
  <c r="D552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K17" i="4"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<sst xmlns="http://schemas.openxmlformats.org/spreadsheetml/2006/main" count="5067" uniqueCount="2098">
  <si>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</si>
  <si>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</si>
  <si>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</si>
  <si>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</si>
  <si>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</si>
  <si>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</si>
  <si>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</si>
  <si>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</si>
  <si>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</si>
  <si>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</si>
  <si>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</si>
  <si>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</si>
  <si>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</si>
  <si>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</si>
  <si>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</si>
  <si>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</si>
  <si>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</si>
  <si>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</si>
  <si>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</si>
  <si>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</si>
  <si>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</si>
  <si>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</si>
  <si>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</si>
  <si>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</si>
  <si>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</si>
  <si>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</si>
  <si>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</si>
  <si>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</si>
  <si>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</si>
  <si>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</si>
  <si>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</si>
  <si>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</si>
  <si>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</si>
  <si>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</si>
  <si>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</si>
  <si>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</si>
  <si>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</si>
  <si>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</si>
  <si>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</si>
  <si>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</si>
  <si>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</si>
  <si>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</si>
  <si>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</si>
  <si>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</si>
  <si>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</si>
  <si>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</si>
  <si>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</si>
  <si>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</si>
  <si>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</si>
  <si>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</si>
  <si>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</si>
  <si>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</si>
  <si>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</si>
  <si>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</si>
  <si>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</si>
  <si>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</si>
  <si>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</si>
  <si>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</si>
  <si>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</si>
  <si>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</si>
  <si>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</si>
  <si>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</si>
  <si>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</si>
  <si>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</si>
  <si>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</si>
  <si>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</si>
  <si>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</si>
  <si>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</si>
  <si>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</si>
  <si>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</si>
  <si>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</si>
  <si>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</si>
  <si>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</si>
  <si>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</si>
  <si>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</si>
  <si>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</si>
  <si>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</si>
  <si>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</si>
  <si>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</si>
  <si>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</si>
  <si>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</si>
  <si>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</si>
  <si>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</si>
  <si>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</si>
  <si>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</si>
  <si>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</si>
  <si>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</si>
  <si>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</si>
  <si>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</si>
  <si>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</si>
  <si>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</si>
  <si>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</si>
  <si>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</si>
  <si>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</si>
  <si>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</si>
  <si>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</si>
  <si>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</si>
  <si>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</si>
  <si>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</si>
  <si>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</si>
  <si>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</si>
  <si>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</si>
  <si>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</si>
  <si>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</si>
  <si>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</si>
  <si>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</si>
  <si>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</si>
  <si>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</si>
  <si>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</si>
  <si>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</si>
  <si>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</si>
  <si>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</si>
  <si>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</si>
  <si>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</si>
  <si>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</si>
  <si>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</si>
  <si>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</si>
  <si>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</si>
  <si>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</si>
  <si>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</si>
  <si>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</si>
  <si>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</si>
  <si>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</si>
  <si>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</si>
  <si>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</si>
  <si>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</si>
  <si>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</si>
  <si>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</si>
  <si>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</si>
  <si>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</si>
  <si>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</si>
  <si>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</si>
  <si>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</si>
  <si>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</si>
  <si>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</si>
  <si>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</si>
  <si>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</si>
  <si>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</si>
  <si>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</si>
  <si>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</si>
  <si>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</si>
  <si>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</si>
  <si>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</si>
  <si>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</si>
  <si>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</si>
  <si>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</si>
  <si>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</si>
  <si>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</si>
  <si>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</si>
  <si>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</si>
  <si>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</si>
  <si>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</si>
  <si>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</si>
  <si>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</si>
  <si>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</si>
  <si>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</si>
  <si>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</si>
  <si>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</si>
  <si>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</si>
  <si>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</si>
  <si>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</si>
  <si>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</si>
  <si>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</si>
  <si>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</si>
  <si>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</si>
  <si>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</si>
  <si>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</si>
  <si>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</si>
  <si>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</si>
  <si>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</si>
  <si>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</si>
  <si>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</si>
  <si>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</si>
  <si>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</si>
  <si>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</si>
  <si>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</si>
  <si>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</si>
  <si>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</si>
  <si>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</si>
  <si>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</si>
  <si>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</si>
  <si>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</si>
  <si>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</si>
  <si>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</si>
  <si>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</si>
  <si>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</si>
  <si>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</si>
  <si>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</si>
  <si>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</si>
  <si>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</si>
  <si>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</si>
  <si>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</si>
  <si>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</si>
  <si>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</si>
  <si>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</si>
  <si>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</si>
  <si>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</si>
  <si>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</si>
  <si>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</si>
  <si>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</si>
  <si>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</si>
  <si>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</si>
  <si>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</si>
  <si>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</si>
  <si>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</si>
  <si>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</si>
  <si>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</si>
  <si>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</si>
  <si>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</si>
  <si>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</si>
  <si>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</si>
  <si>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</si>
  <si>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</si>
  <si>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</si>
  <si>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</si>
  <si>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</si>
  <si>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</si>
  <si>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</si>
  <si>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</si>
  <si>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</si>
  <si>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</si>
  <si>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</si>
  <si>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</si>
  <si>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</si>
  <si>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</si>
  <si>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</si>
  <si>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</si>
  <si>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</si>
  <si>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</si>
  <si>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</si>
  <si>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</si>
  <si>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</si>
  <si>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</si>
  <si>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</si>
  <si>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</si>
  <si>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</si>
  <si>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</si>
  <si>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</si>
  <si>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</si>
  <si>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</si>
  <si>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</si>
  <si>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</si>
  <si>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</si>
  <si>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</si>
  <si>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</si>
  <si>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</si>
  <si>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</si>
  <si>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</si>
  <si>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</si>
  <si>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</si>
  <si>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</si>
  <si>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</si>
  <si>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</si>
  <si>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</si>
  <si>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</si>
  <si>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</si>
  <si>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</si>
  <si>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</si>
  <si>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</si>
  <si>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</si>
  <si>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</si>
  <si>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</si>
  <si>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</si>
  <si>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</si>
  <si>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</si>
  <si>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</si>
  <si>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</si>
  <si>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</si>
  <si>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</si>
  <si>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</si>
  <si>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</si>
  <si>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</si>
  <si>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</si>
  <si>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</si>
  <si>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</si>
  <si>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</si>
  <si>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</si>
  <si>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</si>
  <si>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</si>
  <si>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</si>
  <si>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</si>
  <si>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</si>
  <si>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</si>
  <si>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</si>
  <si>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</si>
  <si>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</si>
  <si>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</si>
  <si>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</si>
  <si>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</si>
  <si>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</si>
  <si>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</si>
  <si>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</si>
  <si>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</si>
  <si>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</si>
  <si>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</si>
  <si>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</si>
  <si>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</si>
  <si>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</si>
  <si>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</si>
  <si>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</si>
  <si>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</si>
  <si>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</si>
  <si>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</si>
  <si>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</si>
  <si>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</si>
  <si>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</si>
  <si>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</si>
  <si>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</si>
  <si>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</si>
  <si>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</si>
  <si>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</si>
  <si>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</si>
  <si>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</si>
  <si>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</si>
  <si>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</si>
  <si>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</si>
  <si>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</si>
  <si>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</si>
  <si>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</si>
  <si>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</si>
  <si>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</si>
  <si>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</si>
  <si>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</si>
  <si>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</si>
  <si>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</si>
  <si>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</si>
  <si>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</si>
  <si>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</si>
  <si>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</si>
  <si>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</si>
  <si>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</si>
  <si>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</si>
  <si>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</si>
  <si>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</si>
  <si>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</si>
  <si>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</si>
  <si>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</si>
  <si>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</si>
  <si>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</si>
  <si>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</si>
  <si>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</si>
  <si>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</si>
  <si>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</si>
  <si>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</si>
  <si>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</si>
  <si>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</si>
  <si>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</si>
  <si>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</si>
  <si>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</si>
  <si>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</si>
  <si>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</si>
  <si>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</si>
  <si>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</si>
  <si>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</si>
  <si>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</si>
  <si>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</si>
  <si>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</si>
  <si>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</si>
  <si>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</si>
  <si>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</si>
  <si>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</si>
  <si>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</si>
  <si>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</si>
  <si>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</si>
  <si>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</si>
  <si>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</si>
  <si>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</si>
  <si>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</si>
  <si>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</si>
  <si>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</si>
  <si>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</si>
  <si>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</si>
  <si>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</si>
  <si>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</si>
  <si>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</si>
  <si>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</si>
  <si>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</si>
  <si>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</si>
  <si>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</si>
  <si>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</si>
  <si>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</si>
  <si>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</si>
  <si>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</si>
  <si>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</si>
  <si>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</si>
  <si>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</si>
  <si>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</si>
  <si>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</si>
  <si>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</si>
  <si>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</si>
  <si>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</si>
  <si>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</si>
  <si>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</si>
  <si>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</si>
  <si>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</si>
  <si>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</si>
  <si>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</si>
  <si>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</si>
  <si>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</si>
  <si>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</si>
  <si>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</si>
  <si>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</si>
  <si>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</si>
  <si>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</si>
  <si>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</si>
  <si>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</si>
  <si>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</si>
  <si>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</si>
  <si>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</si>
  <si>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</si>
  <si>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</si>
  <si>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</si>
  <si>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</si>
  <si>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</si>
  <si>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</si>
  <si>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</si>
  <si>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</si>
  <si>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</si>
  <si>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</si>
  <si>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</si>
  <si>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</si>
  <si>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</si>
  <si>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</si>
  <si>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</si>
  <si>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</si>
  <si>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</si>
  <si>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</si>
  <si>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</si>
  <si>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</si>
  <si>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</si>
  <si>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</si>
  <si>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</si>
  <si>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</si>
  <si>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</si>
  <si>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</si>
  <si>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</si>
  <si>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</si>
  <si>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</si>
  <si>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</si>
  <si>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</si>
  <si>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</si>
  <si>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</si>
  <si>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</si>
  <si>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</si>
  <si>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</si>
  <si>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</si>
  <si>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</si>
  <si>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</si>
  <si>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</si>
  <si>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</si>
  <si>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</si>
  <si>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</si>
  <si>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</si>
  <si>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</si>
  <si>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</si>
  <si>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</si>
  <si>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</si>
  <si>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</si>
  <si>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</si>
  <si>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</si>
  <si>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</si>
  <si>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</si>
  <si>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</si>
  <si>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</si>
  <si>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</si>
  <si>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</si>
  <si>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</si>
  <si>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</si>
  <si>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</si>
  <si>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</si>
  <si>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</si>
  <si>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</si>
  <si>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</si>
  <si>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</si>
  <si>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</si>
  <si>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</si>
  <si>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</si>
  <si>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</si>
  <si>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</si>
  <si>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</si>
  <si>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</si>
  <si>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</si>
  <si>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</si>
  <si>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</si>
  <si>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</si>
  <si>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</si>
  <si>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</si>
  <si>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</si>
  <si>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</si>
  <si>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</si>
  <si>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</si>
  <si>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</si>
  <si>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</si>
  <si>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</si>
  <si>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</si>
  <si>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</si>
  <si>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</si>
  <si>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</si>
  <si>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</si>
  <si>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</si>
  <si>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</si>
  <si>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</si>
  <si>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</si>
  <si>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</si>
  <si>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</si>
  <si>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</si>
  <si>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</si>
  <si>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</si>
  <si>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</si>
  <si>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</si>
  <si>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</si>
  <si>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</si>
  <si>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</si>
  <si>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</si>
  <si>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</si>
  <si>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</si>
  <si>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</si>
  <si>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</si>
  <si>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</si>
  <si>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</si>
  <si>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</si>
  <si>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</si>
  <si>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</si>
  <si>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</si>
  <si>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</si>
  <si>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</si>
  <si>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</si>
  <si>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</si>
  <si>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</si>
  <si>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</si>
  <si>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</si>
  <si>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</si>
  <si>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</si>
  <si>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</si>
  <si>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</si>
  <si>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</si>
  <si>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</si>
  <si>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</si>
  <si>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</si>
  <si>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</si>
  <si>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</si>
  <si>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</si>
  <si>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</si>
  <si>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</si>
  <si>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</si>
  <si>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</si>
  <si>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</si>
  <si>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</si>
  <si>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</si>
  <si>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</si>
  <si>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</si>
  <si>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</si>
  <si>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</si>
  <si>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</si>
  <si>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</si>
  <si>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</si>
  <si>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</si>
  <si>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</si>
  <si>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</si>
  <si>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</si>
  <si>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</si>
  <si>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</si>
  <si>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</si>
  <si>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</si>
  <si>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</si>
  <si>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</si>
  <si>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</si>
  <si>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</si>
  <si>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</si>
  <si>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</si>
  <si>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</si>
  <si>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</si>
  <si>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</si>
  <si>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</si>
  <si>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</si>
  <si>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</si>
  <si>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</si>
  <si>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</si>
  <si>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</si>
  <si>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</si>
  <si>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</si>
  <si>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</si>
  <si>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</si>
  <si>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</si>
  <si>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</si>
  <si>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</si>
  <si>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</si>
  <si>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</si>
  <si>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</si>
  <si>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</si>
  <si>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</si>
  <si>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</si>
  <si>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</si>
  <si>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</si>
  <si>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</si>
  <si>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</si>
  <si>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</si>
  <si>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</si>
  <si>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</si>
  <si>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</si>
  <si>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</si>
  <si>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</si>
  <si>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</si>
  <si>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</si>
  <si>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</si>
  <si>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</si>
  <si>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</si>
  <si>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</si>
  <si>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</si>
  <si>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</si>
  <si>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</si>
  <si>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</si>
  <si>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</si>
  <si>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</si>
  <si>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</si>
  <si>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</si>
  <si>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</si>
  <si>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</si>
  <si>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</si>
  <si>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</si>
  <si>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</si>
  <si>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</si>
  <si>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</si>
  <si>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</si>
  <si>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</si>
  <si>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</si>
  <si>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</si>
  <si>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</si>
  <si>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</si>
  <si>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</si>
  <si>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</si>
  <si>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</si>
  <si>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</si>
  <si>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</si>
  <si>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</si>
  <si>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</si>
  <si>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</si>
  <si>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</si>
  <si>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</si>
  <si>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</si>
  <si>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</si>
  <si>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</si>
  <si>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</si>
  <si>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</si>
  <si>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</si>
  <si>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</si>
  <si>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</si>
  <si>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</si>
  <si>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</si>
  <si>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</si>
  <si>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</si>
  <si>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</si>
  <si>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</si>
  <si>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</si>
  <si>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</si>
  <si>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</si>
  <si>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</si>
  <si>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</si>
  <si>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</si>
  <si>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</si>
  <si>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</si>
  <si>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</si>
  <si>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</si>
  <si>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</si>
  <si>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</si>
  <si>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</si>
  <si>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</si>
  <si>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</si>
  <si>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</si>
  <si>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</si>
  <si>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</si>
  <si>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</si>
  <si>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</si>
  <si>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</si>
  <si>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</si>
  <si>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</si>
  <si>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</si>
  <si>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</si>
  <si>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</si>
  <si>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</si>
  <si>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</si>
  <si>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</si>
  <si>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</si>
  <si>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</si>
  <si>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</si>
  <si>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</si>
  <si>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</si>
  <si>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</si>
  <si>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</si>
  <si>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</si>
  <si>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</si>
  <si>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</si>
  <si>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</si>
  <si>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</si>
  <si>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</si>
  <si>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</si>
  <si>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</si>
  <si>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</si>
  <si>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</si>
  <si>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</si>
  <si>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</si>
  <si>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</si>
  <si>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</si>
  <si>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</si>
  <si>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</si>
  <si>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</si>
  <si>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</si>
  <si>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</si>
  <si>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</si>
  <si>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</si>
  <si>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</si>
  <si>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</si>
  <si>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</si>
  <si>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</si>
  <si>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</si>
  <si>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</si>
  <si>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</si>
  <si>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</si>
  <si>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</si>
  <si>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</si>
  <si>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</si>
  <si>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</si>
  <si>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</si>
  <si>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</si>
  <si>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</si>
  <si>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</si>
  <si>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</si>
  <si>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</si>
  <si>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</si>
  <si>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</si>
  <si>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</si>
  <si>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</si>
  <si>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</si>
  <si>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</si>
  <si>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</si>
  <si>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</si>
  <si>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</si>
  <si>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</si>
  <si>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</si>
  <si>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</si>
  <si>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</si>
  <si>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</si>
  <si>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</si>
  <si>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</si>
  <si>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</si>
  <si>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</si>
  <si>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</si>
  <si>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</si>
  <si>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</si>
  <si>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</si>
  <si>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</si>
  <si>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</si>
  <si>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</si>
  <si>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</si>
  <si>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</si>
  <si>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</si>
  <si>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</si>
  <si>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</si>
  <si>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</si>
  <si>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</si>
  <si>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</si>
  <si>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</si>
  <si>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</si>
  <si>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</si>
  <si>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</si>
  <si>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</si>
  <si>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</si>
  <si>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</si>
  <si>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</si>
  <si>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</si>
  <si>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</si>
  <si>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</si>
  <si>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</si>
  <si>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</si>
  <si>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</si>
  <si>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</si>
  <si>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</si>
  <si>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</si>
  <si>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</si>
  <si>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</si>
  <si>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</si>
  <si>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</si>
  <si>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</si>
  <si>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</si>
  <si>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</si>
  <si>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</si>
  <si>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</si>
  <si>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</si>
  <si>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</si>
  <si>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</si>
  <si>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</si>
  <si>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</si>
  <si>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</si>
  <si>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</si>
  <si>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</si>
  <si>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</si>
  <si>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</si>
  <si>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</si>
  <si>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</si>
  <si>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</si>
  <si>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</si>
  <si>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</si>
  <si>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</si>
  <si>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</si>
  <si>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</si>
  <si>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</si>
  <si>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</si>
  <si>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</si>
  <si>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</si>
  <si>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</si>
  <si>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</si>
  <si>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</si>
  <si>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</si>
  <si>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</si>
  <si>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</si>
  <si>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</si>
  <si>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</si>
  <si>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</si>
  <si>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</si>
  <si>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</si>
  <si>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</si>
  <si>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</si>
  <si>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</si>
  <si>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</si>
  <si>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</si>
  <si>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</si>
  <si>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</si>
  <si>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</si>
  <si>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</si>
  <si>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</si>
  <si>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</si>
  <si>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</si>
  <si>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</si>
  <si>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</si>
  <si>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</si>
  <si>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</si>
  <si>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</si>
  <si>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</si>
  <si>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</si>
  <si>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</si>
  <si>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</si>
  <si>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</si>
  <si>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</si>
  <si>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</si>
  <si>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</si>
  <si>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</si>
  <si>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</si>
  <si>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</si>
  <si>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</si>
  <si>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</si>
  <si>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</si>
  <si>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</si>
  <si>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</si>
  <si>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</si>
  <si>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</si>
  <si>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</si>
  <si>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</si>
  <si>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</si>
  <si>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</si>
  <si>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</si>
  <si>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</si>
  <si>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</si>
  <si>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</si>
  <si>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</si>
  <si>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</si>
  <si>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</si>
  <si>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</si>
  <si>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</si>
  <si>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</si>
  <si>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</si>
  <si>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</si>
  <si>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</si>
  <si>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</si>
  <si>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</si>
  <si>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</si>
  <si>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</si>
  <si>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</si>
  <si>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</si>
  <si>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</si>
  <si>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</si>
  <si>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</si>
  <si>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</si>
  <si>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</si>
  <si>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</si>
  <si>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</si>
  <si>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</si>
  <si>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</si>
  <si>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</si>
  <si>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</si>
  <si>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</si>
  <si>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</si>
  <si>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</si>
  <si>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</si>
  <si>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</si>
  <si>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</si>
  <si>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</si>
  <si>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</si>
  <si>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</si>
  <si>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</si>
  <si>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</si>
  <si>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</si>
  <si>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</si>
  <si>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</si>
  <si>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</si>
  <si>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</si>
  <si>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</si>
  <si>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</si>
  <si>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</si>
  <si>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</si>
  <si>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</si>
  <si>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</si>
  <si>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</si>
  <si>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</si>
  <si>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</si>
  <si>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</si>
  <si>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</si>
  <si>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</si>
  <si>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</si>
  <si>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</si>
  <si>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</si>
  <si>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</si>
  <si>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</si>
  <si>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</si>
  <si>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</si>
  <si>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</si>
  <si>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</si>
  <si>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</si>
  <si>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</si>
  <si>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</si>
  <si>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</si>
  <si>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</si>
  <si>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</si>
  <si>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</si>
  <si>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</si>
  <si>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</si>
  <si>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</si>
  <si>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</si>
  <si>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</si>
  <si>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</si>
  <si>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</si>
  <si>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</si>
  <si>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</si>
  <si>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</si>
  <si>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</si>
  <si>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</si>
  <si>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</si>
  <si>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</si>
  <si>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</si>
  <si>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</si>
  <si>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</si>
  <si>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</si>
  <si>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</si>
  <si>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</si>
  <si>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</si>
  <si>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</si>
  <si>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</si>
  <si>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</si>
  <si>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</si>
  <si>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</si>
  <si>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</si>
  <si>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</si>
  <si>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</si>
  <si>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</si>
  <si>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</si>
  <si>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</si>
  <si>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</si>
  <si>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</si>
  <si>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</si>
  <si>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</si>
  <si>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</si>
  <si>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</si>
  <si>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</si>
  <si>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</si>
  <si>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</si>
  <si>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</si>
  <si>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</si>
  <si>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</si>
  <si>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</si>
  <si>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</si>
  <si>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</si>
  <si>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</si>
  <si>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</si>
  <si>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</si>
  <si>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</si>
  <si>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</si>
  <si>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</si>
  <si>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</si>
  <si>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</si>
  <si>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</si>
  <si>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</si>
  <si>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</si>
  <si>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</si>
  <si>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</si>
  <si>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</si>
  <si>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</si>
  <si>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</si>
  <si>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</si>
  <si>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</si>
  <si>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</si>
  <si>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</si>
  <si>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</si>
  <si>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</si>
  <si>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</si>
  <si>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</si>
  <si>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</si>
  <si>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</si>
  <si>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</si>
  <si>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</si>
  <si>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</si>
  <si>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</si>
  <si>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</si>
  <si>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</si>
  <si>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</si>
  <si>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</si>
  <si>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</si>
  <si>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</si>
  <si>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</si>
  <si>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</si>
  <si>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</si>
  <si>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</si>
  <si>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</si>
  <si>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</si>
  <si>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</si>
  <si>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</si>
  <si>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</si>
  <si>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</si>
  <si>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</si>
  <si>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</si>
  <si>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</si>
  <si>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</si>
  <si>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</si>
  <si>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</si>
  <si>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</si>
  <si>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</si>
  <si>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</si>
  <si>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</si>
  <si>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</si>
  <si>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</si>
  <si>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</si>
  <si>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</si>
  <si>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</si>
  <si>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</si>
  <si>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</si>
  <si>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</si>
  <si>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</si>
  <si>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</si>
  <si>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</si>
  <si>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</si>
  <si>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</si>
  <si>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</si>
  <si>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</si>
  <si>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</si>
  <si>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</si>
  <si>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</si>
  <si>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</si>
  <si>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</si>
  <si>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</si>
  <si>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</si>
  <si>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</si>
  <si>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</si>
  <si>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</si>
  <si>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</si>
  <si>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</si>
  <si>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</si>
  <si>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</si>
  <si>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</si>
  <si>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</si>
  <si>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</si>
  <si>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</si>
  <si>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</si>
  <si>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</si>
  <si>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</si>
  <si>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</si>
  <si>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</si>
  <si>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</si>
  <si>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</si>
  <si>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</si>
  <si>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</si>
  <si>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</si>
  <si>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</si>
  <si>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</si>
  <si>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</si>
  <si>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</si>
  <si>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</si>
  <si>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</si>
  <si>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</si>
  <si>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</si>
  <si>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</si>
  <si>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</si>
  <si>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</si>
  <si>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</si>
  <si>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</si>
  <si>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</si>
  <si>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</si>
  <si>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</si>
  <si>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</si>
  <si>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</si>
  <si>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</si>
  <si>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</si>
  <si>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</si>
  <si>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</si>
  <si>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</si>
  <si>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</si>
  <si>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</si>
  <si>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</si>
  <si>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</si>
  <si>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</si>
  <si>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</si>
  <si>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</si>
  <si>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</si>
  <si>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</si>
  <si>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</si>
  <si>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</si>
  <si>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</si>
  <si>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</si>
  <si>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</si>
  <si>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</si>
  <si>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</si>
  <si>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</si>
  <si>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</si>
  <si>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</si>
  <si>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</si>
  <si>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</si>
  <si>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</si>
  <si>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</si>
  <si>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</si>
  <si>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</si>
  <si>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</si>
  <si>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</si>
  <si>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</si>
  <si>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</si>
  <si>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</si>
  <si>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</si>
  <si>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</si>
  <si>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</si>
  <si>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</si>
  <si>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</si>
  <si>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</si>
  <si>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</si>
  <si>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</si>
  <si>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</si>
  <si>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</si>
  <si>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</si>
  <si>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</si>
  <si>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</si>
  <si>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</si>
  <si>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</si>
  <si>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</si>
  <si>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</si>
  <si>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</si>
  <si>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</si>
  <si>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</si>
  <si>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</si>
  <si>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</si>
  <si>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</si>
  <si>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</si>
  <si>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</si>
  <si>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</si>
  <si>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</si>
  <si>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</si>
  <si>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</si>
  <si>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</si>
  <si>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</si>
  <si>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</si>
  <si>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</si>
  <si>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</si>
  <si>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</si>
  <si>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</si>
  <si>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</si>
  <si>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</si>
  <si>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</si>
  <si>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</si>
  <si>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</si>
  <si>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</si>
  <si>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</si>
  <si>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</si>
  <si>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</si>
  <si>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</si>
  <si>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</si>
  <si>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</si>
  <si>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</si>
  <si>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</si>
  <si>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</si>
  <si>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</si>
  <si>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</si>
  <si>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</si>
  <si>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</si>
  <si>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</si>
  <si>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</si>
  <si>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</si>
  <si>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</si>
  <si>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</si>
  <si>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</si>
  <si>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</si>
  <si>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</si>
  <si>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</si>
  <si>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</si>
  <si>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</si>
  <si>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</si>
  <si>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</si>
  <si>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</si>
  <si>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</si>
  <si>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</si>
  <si>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</si>
  <si>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</si>
  <si>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</si>
  <si>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</si>
  <si>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</si>
  <si>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</si>
  <si>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</si>
  <si>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</si>
  <si>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</si>
  <si>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</si>
  <si>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</si>
  <si>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</si>
  <si>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</si>
  <si>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</si>
  <si>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</si>
  <si>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</si>
  <si>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</si>
  <si>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</si>
  <si>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</si>
  <si>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</si>
  <si>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</si>
  <si>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</si>
  <si>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</si>
  <si>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</si>
  <si>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</si>
  <si>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</si>
  <si>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</si>
  <si>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</si>
  <si>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</si>
  <si>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</si>
  <si>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</si>
  <si>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</si>
  <si>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</si>
  <si>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</si>
  <si>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</si>
  <si>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</si>
  <si>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</si>
  <si>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</si>
  <si>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</si>
  <si>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</si>
  <si>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</si>
  <si>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</si>
  <si>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</si>
  <si>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</si>
  <si>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</si>
  <si>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</si>
  <si>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</si>
  <si>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</si>
  <si>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</si>
  <si>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</si>
  <si>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</si>
  <si>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</si>
  <si>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</si>
  <si>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</si>
  <si>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</si>
  <si>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</si>
  <si>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</si>
  <si>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</si>
  <si>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</si>
  <si>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</si>
  <si>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</si>
  <si>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</si>
  <si>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</si>
  <si>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</si>
  <si>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</si>
  <si>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</si>
  <si>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</si>
  <si>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</si>
  <si>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</si>
  <si>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</si>
  <si>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</si>
  <si>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</si>
  <si>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</si>
  <si>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</si>
  <si>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</si>
  <si>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</si>
  <si>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</si>
  <si>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</si>
  <si>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</si>
  <si>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</si>
  <si>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</si>
  <si>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</si>
  <si>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</si>
  <si>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</si>
  <si>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</si>
  <si>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</si>
  <si>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</si>
  <si>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</si>
  <si>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</si>
  <si>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</si>
  <si>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</si>
  <si>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</si>
  <si>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</si>
  <si>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</si>
  <si>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</si>
  <si>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</si>
  <si>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</si>
  <si>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</si>
  <si>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</si>
  <si>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</si>
  <si>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</si>
  <si>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</si>
  <si>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</si>
  <si>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</si>
  <si>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</si>
  <si>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</si>
  <si>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</si>
  <si>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</si>
  <si>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</si>
  <si>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</si>
  <si>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</si>
  <si>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</si>
  <si>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</si>
  <si>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</si>
  <si>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</si>
  <si>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</si>
  <si>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</si>
  <si>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</si>
  <si>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</si>
  <si>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</si>
  <si>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</si>
  <si>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</si>
  <si>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</si>
  <si>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</si>
  <si>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</si>
  <si>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</si>
  <si>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</si>
  <si>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</si>
  <si>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</si>
  <si>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</si>
  <si>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</si>
  <si>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</si>
  <si>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</si>
  <si>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</si>
  <si>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</si>
  <si>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</si>
  <si>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</si>
  <si>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</si>
  <si>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</si>
  <si>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</si>
  <si>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</si>
  <si>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</si>
  <si>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</si>
  <si>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</si>
  <si>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</si>
  <si>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</si>
  <si>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</si>
  <si>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</si>
  <si>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</si>
  <si>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</si>
  <si>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</si>
  <si>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</si>
  <si>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</si>
  <si>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</si>
  <si>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</si>
  <si>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</si>
  <si>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</si>
  <si>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</si>
  <si>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</si>
  <si>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</si>
  <si>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</si>
  <si>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</si>
  <si>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</si>
  <si>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</si>
  <si>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</si>
  <si>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</si>
  <si>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</si>
  <si>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</si>
  <si>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</si>
  <si>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</si>
  <si>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</si>
  <si>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</si>
  <si>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</si>
  <si>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</si>
  <si>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</si>
  <si>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</si>
  <si>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</si>
  <si>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</si>
  <si>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</si>
  <si>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</si>
  <si>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</si>
  <si>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</si>
  <si>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</si>
  <si>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</si>
  <si>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</si>
  <si>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</si>
  <si>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</si>
  <si>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</si>
  <si>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</si>
  <si>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</si>
  <si>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</si>
  <si>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</si>
  <si>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</si>
  <si>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</si>
  <si>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</si>
  <si>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</si>
  <si>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</si>
  <si>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</si>
  <si>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</si>
  <si>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</si>
  <si>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</si>
  <si>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</si>
  <si>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</si>
  <si>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</si>
  <si>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</si>
  <si>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</si>
  <si>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</si>
  <si>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</si>
  <si>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</si>
  <si>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</si>
  <si>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</si>
  <si>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</si>
  <si>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</si>
  <si>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</si>
  <si>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</si>
  <si>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</si>
  <si>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</si>
  <si>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</si>
  <si>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</si>
  <si>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</si>
  <si>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</si>
  <si>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</si>
  <si>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</si>
  <si>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</si>
  <si>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</si>
  <si>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</si>
  <si>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</si>
  <si>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</si>
  <si>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</si>
  <si>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</si>
  <si>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</si>
  <si>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</si>
  <si>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</si>
  <si>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</si>
  <si>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</si>
  <si>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</si>
  <si>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</si>
  <si>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</si>
  <si>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</si>
  <si>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</si>
  <si>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</si>
  <si>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</si>
  <si>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</si>
  <si>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</si>
  <si>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</si>
  <si>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</si>
  <si>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</si>
  <si>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</si>
  <si>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</si>
  <si>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</si>
  <si>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</si>
  <si>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</si>
  <si>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</si>
  <si>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</si>
  <si>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</si>
  <si>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</si>
  <si>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</si>
  <si>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</si>
  <si>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</si>
  <si>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</si>
  <si>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</si>
  <si>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</si>
  <si>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</si>
  <si>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</si>
  <si>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</si>
  <si>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</si>
  <si>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</si>
  <si>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</si>
  <si>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</si>
  <si>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</si>
  <si>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</si>
  <si>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</si>
  <si>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</si>
  <si>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</si>
  <si>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</si>
  <si>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</si>
  <si>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</si>
  <si>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</si>
  <si>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</si>
  <si>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</si>
  <si>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</si>
  <si>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</si>
  <si>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</si>
  <si>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</si>
  <si>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</si>
  <si>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</si>
  <si>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</si>
  <si>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</si>
  <si>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</si>
  <si>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</si>
  <si>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</si>
  <si>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</si>
  <si>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</si>
  <si>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</si>
  <si>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</si>
  <si>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</si>
  <si>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</si>
  <si>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</si>
  <si>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</si>
  <si>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</si>
  <si>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</si>
  <si>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</si>
  <si>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</si>
  <si>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</si>
  <si>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</si>
  <si>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</si>
  <si>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</si>
  <si>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</si>
  <si>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</si>
  <si>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</si>
  <si>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</si>
  <si>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</si>
  <si>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</si>
  <si>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</si>
  <si>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</si>
  <si>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</si>
  <si>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</si>
  <si>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</si>
  <si>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</si>
  <si>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</si>
  <si>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</si>
  <si>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</si>
  <si>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</si>
  <si>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</si>
  <si>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</si>
  <si>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</si>
  <si>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</si>
  <si>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</si>
  <si>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</si>
  <si>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</si>
  <si>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</si>
  <si>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</si>
  <si>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</si>
  <si>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</si>
  <si>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</si>
  <si>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</si>
  <si>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</si>
  <si>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</si>
  <si>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</si>
  <si>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</si>
  <si>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</si>
  <si>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</si>
  <si>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</si>
  <si>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</si>
  <si>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</si>
  <si>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</si>
  <si>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</si>
  <si>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</si>
  <si>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</si>
  <si>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</si>
  <si>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</si>
  <si>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</si>
  <si>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</si>
  <si>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</si>
  <si>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</si>
  <si>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</si>
  <si>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</si>
  <si>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</si>
  <si>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</si>
  <si>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</si>
  <si>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</si>
  <si>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</si>
  <si>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</si>
  <si>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</si>
  <si>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</si>
  <si>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</si>
  <si>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</si>
  <si>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</si>
  <si>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</si>
  <si>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</si>
  <si>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</si>
  <si>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</si>
  <si>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</si>
  <si>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</si>
  <si>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</si>
  <si>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</si>
  <si>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</si>
  <si>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</si>
  <si>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</si>
  <si>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</si>
  <si>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</si>
  <si>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</si>
  <si>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</si>
  <si>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</si>
  <si>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</si>
  <si>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</si>
  <si>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</si>
  <si>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</si>
  <si>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</si>
  <si>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</si>
  <si>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</si>
  <si>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</si>
  <si>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</si>
  <si>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</si>
  <si>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</si>
  <si>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</si>
  <si>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</si>
  <si>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</si>
  <si>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</si>
  <si>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</si>
  <si>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</si>
  <si>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</si>
  <si>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</si>
  <si>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</si>
  <si>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</si>
  <si>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</si>
  <si>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</si>
  <si>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</si>
  <si>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</si>
  <si>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</si>
  <si>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</si>
  <si>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</si>
  <si>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</si>
  <si>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</si>
  <si>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</si>
  <si>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</si>
  <si>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</si>
  <si>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</si>
  <si>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</si>
  <si>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</si>
  <si>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</si>
  <si>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</si>
  <si>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</si>
  <si>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</si>
  <si>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</si>
  <si>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</si>
  <si>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</si>
  <si>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</si>
  <si>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</si>
  <si>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</si>
  <si>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</si>
  <si>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</si>
  <si>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</si>
  <si>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</si>
  <si>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</si>
  <si>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</si>
  <si>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</si>
  <si>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</si>
  <si>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</si>
  <si>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</si>
  <si>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</si>
  <si>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</si>
  <si>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</si>
  <si>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</si>
  <si>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</si>
  <si>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</si>
  <si>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</si>
  <si>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</si>
  <si>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</si>
  <si>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</si>
  <si>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</si>
  <si>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</si>
  <si>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</si>
  <si>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</si>
  <si>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</si>
  <si>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</si>
  <si>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</si>
  <si>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</si>
  <si>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</si>
  <si>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</si>
  <si>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</si>
  <si>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</si>
  <si>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</si>
  <si>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</si>
  <si>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</si>
  <si>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</si>
  <si>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</si>
  <si>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</si>
  <si>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</si>
  <si>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</si>
  <si>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</si>
  <si>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</si>
  <si>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</si>
  <si>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</si>
  <si>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</si>
  <si>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</si>
  <si>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</si>
  <si>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</si>
  <si>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</si>
  <si>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</si>
  <si>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</si>
  <si>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</si>
  <si>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</si>
  <si>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</si>
  <si>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</si>
  <si>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</si>
  <si>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</si>
  <si>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</si>
  <si>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</si>
  <si>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</si>
  <si>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</si>
  <si>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</si>
  <si>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</si>
  <si>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</si>
  <si>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</si>
  <si>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</si>
  <si>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</si>
  <si>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</si>
  <si>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</si>
  <si>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</si>
  <si>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</si>
  <si>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</si>
  <si>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</si>
  <si>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</si>
  <si>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</si>
  <si>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</si>
  <si>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</si>
  <si>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</si>
  <si>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</si>
  <si>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</si>
  <si>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</si>
  <si>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</si>
  <si>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</si>
  <si>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</si>
  <si>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</si>
  <si>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</si>
  <si>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</si>
  <si>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</si>
  <si>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</si>
  <si>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</si>
  <si>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</si>
  <si>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</si>
  <si>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</si>
  <si>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</si>
  <si>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</si>
  <si>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</si>
  <si>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</si>
  <si>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</si>
  <si>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</si>
  <si>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</si>
  <si>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</si>
  <si>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</si>
  <si>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</si>
  <si>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</si>
  <si>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</si>
  <si>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</si>
  <si>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</si>
  <si>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</si>
  <si>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</si>
  <si>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</si>
  <si>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</si>
  <si>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</si>
  <si>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</si>
  <si>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</si>
  <si>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</si>
  <si>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</si>
  <si>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</si>
  <si>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</si>
  <si>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</si>
  <si>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</si>
  <si>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</si>
  <si>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</si>
  <si>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</si>
  <si>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</si>
  <si>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</si>
  <si>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</si>
  <si>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</si>
  <si>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</si>
  <si>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</si>
  <si>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</si>
  <si>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</si>
  <si>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</si>
  <si>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</si>
  <si>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</si>
  <si>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</si>
  <si>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</si>
  <si>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</si>
  <si>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</si>
  <si>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</si>
  <si>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</si>
  <si>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</si>
  <si>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</si>
  <si>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</si>
  <si>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</si>
  <si>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</si>
  <si>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</si>
  <si>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</si>
  <si>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</si>
  <si>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</si>
  <si>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</si>
  <si>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</si>
  <si>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</si>
  <si>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</si>
  <si>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</si>
  <si>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</si>
  <si>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</si>
  <si>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</si>
  <si>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</si>
  <si>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</si>
  <si>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</si>
  <si>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</si>
  <si>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</si>
  <si>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</si>
  <si>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</si>
  <si>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</si>
  <si>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</si>
  <si>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</si>
  <si>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</si>
  <si>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</si>
  <si>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</si>
  <si>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</si>
  <si>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</si>
  <si>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</si>
  <si>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</si>
  <si>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</si>
  <si>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</si>
  <si>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</si>
  <si>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</si>
  <si>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</si>
  <si>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</si>
  <si>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</si>
  <si>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</si>
  <si>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</si>
  <si>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</si>
  <si>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</si>
  <si>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</si>
  <si>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</si>
  <si>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</si>
  <si>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</si>
  <si>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</si>
  <si>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</si>
  <si>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</si>
  <si>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</si>
  <si>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</si>
  <si>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</si>
  <si>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</si>
  <si>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</si>
  <si>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</si>
  <si>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</si>
  <si>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</si>
  <si>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</si>
  <si>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</si>
  <si>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</si>
  <si>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</si>
  <si>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</si>
  <si>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</si>
  <si>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</si>
  <si>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</si>
  <si>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</si>
  <si>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</si>
  <si>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</si>
  <si>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</si>
  <si>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</si>
  <si>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</si>
  <si>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</si>
  <si>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</si>
  <si>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</si>
  <si>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</si>
  <si>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</si>
  <si>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</si>
  <si>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</si>
  <si>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</si>
  <si>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</si>
  <si>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</si>
  <si>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</si>
  <si>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</si>
  <si>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</si>
  <si>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</si>
  <si>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</si>
  <si>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</si>
  <si>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</si>
  <si>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</si>
  <si>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</si>
  <si>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</si>
  <si>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</si>
  <si>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</si>
  <si>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</si>
  <si>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</si>
  <si>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</si>
  <si>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</si>
  <si>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</si>
  <si>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</si>
  <si>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</si>
  <si>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</si>
  <si>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</si>
  <si>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</si>
  <si>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</si>
  <si>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</si>
  <si>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</si>
  <si>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</si>
  <si>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</si>
  <si>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</si>
  <si>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</si>
  <si>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</si>
  <si>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</si>
  <si>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</si>
  <si>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</si>
  <si>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</si>
  <si>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</si>
  <si>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</si>
  <si>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</si>
  <si>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</si>
  <si>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</si>
  <si>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</si>
  <si>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</si>
  <si>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</si>
  <si>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</si>
  <si>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</si>
  <si>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</si>
  <si>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</si>
  <si>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</si>
  <si>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</si>
  <si>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</si>
  <si>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</si>
  <si>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</si>
  <si>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</si>
  <si>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</si>
  <si>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</si>
  <si>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</si>
  <si>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</si>
  <si>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</si>
  <si>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</si>
  <si>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</si>
  <si>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</si>
  <si>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</si>
  <si>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</si>
  <si>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</si>
  <si>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</si>
  <si>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</si>
  <si>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</si>
  <si>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</si>
  <si>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</si>
  <si>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</si>
  <si>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</si>
  <si>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</si>
  <si>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</si>
  <si>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</si>
  <si>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</si>
  <si>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</si>
  <si>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</si>
  <si>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</si>
  <si>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</si>
  <si>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</si>
  <si>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</si>
  <si>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</si>
  <si>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</si>
  <si>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</si>
  <si>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</si>
  <si>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</si>
  <si>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</si>
  <si>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</si>
  <si>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</si>
  <si>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</si>
  <si>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</si>
  <si>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</si>
  <si>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</si>
  <si>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</si>
  <si>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</si>
  <si>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</si>
  <si>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</si>
  <si>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</si>
  <si>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</si>
  <si>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</si>
  <si>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</si>
  <si>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</si>
  <si>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</si>
  <si>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</si>
  <si>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</si>
  <si>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</si>
  <si>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</si>
  <si>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</si>
  <si>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</si>
  <si>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</si>
  <si>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</si>
  <si>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</si>
  <si>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</si>
  <si>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</si>
  <si>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</si>
  <si>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</si>
  <si>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</si>
  <si>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</si>
  <si>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</si>
  <si>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</si>
  <si>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</si>
  <si>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</si>
  <si>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</si>
  <si>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</si>
  <si>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</si>
  <si>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</si>
  <si>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</si>
  <si>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</si>
  <si>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</si>
  <si>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</si>
  <si>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</si>
  <si>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</si>
  <si>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</si>
  <si>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</si>
  <si>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</si>
  <si>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</si>
  <si>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</si>
  <si>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</si>
  <si>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</si>
  <si>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</si>
  <si>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</si>
  <si>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</si>
  <si>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</si>
  <si>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</si>
  <si>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</si>
  <si>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</si>
  <si>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</si>
  <si>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</si>
  <si>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</si>
  <si>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</si>
  <si>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</si>
  <si>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</si>
  <si>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</si>
  <si>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</si>
  <si>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</si>
  <si>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</si>
  <si>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</si>
  <si>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</si>
  <si>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</si>
  <si>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</si>
  <si>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</si>
  <si>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</si>
  <si>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</si>
  <si>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</si>
  <si>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</si>
  <si>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</si>
  <si>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</si>
  <si>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</si>
  <si>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</si>
  <si>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</si>
  <si>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</si>
  <si>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</si>
  <si>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</si>
  <si>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</si>
  <si>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</si>
  <si>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</si>
  <si>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</si>
  <si>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</si>
  <si>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</si>
  <si>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</si>
  <si>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</si>
  <si>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</si>
  <si>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</si>
  <si>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</si>
  <si>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</si>
  <si>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</si>
  <si>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</si>
  <si>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</si>
  <si>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</si>
  <si>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</si>
  <si>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</si>
  <si>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</si>
  <si>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</si>
  <si>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</si>
  <si>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</si>
  <si>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</si>
  <si>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</si>
  <si>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</si>
  <si>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</si>
  <si>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</si>
  <si>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</si>
  <si>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</si>
  <si>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</si>
  <si>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</si>
  <si>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</si>
  <si>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</si>
  <si>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</si>
  <si>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</si>
  <si>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</si>
  <si>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</si>
  <si>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</si>
  <si>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</si>
  <si>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</si>
  <si>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</si>
  <si>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</si>
  <si>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</si>
  <si>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</si>
  <si>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</si>
  <si>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</si>
  <si>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IROQUOIS</t>
  </si>
  <si>
    <t>PO BOX 1, 511 N SECOND ST</t>
  </si>
  <si>
    <t>CISSNA PARK</t>
  </si>
  <si>
    <t>Dr. Daniel Hylbert</t>
  </si>
  <si>
    <t>dan.hylbert@cpschool.org</t>
  </si>
  <si>
    <t>815.457.2171</t>
  </si>
  <si>
    <t>815.457.3033</t>
  </si>
  <si>
    <t>Page 2 - Auditor's Questionnaire</t>
  </si>
  <si>
    <t>Part C - Other Findings</t>
  </si>
  <si>
    <t>Line 21 - Findings</t>
  </si>
  <si>
    <t>The District had more than 2 years' balances in the Municipal Retirement Fund</t>
  </si>
  <si>
    <t>Page 11 - Acct #1999 - Other Revenue</t>
  </si>
  <si>
    <t>Col 10 - Education - Refunds &amp; Reimbursements $6,870</t>
  </si>
  <si>
    <t>Col 10 - Education - State Library Grant $467</t>
  </si>
  <si>
    <t>Col 10 - Education - REAP Grant $29,978</t>
  </si>
  <si>
    <t>Col 40 - Transportation - Refunds &amp; Reimbursements $1,091</t>
  </si>
  <si>
    <t>2017 HEALTH LIFE SAFETY BOND</t>
  </si>
  <si>
    <t>No Applicable Contracts</t>
  </si>
  <si>
    <t>Iroquois Special Educatio Association</t>
  </si>
  <si>
    <t>Col 50 - IMRF - Refunds &amp; Reimbursements $5,162</t>
  </si>
  <si>
    <t>Page 14 - Acct #4999 - Other Restricted Revenue from Federal Sources</t>
  </si>
  <si>
    <t>Page 12 - Acct #3999 - Other Restricted Revenue from State Sources</t>
  </si>
  <si>
    <t>Cissna Park CUSD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</si>
</sst>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476250</xdr:colOff>
          <xdr:row>4</xdr:row>
          <xdr:rowOff>47625</xdr:rowOff>
        </xdr:from>
        <xdr:to>
          <xdr:col>1</xdr:col>
          <xdr:colOff>1390650</xdr:colOff>
          <xdr:row>8</xdr:row>
          <xdr:rowOff>85725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405</v>
      </c>
      <c r="J1" s="1985"/>
      <c r="K1" s="1985"/>
      <c r="L1" s="1985"/>
      <c r="M1" s="1985"/>
      <c r="N1" s="1985"/>
      <c r="O1" s="1985"/>
      <c r="P1" s="1985"/>
      <c r="Q1" s="1985"/>
      <c r="R1" s="1985"/>
      <c r="S1" s="1985"/>
    </row>
    <row r="2" spans="1:28" ht="12" customHeight="1" x14ac:dyDescent="0.2">
      <c r="A2" s="47" t="s">
        <v>1991</v>
      </c>
      <c r="D2" s="48"/>
      <c r="I2" s="1986" t="s">
        <v>979</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2073</v>
      </c>
      <c r="C5" s="26" t="s">
        <v>910</v>
      </c>
      <c r="D5" s="84"/>
      <c r="E5" s="84"/>
      <c r="H5" s="38"/>
      <c r="I5" s="1994" t="s">
        <v>680</v>
      </c>
      <c r="J5" s="1993"/>
      <c r="K5" s="1993"/>
      <c r="L5" s="1993"/>
      <c r="M5" s="1993"/>
      <c r="N5" s="1993"/>
      <c r="O5" s="1993"/>
      <c r="P5" s="1993"/>
      <c r="Q5" s="1993"/>
      <c r="R5" s="1993"/>
      <c r="S5" s="1993"/>
    </row>
    <row r="6" spans="1:28" ht="14.1" customHeight="1" x14ac:dyDescent="0.2">
      <c r="B6" s="104"/>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2073</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32038006026</v>
      </c>
      <c r="B13" s="2020"/>
      <c r="C13" s="2020"/>
      <c r="D13" s="2020"/>
      <c r="E13" s="2020"/>
      <c r="F13" s="2020"/>
      <c r="G13" s="2020"/>
      <c r="H13" s="2021"/>
      <c r="I13" s="31"/>
      <c r="J13" s="30"/>
      <c r="K13" s="28"/>
      <c r="L13" s="30"/>
      <c r="M13" s="30"/>
      <c r="N13" s="30"/>
      <c r="O13" s="30"/>
      <c r="P13" s="30"/>
      <c r="Q13" s="30"/>
      <c r="R13" s="30"/>
      <c r="S13" s="30"/>
      <c r="T13" s="2024" t="s">
        <v>2065</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2075</v>
      </c>
      <c r="B15" s="2022"/>
      <c r="C15" s="2022"/>
      <c r="D15" s="2022"/>
      <c r="E15" s="2022"/>
      <c r="F15" s="2022"/>
      <c r="G15" s="2022"/>
      <c r="H15" s="2023"/>
      <c r="T15" s="2028" t="s">
        <v>2066</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2097</v>
      </c>
      <c r="B17" s="1979"/>
      <c r="C17" s="1979"/>
      <c r="D17" s="1979"/>
      <c r="E17" s="1979"/>
      <c r="F17" s="1979"/>
      <c r="G17" s="1979"/>
      <c r="H17" s="2004"/>
      <c r="T17" s="2035" t="s">
        <v>2067</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2076</v>
      </c>
      <c r="B19" s="1964"/>
      <c r="C19" s="1964"/>
      <c r="D19" s="1964"/>
      <c r="E19" s="1964"/>
      <c r="F19" s="1964"/>
      <c r="G19" s="1964"/>
      <c r="H19" s="1944"/>
      <c r="I19" s="30"/>
      <c r="J19" s="99"/>
      <c r="K19" s="40"/>
      <c r="L19" s="38"/>
      <c r="M19" s="112" t="s">
        <v>315</v>
      </c>
      <c r="P19" s="27"/>
      <c r="Q19" s="27"/>
      <c r="R19" s="27"/>
      <c r="S19" s="31"/>
      <c r="T19" s="2018" t="s">
        <v>2068</v>
      </c>
      <c r="U19" s="1943"/>
      <c r="V19" s="1943"/>
      <c r="W19" s="1944"/>
      <c r="X19" s="2033" t="s">
        <v>2069</v>
      </c>
      <c r="Y19" s="2034"/>
      <c r="Z19" s="2031">
        <v>60942</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2077</v>
      </c>
      <c r="B21" s="1943"/>
      <c r="C21" s="1943"/>
      <c r="D21" s="1943"/>
      <c r="E21" s="1943"/>
      <c r="F21" s="1943"/>
      <c r="G21" s="1943"/>
      <c r="H21" s="1944"/>
      <c r="I21" s="1998" t="s">
        <v>678</v>
      </c>
      <c r="J21" s="1993"/>
      <c r="K21" s="1993"/>
      <c r="L21" s="1993"/>
      <c r="M21" s="1993"/>
      <c r="N21" s="1993"/>
      <c r="O21" s="1993"/>
      <c r="P21" s="1993"/>
      <c r="Q21" s="1993"/>
      <c r="R21" s="1993"/>
      <c r="S21" s="1999"/>
      <c r="T21" s="2043" t="s">
        <v>2070</v>
      </c>
      <c r="U21" s="2044"/>
      <c r="V21" s="2044"/>
      <c r="W21" s="2044"/>
      <c r="X21" s="2049" t="s">
        <v>2071</v>
      </c>
      <c r="Y21" s="2050"/>
      <c r="Z21" s="2050"/>
      <c r="AA21" s="2051"/>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c r="B23" s="1996"/>
      <c r="C23" s="1996"/>
      <c r="D23" s="1996"/>
      <c r="E23" s="1996"/>
      <c r="F23" s="1996"/>
      <c r="G23" s="1996"/>
      <c r="H23" s="1997"/>
      <c r="T23" s="2041" t="s">
        <v>2074</v>
      </c>
      <c r="U23" s="2042"/>
      <c r="V23" s="2042"/>
      <c r="W23" s="2042"/>
      <c r="X23" s="2046">
        <v>44469</v>
      </c>
      <c r="Y23" s="2047"/>
      <c r="Z23" s="2047"/>
      <c r="AA23" s="2048"/>
    </row>
    <row r="24" spans="1:27" ht="14.1" customHeight="1" x14ac:dyDescent="0.2">
      <c r="A24" s="88" t="s">
        <v>677</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v>60924</v>
      </c>
      <c r="B25" s="1943"/>
      <c r="C25" s="1943"/>
      <c r="D25" s="1943"/>
      <c r="E25" s="1943"/>
      <c r="F25" s="1943"/>
      <c r="G25" s="1943"/>
      <c r="H25" s="1944"/>
      <c r="I25" s="113"/>
      <c r="J25" s="1967"/>
      <c r="K25" s="1967"/>
      <c r="L25" s="1967"/>
      <c r="M25" s="1967"/>
      <c r="N25" s="1967"/>
      <c r="O25" s="1967"/>
      <c r="P25" s="1967"/>
      <c r="Q25" s="1967"/>
      <c r="R25" s="1967"/>
      <c r="S25" s="1968"/>
      <c r="T25" s="2038" t="s">
        <v>2072</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t="s">
        <v>2078</v>
      </c>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t="s">
        <v>2079</v>
      </c>
      <c r="B40" s="1957"/>
      <c r="C40" s="1958"/>
      <c r="D40" s="1958"/>
      <c r="E40" s="1958"/>
      <c r="F40" s="1959"/>
      <c r="G40" s="1959"/>
      <c r="H40" s="1960"/>
      <c r="I40" s="1981"/>
      <c r="J40" s="1982"/>
      <c r="K40" s="1982"/>
      <c r="L40" s="1982"/>
      <c r="M40" s="1982"/>
      <c r="N40" s="1982"/>
      <c r="O40" s="1982"/>
      <c r="P40" s="1982"/>
      <c r="Q40" s="1982"/>
      <c r="R40" s="1982"/>
      <c r="S40" s="1983"/>
      <c r="T40" s="1981"/>
      <c r="U40" s="2045"/>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t="s">
        <v>2080</v>
      </c>
      <c r="B42" s="1962"/>
      <c r="C42" s="1963"/>
      <c r="D42" s="1961" t="s">
        <v>2081</v>
      </c>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B51" sqref="B5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37280904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3.9E-2</v>
      </c>
      <c r="E10" s="356" t="s">
        <v>1005</v>
      </c>
      <c r="F10" s="355">
        <v>5.0000000000000001E-3</v>
      </c>
      <c r="G10" s="356" t="s">
        <v>1005</v>
      </c>
      <c r="H10" s="355">
        <v>2E-3</v>
      </c>
      <c r="I10" s="356" t="s">
        <v>1006</v>
      </c>
      <c r="J10" s="1732">
        <f>ROUND(D10+F10+H10,5)</f>
        <v>4.5999999999999999E-2</v>
      </c>
      <c r="K10" s="222"/>
      <c r="L10" s="355">
        <v>5.0000000000000001E-4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3115953</v>
      </c>
      <c r="E16" s="356"/>
      <c r="F16" s="1733">
        <f>SUM('Acct Summary 7-8'!C17,'Acct Summary 7-8'!D17,'Acct Summary 7-8'!F17)</f>
        <v>2805956</v>
      </c>
      <c r="G16" s="356"/>
      <c r="H16" s="1733">
        <f>SUM(D16-F16)</f>
        <v>309997</v>
      </c>
      <c r="I16" s="222"/>
      <c r="J16" s="1733">
        <f>SUM('Acct Summary 7-8'!C81,'Acct Summary 7-8'!D81,'Acct Summary 7-8'!F81,'Acct Summary 7-8'!I81)</f>
        <v>3070836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5144764.7520000003</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475000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Cissna Park CUSD 6</v>
      </c>
      <c r="E7" s="391"/>
      <c r="G7" s="252"/>
      <c r="H7" s="387"/>
      <c r="I7" s="387"/>
      <c r="J7" s="387"/>
      <c r="K7" s="387"/>
      <c r="L7" s="329"/>
      <c r="M7" s="329"/>
      <c r="N7" s="329"/>
      <c r="O7" s="329"/>
      <c r="P7" s="329"/>
    </row>
    <row r="8" spans="1:18" ht="12.75" x14ac:dyDescent="0.2">
      <c r="A8" s="329"/>
      <c r="B8" s="329"/>
      <c r="C8" s="389" t="s">
        <v>1125</v>
      </c>
      <c r="D8" s="392">
        <f>COVER!A13</f>
        <v>32038006026</v>
      </c>
      <c r="E8" s="393"/>
      <c r="G8" s="329"/>
      <c r="H8" s="329"/>
      <c r="I8" s="329"/>
      <c r="J8" s="329"/>
      <c r="K8" s="329"/>
      <c r="L8" s="329"/>
      <c r="M8" s="329"/>
      <c r="N8" s="329"/>
      <c r="O8" s="329"/>
      <c r="P8" s="329"/>
    </row>
    <row r="9" spans="1:18" ht="12.75" x14ac:dyDescent="0.2">
      <c r="A9" s="329"/>
      <c r="B9" s="329"/>
      <c r="C9" s="389" t="s">
        <v>713</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3070836</v>
      </c>
      <c r="I12" s="404"/>
      <c r="J12" s="404"/>
      <c r="K12" s="405">
        <f>TRUNC((H12/H13*100000),5)/100000</f>
        <v>0.98552064159999997</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3115953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2805956</v>
      </c>
      <c r="I17" s="404"/>
      <c r="J17" s="416"/>
      <c r="K17" s="405">
        <f>TRUNC((H17/H18*100000),5)/100000</f>
        <v>0.9005129409</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3115953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3070836</v>
      </c>
      <c r="I24" s="422"/>
      <c r="J24" s="422"/>
      <c r="K24" s="423">
        <f>TRUNC(((H24/H25*100000)/100000),2)</f>
        <v>393.98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7794.32222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1457683.3463999999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475000</v>
      </c>
      <c r="I32" s="420"/>
      <c r="J32" s="420"/>
      <c r="K32" s="423">
        <f>TRUNC(100-((((H32/H33*100))*100)/100),2)</f>
        <v>90.76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5144764.7520000003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2429757</v>
      </c>
      <c r="D4" s="466">
        <v>439346</v>
      </c>
      <c r="E4" s="466">
        <v>1435</v>
      </c>
      <c r="F4" s="466">
        <v>201541</v>
      </c>
      <c r="G4" s="466">
        <v>182051</v>
      </c>
      <c r="H4" s="466"/>
      <c r="I4" s="466">
        <v>192</v>
      </c>
      <c r="J4" s="467">
        <v>207580</v>
      </c>
      <c r="K4" s="466">
        <v>211036</v>
      </c>
      <c r="L4" s="466">
        <v>112301</v>
      </c>
      <c r="M4" s="468"/>
      <c r="N4" s="469"/>
    </row>
    <row r="5" spans="1:14" x14ac:dyDescent="0.2">
      <c r="A5" s="463" t="s">
        <v>992</v>
      </c>
      <c r="B5" s="470">
        <v>120</v>
      </c>
      <c r="C5" s="465"/>
      <c r="D5" s="466"/>
      <c r="E5" s="466"/>
      <c r="F5" s="466"/>
      <c r="G5" s="466"/>
      <c r="H5" s="466"/>
      <c r="I5" s="466"/>
      <c r="J5" s="467"/>
      <c r="K5" s="471"/>
      <c r="L5" s="472">
        <v>9948</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2429757</v>
      </c>
      <c r="D13" s="1737">
        <f t="shared" ref="D13:L13" si="0">SUM(D4:D12)</f>
        <v>439346</v>
      </c>
      <c r="E13" s="1737">
        <f t="shared" si="0"/>
        <v>1435</v>
      </c>
      <c r="F13" s="1737">
        <f t="shared" si="0"/>
        <v>201541</v>
      </c>
      <c r="G13" s="1737">
        <f t="shared" si="0"/>
        <v>182051</v>
      </c>
      <c r="H13" s="1737">
        <f t="shared" si="0"/>
        <v>0</v>
      </c>
      <c r="I13" s="1737">
        <f t="shared" si="0"/>
        <v>192</v>
      </c>
      <c r="J13" s="1737">
        <f t="shared" si="0"/>
        <v>207580</v>
      </c>
      <c r="K13" s="1737">
        <f t="shared" si="0"/>
        <v>211036</v>
      </c>
      <c r="L13" s="1737">
        <f t="shared" si="0"/>
        <v>122249</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19000</v>
      </c>
      <c r="N16" s="484"/>
    </row>
    <row r="17" spans="1:14" s="485" customFormat="1" ht="12.75" customHeight="1" x14ac:dyDescent="0.2">
      <c r="A17" s="482" t="s">
        <v>1403</v>
      </c>
      <c r="B17" s="483">
        <v>230</v>
      </c>
      <c r="C17" s="477"/>
      <c r="D17" s="477"/>
      <c r="E17" s="477"/>
      <c r="F17" s="477"/>
      <c r="G17" s="477"/>
      <c r="H17" s="477"/>
      <c r="I17" s="477"/>
      <c r="J17" s="477"/>
      <c r="K17" s="477"/>
      <c r="L17" s="477"/>
      <c r="M17" s="467">
        <v>2301292</v>
      </c>
      <c r="N17" s="484"/>
    </row>
    <row r="18" spans="1:14" s="485" customFormat="1" ht="12.75" customHeight="1" x14ac:dyDescent="0.2">
      <c r="A18" s="482" t="s">
        <v>1404</v>
      </c>
      <c r="B18" s="483">
        <v>240</v>
      </c>
      <c r="C18" s="477"/>
      <c r="D18" s="477"/>
      <c r="E18" s="477"/>
      <c r="F18" s="477"/>
      <c r="G18" s="477"/>
      <c r="H18" s="477"/>
      <c r="I18" s="477"/>
      <c r="J18" s="477"/>
      <c r="K18" s="477"/>
      <c r="L18" s="477"/>
      <c r="M18" s="467">
        <v>1883098</v>
      </c>
      <c r="N18" s="484"/>
    </row>
    <row r="19" spans="1:14" s="485" customFormat="1" ht="12.75" customHeight="1" x14ac:dyDescent="0.2">
      <c r="A19" s="482" t="s">
        <v>1405</v>
      </c>
      <c r="B19" s="483">
        <v>250</v>
      </c>
      <c r="C19" s="477"/>
      <c r="D19" s="477"/>
      <c r="E19" s="477"/>
      <c r="F19" s="477"/>
      <c r="G19" s="477"/>
      <c r="H19" s="477"/>
      <c r="I19" s="477"/>
      <c r="J19" s="477"/>
      <c r="K19" s="477"/>
      <c r="L19" s="477"/>
      <c r="M19" s="467">
        <v>1117937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1435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473565</v>
      </c>
    </row>
    <row r="23" spans="1:14" ht="13.5" customHeight="1" thickBot="1" x14ac:dyDescent="0.25">
      <c r="A23" s="1736" t="s">
        <v>643</v>
      </c>
      <c r="B23" s="1741"/>
      <c r="C23" s="468"/>
      <c r="D23" s="468"/>
      <c r="E23" s="468"/>
      <c r="F23" s="468"/>
      <c r="G23" s="468"/>
      <c r="H23" s="468"/>
      <c r="I23" s="468"/>
      <c r="J23" s="468"/>
      <c r="K23" s="468"/>
      <c r="L23" s="468"/>
      <c r="M23" s="1688">
        <f>SUM(M15:M22)</f>
        <v>5321327</v>
      </c>
      <c r="N23" s="1688">
        <f>SUM(N21:N22)</f>
        <v>475000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122249</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122249</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475000</v>
      </c>
    </row>
    <row r="37" spans="1:14" ht="13.5" thickBot="1" x14ac:dyDescent="0.25">
      <c r="A37" s="1736" t="s">
        <v>653</v>
      </c>
      <c r="B37" s="1741"/>
      <c r="C37" s="477"/>
      <c r="D37" s="477"/>
      <c r="E37" s="477"/>
      <c r="F37" s="477"/>
      <c r="G37" s="477"/>
      <c r="H37" s="477"/>
      <c r="I37" s="477"/>
      <c r="J37" s="477"/>
      <c r="K37" s="477"/>
      <c r="L37" s="480"/>
      <c r="M37" s="468"/>
      <c r="N37" s="1688">
        <f>SUM(N36:N36)</f>
        <v>475000</v>
      </c>
    </row>
    <row r="38" spans="1:14" s="329" customFormat="1" ht="13.5" customHeight="1" thickTop="1" x14ac:dyDescent="0.2">
      <c r="A38" s="496" t="s">
        <v>420</v>
      </c>
      <c r="B38" s="483">
        <v>714</v>
      </c>
      <c r="C38" s="466"/>
      <c r="D38" s="466"/>
      <c r="E38" s="466"/>
      <c r="F38" s="466"/>
      <c r="G38" s="466">
        <v>182051</v>
      </c>
      <c r="H38" s="466"/>
      <c r="I38" s="466"/>
      <c r="J38" s="467"/>
      <c r="K38" s="466"/>
      <c r="L38" s="481"/>
      <c r="M38" s="497"/>
      <c r="N38" s="497"/>
    </row>
    <row r="39" spans="1:14" s="329" customFormat="1" ht="13.5" customHeight="1" x14ac:dyDescent="0.2">
      <c r="A39" s="496" t="s">
        <v>342</v>
      </c>
      <c r="B39" s="483">
        <v>730</v>
      </c>
      <c r="C39" s="466">
        <v>2429757</v>
      </c>
      <c r="D39" s="466">
        <v>439346</v>
      </c>
      <c r="E39" s="466">
        <v>1435</v>
      </c>
      <c r="F39" s="466">
        <v>201541</v>
      </c>
      <c r="G39" s="466"/>
      <c r="H39" s="466"/>
      <c r="I39" s="466">
        <v>192</v>
      </c>
      <c r="J39" s="467">
        <v>207580</v>
      </c>
      <c r="K39" s="466">
        <v>211036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5321327</v>
      </c>
      <c r="N40" s="497"/>
    </row>
    <row r="41" spans="1:14" ht="13.5" customHeight="1" thickBot="1" x14ac:dyDescent="0.25">
      <c r="A41" s="1736" t="s">
        <v>655</v>
      </c>
      <c r="B41" s="1706"/>
      <c r="C41" s="1688">
        <f>(SUM(C34,C37,C38,C39))</f>
        <v>2429757</v>
      </c>
      <c r="D41" s="1688">
        <f t="shared" ref="D41:L41" si="2">SUM(D34,D37,D38:D39)</f>
        <v>439346</v>
      </c>
      <c r="E41" s="1688">
        <f t="shared" si="2"/>
        <v>1435</v>
      </c>
      <c r="F41" s="1688">
        <f t="shared" si="2"/>
        <v>201541</v>
      </c>
      <c r="G41" s="1688">
        <f t="shared" si="2"/>
        <v>182051</v>
      </c>
      <c r="H41" s="1688">
        <f t="shared" si="2"/>
        <v>0</v>
      </c>
      <c r="I41" s="1688">
        <f t="shared" si="2"/>
        <v>192</v>
      </c>
      <c r="J41" s="1688">
        <f t="shared" si="2"/>
        <v>207580</v>
      </c>
      <c r="K41" s="1688">
        <f t="shared" si="2"/>
        <v>211036</v>
      </c>
      <c r="L41" s="1688">
        <f t="shared" si="2"/>
        <v>122249</v>
      </c>
      <c r="M41" s="1688">
        <f>SUM(M40)</f>
        <v>5321327</v>
      </c>
      <c r="N41" s="1688">
        <f>SUM(N37)</f>
        <v>475000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1722489</v>
      </c>
      <c r="D4" s="1742">
        <f>'Revenues 9-14'!D109</f>
        <v>271783</v>
      </c>
      <c r="E4" s="1742">
        <f>'Revenues 9-14'!E109</f>
        <v>92502</v>
      </c>
      <c r="F4" s="1742">
        <f>'Revenues 9-14'!F109</f>
        <v>72294</v>
      </c>
      <c r="G4" s="1742">
        <f>'Revenues 9-14'!G109</f>
        <v>98611</v>
      </c>
      <c r="H4" s="1742">
        <f>'Revenues 9-14'!H109</f>
        <v>0</v>
      </c>
      <c r="I4" s="1742">
        <f>'Revenues 9-14'!I109</f>
        <v>17771</v>
      </c>
      <c r="J4" s="1742">
        <f>'Revenues 9-14'!J109</f>
        <v>86947</v>
      </c>
      <c r="K4" s="1742">
        <f>'Revenues 9-14'!K109</f>
        <v>107</v>
      </c>
      <c r="L4" s="347"/>
    </row>
    <row r="5" spans="1:13" ht="15.75" customHeight="1" x14ac:dyDescent="0.2">
      <c r="A5" s="1576" t="s">
        <v>1500</v>
      </c>
      <c r="B5" s="1577">
        <v>2000</v>
      </c>
      <c r="C5" s="1743">
        <f>'Revenues 9-14'!C114</f>
        <v>17912</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785066</v>
      </c>
      <c r="D6" s="1743">
        <f>'Revenues 9-14'!D170</f>
        <v>0</v>
      </c>
      <c r="E6" s="1743">
        <f>'Revenues 9-14'!E170</f>
        <v>0</v>
      </c>
      <c r="F6" s="1743">
        <f>'Revenues 9-14'!F170</f>
        <v>94389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134249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2659716</v>
      </c>
      <c r="D8" s="1688">
        <f t="shared" ref="D8:K8" si="0">SUM(D4:D7)</f>
        <v>271783</v>
      </c>
      <c r="E8" s="1688">
        <f t="shared" si="0"/>
        <v>92502</v>
      </c>
      <c r="F8" s="1688">
        <f t="shared" si="0"/>
        <v>166683</v>
      </c>
      <c r="G8" s="1688">
        <f t="shared" si="0"/>
        <v>98611</v>
      </c>
      <c r="H8" s="1688">
        <f t="shared" si="0"/>
        <v>0</v>
      </c>
      <c r="I8" s="1688">
        <f t="shared" si="0"/>
        <v>17771</v>
      </c>
      <c r="J8" s="1688">
        <f t="shared" si="0"/>
        <v>86947</v>
      </c>
      <c r="K8" s="1688">
        <f t="shared" si="0"/>
        <v>107</v>
      </c>
      <c r="L8" s="347"/>
    </row>
    <row r="9" spans="1:13" ht="15.75" thickTop="1" x14ac:dyDescent="0.2">
      <c r="A9" s="514" t="s">
        <v>1653</v>
      </c>
      <c r="B9" s="515">
        <v>3998</v>
      </c>
      <c r="C9" s="481">
        <v>1022859</v>
      </c>
      <c r="D9" s="516"/>
      <c r="E9" s="481"/>
      <c r="F9" s="481"/>
      <c r="G9" s="517"/>
      <c r="H9" s="481"/>
      <c r="I9" s="509" t="s">
        <v>1169</v>
      </c>
      <c r="J9" s="478"/>
      <c r="K9" s="481"/>
      <c r="L9" s="347"/>
    </row>
    <row r="10" spans="1:13" s="519" customFormat="1" ht="13.5" thickBot="1" x14ac:dyDescent="0.25">
      <c r="A10" s="1736" t="s">
        <v>1173</v>
      </c>
      <c r="B10" s="1709"/>
      <c r="C10" s="1688">
        <f>SUM(C8:C9)</f>
        <v>3682575</v>
      </c>
      <c r="D10" s="1688">
        <f t="shared" ref="D10:K10" si="1">SUM(D8:D9)</f>
        <v>271783</v>
      </c>
      <c r="E10" s="1688">
        <f t="shared" si="1"/>
        <v>92502</v>
      </c>
      <c r="F10" s="1688">
        <f t="shared" si="1"/>
        <v>166683</v>
      </c>
      <c r="G10" s="1688">
        <f t="shared" si="1"/>
        <v>98611</v>
      </c>
      <c r="H10" s="1688">
        <f t="shared" si="1"/>
        <v>0</v>
      </c>
      <c r="I10" s="1688">
        <f t="shared" si="1"/>
        <v>17771</v>
      </c>
      <c r="J10" s="1688">
        <f t="shared" si="1"/>
        <v>86947</v>
      </c>
      <c r="K10" s="1688">
        <f t="shared" si="1"/>
        <v>107</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1423702</v>
      </c>
      <c r="D12" s="520" t="s">
        <v>1169</v>
      </c>
      <c r="E12" s="468" t="s">
        <v>1169</v>
      </c>
      <c r="F12" s="468" t="s">
        <v>1169</v>
      </c>
      <c r="G12" s="1742">
        <f>'Expenditures 15-22'!K229</f>
        <v>16761</v>
      </c>
      <c r="H12" s="521"/>
      <c r="I12" s="468" t="s">
        <v>1169</v>
      </c>
      <c r="J12" s="468" t="s">
        <v>1169</v>
      </c>
      <c r="K12" s="521" t="s">
        <v>1169</v>
      </c>
      <c r="L12" s="347"/>
    </row>
    <row r="13" spans="1:13" ht="15.75" customHeight="1" x14ac:dyDescent="0.2">
      <c r="A13" s="1576" t="s">
        <v>457</v>
      </c>
      <c r="B13" s="1578">
        <v>2000</v>
      </c>
      <c r="C13" s="1743">
        <f>'Expenditures 15-22'!K74</f>
        <v>735595</v>
      </c>
      <c r="D13" s="1743">
        <f>'Expenditures 15-22'!K129</f>
        <v>224804</v>
      </c>
      <c r="E13" s="469" t="s">
        <v>1169</v>
      </c>
      <c r="F13" s="1743">
        <f>'Expenditures 15-22'!K184</f>
        <v>109998</v>
      </c>
      <c r="G13" s="1743">
        <f>'Expenditures 15-22'!K279</f>
        <v>45973</v>
      </c>
      <c r="H13" s="1743">
        <f>'Expenditures 15-22'!K303</f>
        <v>0</v>
      </c>
      <c r="I13" s="468" t="s">
        <v>1169</v>
      </c>
      <c r="J13" s="1743">
        <f>'Expenditures 15-22'!K330</f>
        <v>46258</v>
      </c>
      <c r="K13" s="1747">
        <f>'Expenditures 15-22'!K352</f>
        <v>256313</v>
      </c>
      <c r="L13" s="347"/>
    </row>
    <row r="14" spans="1:13" ht="15.75" customHeight="1" x14ac:dyDescent="0.2">
      <c r="A14" s="1576" t="s">
        <v>449</v>
      </c>
      <c r="B14" s="1578">
        <v>3000</v>
      </c>
      <c r="C14" s="1743">
        <f>'Expenditures 15-22'!K75</f>
        <v>120842</v>
      </c>
      <c r="D14" s="1743">
        <f>'Expenditures 15-22'!K130</f>
        <v>0</v>
      </c>
      <c r="E14" s="520" t="s">
        <v>1169</v>
      </c>
      <c r="F14" s="1743">
        <f>'Expenditures 15-22'!K185</f>
        <v>0</v>
      </c>
      <c r="G14" s="1743">
        <f>'Expenditures 15-22'!K280</f>
        <v>5162</v>
      </c>
      <c r="H14" s="512"/>
      <c r="I14" s="468" t="s">
        <v>1169</v>
      </c>
      <c r="J14" s="468" t="s">
        <v>1169</v>
      </c>
      <c r="K14" s="512" t="s">
        <v>1169</v>
      </c>
      <c r="L14" s="347"/>
    </row>
    <row r="15" spans="1:13" ht="15.75" customHeight="1" x14ac:dyDescent="0.2">
      <c r="A15" s="1576" t="s">
        <v>107</v>
      </c>
      <c r="B15" s="1578">
        <v>4000</v>
      </c>
      <c r="C15" s="1743">
        <f>'Expenditures 15-22'!K102</f>
        <v>174522</v>
      </c>
      <c r="D15" s="1743">
        <f>'Expenditures 15-22'!K139</f>
        <v>3600</v>
      </c>
      <c r="E15" s="1743">
        <f>'Expenditures 15-22'!K160</f>
        <v>0</v>
      </c>
      <c r="F15" s="1743">
        <f>'Expenditures 15-22'!K196</f>
        <v>12893</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92646</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2454661</v>
      </c>
      <c r="D17" s="1688">
        <f t="shared" si="2"/>
        <v>228404</v>
      </c>
      <c r="E17" s="1688">
        <f t="shared" si="2"/>
        <v>92646</v>
      </c>
      <c r="F17" s="1688">
        <f t="shared" si="2"/>
        <v>122891</v>
      </c>
      <c r="G17" s="1688">
        <f t="shared" si="2"/>
        <v>67896</v>
      </c>
      <c r="H17" s="1688">
        <f t="shared" si="2"/>
        <v>0</v>
      </c>
      <c r="I17" s="468"/>
      <c r="J17" s="1688">
        <f>SUM(J12:J16)</f>
        <v>46258</v>
      </c>
      <c r="K17" s="1688">
        <f>SUM(K12:K16)</f>
        <v>256313</v>
      </c>
      <c r="L17" s="347"/>
    </row>
    <row r="18" spans="1:12" ht="15" customHeight="1" thickTop="1" x14ac:dyDescent="0.2">
      <c r="A18" s="1744" t="s">
        <v>1654</v>
      </c>
      <c r="B18" s="1745">
        <v>4180</v>
      </c>
      <c r="C18" s="1742">
        <f t="shared" ref="C18:H18" si="3">C9</f>
        <v>1022859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3477520</v>
      </c>
      <c r="D19" s="1688">
        <f t="shared" si="4"/>
        <v>228404</v>
      </c>
      <c r="E19" s="1688">
        <f t="shared" si="4"/>
        <v>92646</v>
      </c>
      <c r="F19" s="1688">
        <f t="shared" si="4"/>
        <v>122891</v>
      </c>
      <c r="G19" s="1688">
        <f t="shared" si="4"/>
        <v>67896</v>
      </c>
      <c r="H19" s="1688">
        <f t="shared" si="4"/>
        <v>0</v>
      </c>
      <c r="I19" s="468"/>
      <c r="J19" s="1688">
        <f>SUM(J17:J18)</f>
        <v>46258</v>
      </c>
      <c r="K19" s="1688">
        <f>SUM(K17:K18)</f>
        <v>256313</v>
      </c>
      <c r="L19" s="347"/>
    </row>
    <row r="20" spans="1:12" ht="16.5" thickTop="1" thickBot="1" x14ac:dyDescent="0.25">
      <c r="A20" s="2128" t="s">
        <v>1655</v>
      </c>
      <c r="B20" s="2129"/>
      <c r="C20" s="1746">
        <f>C8-C17</f>
        <v>205055</v>
      </c>
      <c r="D20" s="1746">
        <f t="shared" ref="D20:K20" si="5">D8-D17</f>
        <v>43379</v>
      </c>
      <c r="E20" s="1746">
        <f t="shared" si="5"/>
        <v>-144</v>
      </c>
      <c r="F20" s="1746">
        <f t="shared" si="5"/>
        <v>43792</v>
      </c>
      <c r="G20" s="1746">
        <f t="shared" si="5"/>
        <v>30715</v>
      </c>
      <c r="H20" s="1746">
        <f t="shared" si="5"/>
        <v>0</v>
      </c>
      <c r="I20" s="1746">
        <f t="shared" si="5"/>
        <v>17771</v>
      </c>
      <c r="J20" s="1746">
        <f t="shared" si="5"/>
        <v>40689</v>
      </c>
      <c r="K20" s="1746">
        <f t="shared" si="5"/>
        <v>-256206</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18000</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18000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18000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18000</v>
      </c>
      <c r="J76" s="1703">
        <f t="shared" si="7"/>
        <v>0</v>
      </c>
      <c r="K76" s="1703">
        <f t="shared" si="7"/>
        <v>0</v>
      </c>
      <c r="L76" s="524"/>
    </row>
    <row r="77" spans="1:12" ht="14.25" thickTop="1" thickBot="1" x14ac:dyDescent="0.25">
      <c r="A77" s="2120" t="s">
        <v>1177</v>
      </c>
      <c r="B77" s="2121"/>
      <c r="C77" s="1703">
        <f t="shared" ref="C77:K77" si="8">C44-C76</f>
        <v>18000</v>
      </c>
      <c r="D77" s="1703">
        <f t="shared" si="8"/>
        <v>0</v>
      </c>
      <c r="E77" s="1703">
        <f t="shared" si="8"/>
        <v>0</v>
      </c>
      <c r="F77" s="1703">
        <f t="shared" si="8"/>
        <v>0</v>
      </c>
      <c r="G77" s="1703">
        <f t="shared" si="8"/>
        <v>0</v>
      </c>
      <c r="H77" s="1703">
        <f t="shared" si="8"/>
        <v>0</v>
      </c>
      <c r="I77" s="1703">
        <f t="shared" si="8"/>
        <v>-18000</v>
      </c>
      <c r="J77" s="1703">
        <f t="shared" si="8"/>
        <v>0</v>
      </c>
      <c r="K77" s="1703">
        <f t="shared" si="8"/>
        <v>0</v>
      </c>
      <c r="L77" s="347"/>
    </row>
    <row r="78" spans="1:12" ht="21.75" customHeight="1" thickTop="1" thickBot="1" x14ac:dyDescent="0.25">
      <c r="A78" s="2124" t="s">
        <v>597</v>
      </c>
      <c r="B78" s="2125"/>
      <c r="C78" s="1702">
        <f t="shared" ref="C78:K78" si="9">C20+C77</f>
        <v>223055</v>
      </c>
      <c r="D78" s="1702">
        <f t="shared" si="9"/>
        <v>43379</v>
      </c>
      <c r="E78" s="1702">
        <f t="shared" si="9"/>
        <v>-144</v>
      </c>
      <c r="F78" s="1702">
        <f t="shared" si="9"/>
        <v>43792</v>
      </c>
      <c r="G78" s="1702">
        <f t="shared" si="9"/>
        <v>30715</v>
      </c>
      <c r="H78" s="1702">
        <f t="shared" si="9"/>
        <v>0</v>
      </c>
      <c r="I78" s="1702">
        <f t="shared" si="9"/>
        <v>-229</v>
      </c>
      <c r="J78" s="1702">
        <f t="shared" si="9"/>
        <v>40689</v>
      </c>
      <c r="K78" s="1702">
        <f t="shared" si="9"/>
        <v>-256206</v>
      </c>
      <c r="L78" s="533"/>
    </row>
    <row r="79" spans="1:12" ht="13.5" thickTop="1" x14ac:dyDescent="0.2">
      <c r="A79" s="1494" t="s">
        <v>1947</v>
      </c>
      <c r="B79" s="534"/>
      <c r="C79" s="478">
        <v>2206702</v>
      </c>
      <c r="D79" s="535">
        <v>395967</v>
      </c>
      <c r="E79" s="535">
        <v>1579</v>
      </c>
      <c r="F79" s="535">
        <v>157749</v>
      </c>
      <c r="G79" s="535">
        <v>151336</v>
      </c>
      <c r="H79" s="535"/>
      <c r="I79" s="535">
        <v>421</v>
      </c>
      <c r="J79" s="535">
        <v>166891</v>
      </c>
      <c r="K79" s="535">
        <v>467242</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2429757</v>
      </c>
      <c r="D81" s="1688">
        <f>SUM(D78:D80)</f>
        <v>439346</v>
      </c>
      <c r="E81" s="1688">
        <f t="shared" ref="E81:K81" si="10">SUM(E78:E80)</f>
        <v>1435</v>
      </c>
      <c r="F81" s="1688">
        <f t="shared" si="10"/>
        <v>201541</v>
      </c>
      <c r="G81" s="1688">
        <f t="shared" si="10"/>
        <v>182051</v>
      </c>
      <c r="H81" s="1688">
        <f t="shared" si="10"/>
        <v>0</v>
      </c>
      <c r="I81" s="1688">
        <f t="shared" si="10"/>
        <v>192</v>
      </c>
      <c r="J81" s="1688">
        <f t="shared" si="10"/>
        <v>207580</v>
      </c>
      <c r="K81" s="1688">
        <f t="shared" si="10"/>
        <v>211036</v>
      </c>
      <c r="L81" s="347"/>
    </row>
    <row r="82" spans="1:12" ht="0.75" customHeight="1" thickTop="1" thickBot="1" x14ac:dyDescent="0.25">
      <c r="A82" s="536" t="s">
        <v>343</v>
      </c>
      <c r="B82" s="537"/>
      <c r="C82" s="538">
        <f>(C81-C79)</f>
        <v>223055</v>
      </c>
      <c r="D82" s="538">
        <f t="shared" ref="D82:K82" si="11">(D81-D79)</f>
        <v>43379</v>
      </c>
      <c r="E82" s="538">
        <f t="shared" si="11"/>
        <v>-144</v>
      </c>
      <c r="F82" s="538">
        <f t="shared" si="11"/>
        <v>43792</v>
      </c>
      <c r="G82" s="538">
        <f t="shared" si="11"/>
        <v>30715</v>
      </c>
      <c r="H82" s="538">
        <f t="shared" si="11"/>
        <v>0</v>
      </c>
      <c r="I82" s="538">
        <f t="shared" si="11"/>
        <v>-229</v>
      </c>
      <c r="J82" s="538">
        <f t="shared" si="11"/>
        <v>40689</v>
      </c>
      <c r="K82" s="538">
        <f t="shared" si="11"/>
        <v>-256206</v>
      </c>
    </row>
    <row r="83" spans="1:12" ht="14.25" hidden="1" thickTop="1" thickBot="1" x14ac:dyDescent="0.25">
      <c r="A83" s="539" t="s">
        <v>344</v>
      </c>
      <c r="B83" s="464"/>
      <c r="C83" s="540">
        <f>C82/C81</f>
        <v>9.1801361206079457E-2</v>
      </c>
      <c r="D83" s="540">
        <f t="shared" ref="D83:K83" si="12">D82/D81</f>
        <v>9.8735393061505056E-2</v>
      </c>
      <c r="E83" s="540">
        <f t="shared" si="12"/>
        <v>-0.10034843205574913</v>
      </c>
      <c r="F83" s="540">
        <f t="shared" si="12"/>
        <v>0.21728581281228138</v>
      </c>
      <c r="G83" s="540">
        <f t="shared" si="12"/>
        <v>0.16871645857479498</v>
      </c>
      <c r="H83" s="540" t="e">
        <f t="shared" si="12"/>
        <v>#DIV/0!</v>
      </c>
      <c r="I83" s="540">
        <f t="shared" si="12"/>
        <v>-1.1927083333333333</v>
      </c>
      <c r="J83" s="540">
        <f t="shared" si="12"/>
        <v>0.19601599383370266</v>
      </c>
      <c r="K83" s="540">
        <f t="shared" si="12"/>
        <v>-1.2140393108284842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14" activePane="bottomLeft" state="frozen"/>
      <selection pane="bottomLeft" activeCell="C117" sqref="C11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1377609</v>
      </c>
      <c r="D5" s="481">
        <v>176616</v>
      </c>
      <c r="E5" s="466">
        <v>92452</v>
      </c>
      <c r="F5" s="548">
        <v>70647</v>
      </c>
      <c r="G5" s="466">
        <v>43811</v>
      </c>
      <c r="H5" s="466"/>
      <c r="I5" s="466">
        <v>17662</v>
      </c>
      <c r="J5" s="467">
        <v>86248</v>
      </c>
      <c r="K5" s="466"/>
    </row>
    <row r="6" spans="1:12" ht="15" x14ac:dyDescent="0.2">
      <c r="A6" s="463" t="s">
        <v>1662</v>
      </c>
      <c r="B6" s="470">
        <v>1130</v>
      </c>
      <c r="C6" s="466">
        <v>13662</v>
      </c>
      <c r="D6" s="466">
        <v>4000</v>
      </c>
      <c r="E6" s="475"/>
      <c r="F6" s="475"/>
      <c r="G6" s="468"/>
      <c r="H6" s="468"/>
      <c r="I6" s="468"/>
      <c r="J6" s="468"/>
      <c r="K6" s="468"/>
    </row>
    <row r="7" spans="1:12" x14ac:dyDescent="0.2">
      <c r="A7" s="463" t="s">
        <v>110</v>
      </c>
      <c r="B7" s="549">
        <v>1140</v>
      </c>
      <c r="C7" s="466">
        <v>14130</v>
      </c>
      <c r="D7" s="466"/>
      <c r="E7" s="468"/>
      <c r="F7" s="467"/>
      <c r="G7" s="467"/>
      <c r="H7" s="467"/>
      <c r="I7" s="468"/>
      <c r="J7" s="468"/>
      <c r="K7" s="468"/>
    </row>
    <row r="8" spans="1:12" x14ac:dyDescent="0.2">
      <c r="A8" s="463" t="s">
        <v>413</v>
      </c>
      <c r="B8" s="470">
        <v>1150</v>
      </c>
      <c r="C8" s="475"/>
      <c r="D8" s="475"/>
      <c r="E8" s="477"/>
      <c r="F8" s="477"/>
      <c r="G8" s="481">
        <v>46001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1405401</v>
      </c>
      <c r="D12" s="1707">
        <f t="shared" si="0"/>
        <v>180616</v>
      </c>
      <c r="E12" s="1707">
        <f t="shared" si="0"/>
        <v>92452</v>
      </c>
      <c r="F12" s="1707">
        <f t="shared" si="0"/>
        <v>70647</v>
      </c>
      <c r="G12" s="1707">
        <f t="shared" si="0"/>
        <v>89812</v>
      </c>
      <c r="H12" s="1707">
        <f t="shared" si="0"/>
        <v>0</v>
      </c>
      <c r="I12" s="1707">
        <f t="shared" si="0"/>
        <v>17662</v>
      </c>
      <c r="J12" s="1707">
        <f t="shared" si="0"/>
        <v>86248</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67607</v>
      </c>
      <c r="E16" s="466"/>
      <c r="F16" s="466"/>
      <c r="G16" s="466">
        <v>3000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67607</v>
      </c>
      <c r="E18" s="1710">
        <f t="shared" si="1"/>
        <v>0</v>
      </c>
      <c r="F18" s="1710">
        <f t="shared" si="1"/>
        <v>0</v>
      </c>
      <c r="G18" s="1710">
        <f t="shared" si="1"/>
        <v>3000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39176</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39176</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12549</v>
      </c>
      <c r="D65" s="466">
        <v>2060</v>
      </c>
      <c r="E65" s="466">
        <v>50</v>
      </c>
      <c r="F65" s="467">
        <v>556</v>
      </c>
      <c r="G65" s="466">
        <v>637</v>
      </c>
      <c r="H65" s="466"/>
      <c r="I65" s="466">
        <v>109</v>
      </c>
      <c r="J65" s="467">
        <v>699</v>
      </c>
      <c r="K65" s="466">
        <v>107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12549</v>
      </c>
      <c r="D67" s="1688">
        <f t="shared" ref="D67:K67" si="2">SUM(D65:D66)</f>
        <v>2060</v>
      </c>
      <c r="E67" s="1688">
        <f t="shared" si="2"/>
        <v>50</v>
      </c>
      <c r="F67" s="1688">
        <f t="shared" si="2"/>
        <v>556</v>
      </c>
      <c r="G67" s="1688">
        <f t="shared" si="2"/>
        <v>637</v>
      </c>
      <c r="H67" s="1688">
        <f t="shared" si="2"/>
        <v>0</v>
      </c>
      <c r="I67" s="1688">
        <f t="shared" si="2"/>
        <v>109</v>
      </c>
      <c r="J67" s="1688">
        <f t="shared" si="2"/>
        <v>699</v>
      </c>
      <c r="K67" s="1688">
        <f t="shared" si="2"/>
        <v>107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50441</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2363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52804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16287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16287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6920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6920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21500</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174772</v>
      </c>
      <c r="D98" s="466"/>
      <c r="E98" s="512"/>
      <c r="F98" s="466"/>
      <c r="G98" s="512"/>
      <c r="H98" s="512"/>
      <c r="I98" s="510"/>
      <c r="J98" s="512"/>
      <c r="K98" s="512"/>
    </row>
    <row r="99" spans="1:12" ht="12.75" customHeight="1" x14ac:dyDescent="0.2">
      <c r="A99" s="463" t="s">
        <v>821</v>
      </c>
      <c r="B99" s="470">
        <v>1950</v>
      </c>
      <c r="C99" s="489">
        <v>7710</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6870</v>
      </c>
      <c r="D107" s="466"/>
      <c r="E107" s="466"/>
      <c r="F107" s="466">
        <v>1091</v>
      </c>
      <c r="G107" s="466">
        <v>5162</v>
      </c>
      <c r="H107" s="466"/>
      <c r="I107" s="466"/>
      <c r="J107" s="467"/>
      <c r="K107" s="466"/>
    </row>
    <row r="108" spans="1:12" ht="12.75" customHeight="1" thickBot="1" x14ac:dyDescent="0.25">
      <c r="A108" s="1708" t="s">
        <v>487</v>
      </c>
      <c r="B108" s="1712"/>
      <c r="C108" s="1707">
        <f>SUM(C95:C107)</f>
        <v>189352</v>
      </c>
      <c r="D108" s="1707">
        <f t="shared" ref="D108:K108" si="3">SUM(D95:D107)</f>
        <v>21500</v>
      </c>
      <c r="E108" s="1707">
        <f t="shared" si="3"/>
        <v>0</v>
      </c>
      <c r="F108" s="1707">
        <f t="shared" si="3"/>
        <v>1091</v>
      </c>
      <c r="G108" s="1707">
        <f t="shared" si="3"/>
        <v>5162</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1722489</v>
      </c>
      <c r="D109" s="1715">
        <f t="shared" si="4"/>
        <v>271783</v>
      </c>
      <c r="E109" s="1715">
        <f t="shared" si="4"/>
        <v>92502</v>
      </c>
      <c r="F109" s="1715">
        <f t="shared" si="4"/>
        <v>72294</v>
      </c>
      <c r="G109" s="1715">
        <f t="shared" si="4"/>
        <v>98611</v>
      </c>
      <c r="H109" s="1715">
        <f t="shared" si="4"/>
        <v>0</v>
      </c>
      <c r="I109" s="1715">
        <f t="shared" si="4"/>
        <v>17771</v>
      </c>
      <c r="J109" s="1715">
        <f t="shared" si="4"/>
        <v>86947</v>
      </c>
      <c r="K109" s="1702">
        <f t="shared" si="4"/>
        <v>107</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15300</v>
      </c>
      <c r="D111" s="481"/>
      <c r="E111" s="561"/>
      <c r="F111" s="481"/>
      <c r="G111" s="481"/>
      <c r="H111" s="561"/>
      <c r="I111" s="468"/>
      <c r="J111" s="468"/>
      <c r="K111" s="468"/>
    </row>
    <row r="112" spans="1:12" ht="12.75" customHeight="1" x14ac:dyDescent="0.2">
      <c r="A112" s="463" t="s">
        <v>824</v>
      </c>
      <c r="B112" s="470">
        <v>2200</v>
      </c>
      <c r="C112" s="551">
        <v>2612</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17912</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757383</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757383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22584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22584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637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3995</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84667</v>
      </c>
      <c r="G152" s="467"/>
      <c r="H152" s="468"/>
      <c r="I152" s="468"/>
      <c r="J152" s="468"/>
      <c r="K152" s="468"/>
    </row>
    <row r="153" spans="1:11" ht="12.75" customHeight="1" x14ac:dyDescent="0.2">
      <c r="A153" s="463" t="s">
        <v>1057</v>
      </c>
      <c r="B153" s="562">
        <v>3510</v>
      </c>
      <c r="C153" s="551"/>
      <c r="D153" s="466"/>
      <c r="E153" s="561"/>
      <c r="F153" s="466">
        <v>9722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94389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467</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27683</v>
      </c>
      <c r="D169" s="1722">
        <f t="shared" si="6"/>
        <v>0</v>
      </c>
      <c r="E169" s="1722">
        <f t="shared" si="6"/>
        <v>0</v>
      </c>
      <c r="F169" s="1722">
        <f t="shared" si="6"/>
        <v>94389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785066</v>
      </c>
      <c r="D170" s="1715">
        <f t="shared" si="7"/>
        <v>0</v>
      </c>
      <c r="E170" s="1715">
        <f t="shared" si="7"/>
        <v>0</v>
      </c>
      <c r="F170" s="1715">
        <f t="shared" si="7"/>
        <v>94389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43043</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43043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52270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52270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8958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v>29978</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134249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134249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2659716</v>
      </c>
      <c r="D268" s="1715">
        <f t="shared" si="12"/>
        <v>271783</v>
      </c>
      <c r="E268" s="1715">
        <f t="shared" si="12"/>
        <v>92502</v>
      </c>
      <c r="F268" s="1715">
        <f t="shared" si="12"/>
        <v>166683</v>
      </c>
      <c r="G268" s="1715">
        <f t="shared" si="12"/>
        <v>98611</v>
      </c>
      <c r="H268" s="1715">
        <f t="shared" si="12"/>
        <v>0</v>
      </c>
      <c r="I268" s="1715">
        <f t="shared" si="12"/>
        <v>17771</v>
      </c>
      <c r="J268" s="1715">
        <f t="shared" si="12"/>
        <v>86947</v>
      </c>
      <c r="K268" s="1702">
        <f t="shared" si="12"/>
        <v>107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870914</v>
      </c>
      <c r="D5" s="466">
        <v>291729</v>
      </c>
      <c r="E5" s="466">
        <v>3097</v>
      </c>
      <c r="F5" s="466">
        <v>48320</v>
      </c>
      <c r="G5" s="466"/>
      <c r="H5" s="466"/>
      <c r="I5" s="467"/>
      <c r="J5" s="467"/>
      <c r="K5" s="1671">
        <f>SUM(C5:J5)</f>
        <v>1214060</v>
      </c>
      <c r="L5" s="466">
        <v>1267360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40557</v>
      </c>
      <c r="D10" s="466">
        <v>18410</v>
      </c>
      <c r="E10" s="466"/>
      <c r="F10" s="466"/>
      <c r="G10" s="466"/>
      <c r="H10" s="466"/>
      <c r="I10" s="467"/>
      <c r="J10" s="467"/>
      <c r="K10" s="1671">
        <f t="shared" si="0"/>
        <v>58967</v>
      </c>
      <c r="L10" s="466">
        <v>57125</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v>1679</v>
      </c>
      <c r="G13" s="466">
        <v>900</v>
      </c>
      <c r="H13" s="466"/>
      <c r="I13" s="467"/>
      <c r="J13" s="467"/>
      <c r="K13" s="1671">
        <f t="shared" si="0"/>
        <v>2579</v>
      </c>
      <c r="L13" s="466">
        <v>5000</v>
      </c>
    </row>
    <row r="14" spans="1:14" x14ac:dyDescent="0.2">
      <c r="A14" s="1504" t="s">
        <v>963</v>
      </c>
      <c r="B14" s="614">
        <v>1500</v>
      </c>
      <c r="C14" s="466">
        <v>104576</v>
      </c>
      <c r="D14" s="466">
        <v>7696</v>
      </c>
      <c r="E14" s="466">
        <v>17269</v>
      </c>
      <c r="F14" s="466">
        <v>5283</v>
      </c>
      <c r="G14" s="466">
        <v>3000</v>
      </c>
      <c r="H14" s="466">
        <v>6774</v>
      </c>
      <c r="I14" s="467"/>
      <c r="J14" s="467"/>
      <c r="K14" s="1671">
        <f t="shared" si="0"/>
        <v>144598</v>
      </c>
      <c r="L14" s="466">
        <v>144000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v>3222</v>
      </c>
      <c r="F17" s="467">
        <v>276</v>
      </c>
      <c r="G17" s="467"/>
      <c r="H17" s="467"/>
      <c r="I17" s="467"/>
      <c r="J17" s="467"/>
      <c r="K17" s="1671">
        <f t="shared" si="0"/>
        <v>3498</v>
      </c>
      <c r="L17" s="466">
        <v>3900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1016047</v>
      </c>
      <c r="D33" s="1670">
        <f t="shared" ref="D33:L33" si="1">SUM(D5:D32)</f>
        <v>317835</v>
      </c>
      <c r="E33" s="1670">
        <f t="shared" si="1"/>
        <v>23588</v>
      </c>
      <c r="F33" s="1670">
        <f t="shared" si="1"/>
        <v>55558</v>
      </c>
      <c r="G33" s="1670">
        <f t="shared" si="1"/>
        <v>3900</v>
      </c>
      <c r="H33" s="1670">
        <f t="shared" si="1"/>
        <v>6774</v>
      </c>
      <c r="I33" s="1670">
        <f t="shared" si="1"/>
        <v>0</v>
      </c>
      <c r="J33" s="1670">
        <f t="shared" si="1"/>
        <v>0</v>
      </c>
      <c r="K33" s="1670">
        <f t="shared" si="1"/>
        <v>1423702</v>
      </c>
      <c r="L33" s="1670">
        <f t="shared" si="1"/>
        <v>1477385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31084</v>
      </c>
      <c r="D37" s="466">
        <v>3588</v>
      </c>
      <c r="E37" s="466">
        <v>262</v>
      </c>
      <c r="F37" s="466">
        <v>230</v>
      </c>
      <c r="G37" s="466"/>
      <c r="H37" s="466"/>
      <c r="I37" s="467"/>
      <c r="J37" s="467"/>
      <c r="K37" s="1671">
        <f t="shared" si="2"/>
        <v>35164</v>
      </c>
      <c r="L37" s="466">
        <v>35250</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59668</v>
      </c>
      <c r="D40" s="466">
        <v>16403</v>
      </c>
      <c r="E40" s="466"/>
      <c r="F40" s="466">
        <v>183</v>
      </c>
      <c r="G40" s="466"/>
      <c r="H40" s="466"/>
      <c r="I40" s="467"/>
      <c r="J40" s="467"/>
      <c r="K40" s="1671">
        <f t="shared" si="2"/>
        <v>76254</v>
      </c>
      <c r="L40" s="466">
        <v>76350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90752</v>
      </c>
      <c r="D42" s="1670">
        <f t="shared" ref="D42:L42" si="3">SUM(D36:D41)</f>
        <v>19991</v>
      </c>
      <c r="E42" s="1670">
        <f t="shared" si="3"/>
        <v>262</v>
      </c>
      <c r="F42" s="1670">
        <f t="shared" si="3"/>
        <v>413</v>
      </c>
      <c r="G42" s="1670">
        <f t="shared" si="3"/>
        <v>0</v>
      </c>
      <c r="H42" s="1670">
        <f t="shared" si="3"/>
        <v>0</v>
      </c>
      <c r="I42" s="1670">
        <f t="shared" si="3"/>
        <v>0</v>
      </c>
      <c r="J42" s="1670">
        <f t="shared" si="3"/>
        <v>0</v>
      </c>
      <c r="K42" s="1670">
        <f t="shared" si="3"/>
        <v>111418</v>
      </c>
      <c r="L42" s="1670">
        <f t="shared" si="3"/>
        <v>111600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8277</v>
      </c>
      <c r="F44" s="481"/>
      <c r="G44" s="481"/>
      <c r="H44" s="481"/>
      <c r="I44" s="467"/>
      <c r="J44" s="467"/>
      <c r="K44" s="1672">
        <f>SUM(C44:J44)</f>
        <v>8277</v>
      </c>
      <c r="L44" s="481">
        <v>11500</v>
      </c>
    </row>
    <row r="45" spans="1:14" x14ac:dyDescent="0.2">
      <c r="A45" s="1504" t="s">
        <v>815</v>
      </c>
      <c r="B45" s="614">
        <v>2220</v>
      </c>
      <c r="C45" s="466"/>
      <c r="D45" s="466"/>
      <c r="E45" s="466">
        <v>41802</v>
      </c>
      <c r="F45" s="466">
        <v>24303</v>
      </c>
      <c r="G45" s="466">
        <v>946</v>
      </c>
      <c r="H45" s="466"/>
      <c r="I45" s="467"/>
      <c r="J45" s="467"/>
      <c r="K45" s="1672">
        <f>SUM(C45:J45)</f>
        <v>67051</v>
      </c>
      <c r="L45" s="466">
        <v>78400</v>
      </c>
    </row>
    <row r="46" spans="1:14" x14ac:dyDescent="0.2">
      <c r="A46" s="1504" t="s">
        <v>816</v>
      </c>
      <c r="B46" s="614">
        <v>2230</v>
      </c>
      <c r="C46" s="466"/>
      <c r="D46" s="466"/>
      <c r="E46" s="466">
        <v>570</v>
      </c>
      <c r="F46" s="466"/>
      <c r="G46" s="466"/>
      <c r="H46" s="466"/>
      <c r="I46" s="467"/>
      <c r="J46" s="467"/>
      <c r="K46" s="1672">
        <f>SUM(C46:J46)</f>
        <v>570</v>
      </c>
      <c r="L46" s="466">
        <v>4000</v>
      </c>
    </row>
    <row r="47" spans="1:14" ht="12.75" customHeight="1" thickBot="1" x14ac:dyDescent="0.25">
      <c r="A47" s="1668" t="s">
        <v>561</v>
      </c>
      <c r="B47" s="1669" t="s">
        <v>32</v>
      </c>
      <c r="C47" s="1670">
        <f>SUM(C44:C46)</f>
        <v>0</v>
      </c>
      <c r="D47" s="1670">
        <f t="shared" ref="D47:K47" si="4">SUM(D44:D46)</f>
        <v>0</v>
      </c>
      <c r="E47" s="1670">
        <f t="shared" si="4"/>
        <v>50649</v>
      </c>
      <c r="F47" s="1670">
        <f t="shared" si="4"/>
        <v>24303</v>
      </c>
      <c r="G47" s="1670">
        <f t="shared" si="4"/>
        <v>946</v>
      </c>
      <c r="H47" s="1670">
        <f t="shared" si="4"/>
        <v>0</v>
      </c>
      <c r="I47" s="1670">
        <f t="shared" si="4"/>
        <v>0</v>
      </c>
      <c r="J47" s="1670">
        <f t="shared" si="4"/>
        <v>0</v>
      </c>
      <c r="K47" s="1670">
        <f t="shared" si="4"/>
        <v>75898</v>
      </c>
      <c r="L47" s="1670">
        <f>SUM(L44:L46)</f>
        <v>93900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8552</v>
      </c>
      <c r="D49" s="481">
        <v>710</v>
      </c>
      <c r="E49" s="481">
        <v>10519</v>
      </c>
      <c r="F49" s="481">
        <v>4407</v>
      </c>
      <c r="G49" s="481"/>
      <c r="H49" s="481">
        <v>7875</v>
      </c>
      <c r="I49" s="467"/>
      <c r="J49" s="467"/>
      <c r="K49" s="1672">
        <f>SUM(C49:J49)</f>
        <v>32063</v>
      </c>
      <c r="L49" s="481">
        <v>41220</v>
      </c>
    </row>
    <row r="50" spans="1:14" x14ac:dyDescent="0.2">
      <c r="A50" s="1504" t="s">
        <v>818</v>
      </c>
      <c r="B50" s="614">
        <v>2320</v>
      </c>
      <c r="C50" s="466">
        <v>144918</v>
      </c>
      <c r="D50" s="466">
        <v>21398</v>
      </c>
      <c r="E50" s="466">
        <v>4500</v>
      </c>
      <c r="F50" s="466">
        <v>500</v>
      </c>
      <c r="G50" s="466"/>
      <c r="H50" s="466">
        <v>1046</v>
      </c>
      <c r="I50" s="467"/>
      <c r="J50" s="467"/>
      <c r="K50" s="1672">
        <f>SUM(C50:J50)</f>
        <v>172362</v>
      </c>
      <c r="L50" s="466">
        <v>173130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153470</v>
      </c>
      <c r="D53" s="1670">
        <f t="shared" ref="D53:L53" si="5">SUM(D49:D52)</f>
        <v>22108</v>
      </c>
      <c r="E53" s="1670">
        <f t="shared" si="5"/>
        <v>15019</v>
      </c>
      <c r="F53" s="1670">
        <f t="shared" si="5"/>
        <v>4907</v>
      </c>
      <c r="G53" s="1670">
        <f t="shared" si="5"/>
        <v>0</v>
      </c>
      <c r="H53" s="1670">
        <f t="shared" si="5"/>
        <v>8921</v>
      </c>
      <c r="I53" s="1670">
        <f t="shared" si="5"/>
        <v>0</v>
      </c>
      <c r="J53" s="1670">
        <f t="shared" si="5"/>
        <v>0</v>
      </c>
      <c r="K53" s="1670">
        <f t="shared" si="5"/>
        <v>204425</v>
      </c>
      <c r="L53" s="1670">
        <f t="shared" si="5"/>
        <v>214350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166382</v>
      </c>
      <c r="D55" s="481">
        <v>22440</v>
      </c>
      <c r="E55" s="481">
        <v>6377</v>
      </c>
      <c r="F55" s="481">
        <v>664</v>
      </c>
      <c r="G55" s="481"/>
      <c r="H55" s="481">
        <v>651</v>
      </c>
      <c r="I55" s="467"/>
      <c r="J55" s="467"/>
      <c r="K55" s="1672">
        <f>SUM(C55:J55)</f>
        <v>196514</v>
      </c>
      <c r="L55" s="481">
        <v>194800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166382</v>
      </c>
      <c r="D57" s="1674">
        <f t="shared" ref="D57:K57" si="6">SUM(D55:D56)</f>
        <v>22440</v>
      </c>
      <c r="E57" s="1674">
        <f t="shared" si="6"/>
        <v>6377</v>
      </c>
      <c r="F57" s="1674">
        <f t="shared" si="6"/>
        <v>664</v>
      </c>
      <c r="G57" s="1674">
        <f t="shared" si="6"/>
        <v>0</v>
      </c>
      <c r="H57" s="1674">
        <f t="shared" si="6"/>
        <v>651</v>
      </c>
      <c r="I57" s="1674">
        <f t="shared" si="6"/>
        <v>0</v>
      </c>
      <c r="J57" s="1674">
        <f t="shared" si="6"/>
        <v>0</v>
      </c>
      <c r="K57" s="1674">
        <f t="shared" si="6"/>
        <v>196514</v>
      </c>
      <c r="L57" s="1670">
        <f>SUM(L55:L56)</f>
        <v>194800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29364</v>
      </c>
      <c r="D60" s="466">
        <v>9516</v>
      </c>
      <c r="E60" s="466">
        <v>15162</v>
      </c>
      <c r="F60" s="466"/>
      <c r="G60" s="466"/>
      <c r="H60" s="466"/>
      <c r="I60" s="467"/>
      <c r="J60" s="467"/>
      <c r="K60" s="1672">
        <f t="shared" si="7"/>
        <v>54042</v>
      </c>
      <c r="L60" s="466">
        <v>58000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39644</v>
      </c>
      <c r="D63" s="466">
        <v>1275</v>
      </c>
      <c r="E63" s="466">
        <v>1644</v>
      </c>
      <c r="F63" s="466">
        <v>49157</v>
      </c>
      <c r="G63" s="466">
        <v>1578</v>
      </c>
      <c r="H63" s="466"/>
      <c r="I63" s="467"/>
      <c r="J63" s="467"/>
      <c r="K63" s="1672">
        <f t="shared" si="7"/>
        <v>93298</v>
      </c>
      <c r="L63" s="466">
        <v>102700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69008</v>
      </c>
      <c r="D65" s="1670">
        <f t="shared" ref="D65:L65" si="8">SUM(D59:D64)</f>
        <v>10791</v>
      </c>
      <c r="E65" s="1670">
        <f t="shared" si="8"/>
        <v>16806</v>
      </c>
      <c r="F65" s="1670">
        <f t="shared" si="8"/>
        <v>49157</v>
      </c>
      <c r="G65" s="1670">
        <f t="shared" si="8"/>
        <v>1578</v>
      </c>
      <c r="H65" s="1670">
        <f t="shared" si="8"/>
        <v>0</v>
      </c>
      <c r="I65" s="1670">
        <f t="shared" si="8"/>
        <v>0</v>
      </c>
      <c r="J65" s="1670">
        <f t="shared" si="8"/>
        <v>0</v>
      </c>
      <c r="K65" s="1670">
        <f t="shared" si="8"/>
        <v>147340</v>
      </c>
      <c r="L65" s="1670">
        <f t="shared" si="8"/>
        <v>160700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479612</v>
      </c>
      <c r="D74" s="1677">
        <f t="shared" ref="D74:K74" si="10">SUM(D42,D47,D53,D57,D65,D72,D73)</f>
        <v>75330</v>
      </c>
      <c r="E74" s="1677">
        <f t="shared" si="10"/>
        <v>89113</v>
      </c>
      <c r="F74" s="1677">
        <f t="shared" si="10"/>
        <v>79444</v>
      </c>
      <c r="G74" s="1677">
        <f t="shared" si="10"/>
        <v>2524</v>
      </c>
      <c r="H74" s="1677">
        <f t="shared" si="10"/>
        <v>9572</v>
      </c>
      <c r="I74" s="1677">
        <f t="shared" si="10"/>
        <v>0</v>
      </c>
      <c r="J74" s="1677">
        <f t="shared" si="10"/>
        <v>0</v>
      </c>
      <c r="K74" s="1677">
        <f t="shared" si="10"/>
        <v>735595</v>
      </c>
      <c r="L74" s="1677">
        <f>SUM(L42,L47,L53,L57,L65,L72,L73)</f>
        <v>775350</v>
      </c>
    </row>
    <row r="75" spans="1:14" s="259" customFormat="1" ht="15.75" customHeight="1" thickTop="1" thickBot="1" x14ac:dyDescent="0.25">
      <c r="A75" s="1610" t="s">
        <v>47</v>
      </c>
      <c r="B75" s="1611" t="s">
        <v>575</v>
      </c>
      <c r="C75" s="573">
        <v>36923</v>
      </c>
      <c r="D75" s="573">
        <v>9576</v>
      </c>
      <c r="E75" s="573">
        <v>18128</v>
      </c>
      <c r="F75" s="573">
        <v>24713</v>
      </c>
      <c r="G75" s="573">
        <v>31502</v>
      </c>
      <c r="H75" s="573"/>
      <c r="I75" s="531"/>
      <c r="J75" s="531"/>
      <c r="K75" s="1670">
        <f>SUM(C75:J75)</f>
        <v>120842</v>
      </c>
      <c r="L75" s="576">
        <v>120496</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645</v>
      </c>
      <c r="F78" s="616"/>
      <c r="G78" s="616"/>
      <c r="H78" s="634"/>
      <c r="I78" s="477"/>
      <c r="J78" s="477"/>
      <c r="K78" s="1671">
        <f t="shared" ref="K78:K83" si="11">SUM(C78:J78)</f>
        <v>645</v>
      </c>
      <c r="L78" s="481">
        <v>750</v>
      </c>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645</v>
      </c>
      <c r="F84" s="616"/>
      <c r="G84" s="616"/>
      <c r="H84" s="1670">
        <f>SUM(H78:H83)</f>
        <v>0</v>
      </c>
      <c r="I84" s="477"/>
      <c r="J84" s="477"/>
      <c r="K84" s="1670">
        <f>SUM(K78:K83)</f>
        <v>645</v>
      </c>
      <c r="L84" s="1670">
        <f>SUM(L78:L83)</f>
        <v>750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173275</v>
      </c>
      <c r="I86" s="477"/>
      <c r="J86" s="477"/>
      <c r="K86" s="1677">
        <f t="shared" ref="K86:K98" si="12">H86</f>
        <v>173275</v>
      </c>
      <c r="L86" s="530">
        <v>210000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470</v>
      </c>
      <c r="I88" s="477"/>
      <c r="J88" s="477"/>
      <c r="K88" s="1677">
        <f t="shared" si="12"/>
        <v>470</v>
      </c>
      <c r="L88" s="530">
        <v>4000</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173745</v>
      </c>
      <c r="I92" s="477"/>
      <c r="J92" s="477"/>
      <c r="K92" s="1677">
        <f t="shared" si="12"/>
        <v>173745</v>
      </c>
      <c r="L92" s="1670">
        <f>SUM(L85:L91)</f>
        <v>214000</v>
      </c>
    </row>
    <row r="93" spans="1:12" ht="14.25" thickTop="1" thickBot="1" x14ac:dyDescent="0.25">
      <c r="A93" s="1512" t="s">
        <v>688</v>
      </c>
      <c r="B93" s="640">
        <v>4310</v>
      </c>
      <c r="C93" s="616"/>
      <c r="D93" s="616"/>
      <c r="E93" s="638"/>
      <c r="F93" s="616"/>
      <c r="G93" s="616"/>
      <c r="H93" s="641">
        <v>132</v>
      </c>
      <c r="I93" s="477"/>
      <c r="J93" s="477"/>
      <c r="K93" s="1677">
        <f t="shared" si="12"/>
        <v>132</v>
      </c>
      <c r="L93" s="532">
        <v>3000</v>
      </c>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132</v>
      </c>
      <c r="I100" s="477"/>
      <c r="J100" s="477"/>
      <c r="K100" s="1677">
        <f>SUM(K93:K99)</f>
        <v>132</v>
      </c>
      <c r="L100" s="1677">
        <f>SUM(L93:L99)</f>
        <v>3000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645</v>
      </c>
      <c r="F102" s="616"/>
      <c r="G102" s="616"/>
      <c r="H102" s="1677">
        <f>SUM(H84,H92,H100,H101)</f>
        <v>173877</v>
      </c>
      <c r="I102" s="477"/>
      <c r="J102" s="477"/>
      <c r="K102" s="1677">
        <f>SUM(K84,K92,K100,K101)</f>
        <v>174522</v>
      </c>
      <c r="L102" s="1677">
        <f>SUM(L84,L92,L100,L101)</f>
        <v>217750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1532582</v>
      </c>
      <c r="D114" s="1670">
        <f t="shared" ref="D114:K114" si="13">SUM(D33,D74,D75,D102,D112,D113)</f>
        <v>402741</v>
      </c>
      <c r="E114" s="1670">
        <f t="shared" si="13"/>
        <v>131474</v>
      </c>
      <c r="F114" s="1670">
        <f t="shared" si="13"/>
        <v>159715</v>
      </c>
      <c r="G114" s="1670">
        <f t="shared" si="13"/>
        <v>37926</v>
      </c>
      <c r="H114" s="1670">
        <f>SUM(H33,H74,H75,H102,H112,H113)</f>
        <v>190223</v>
      </c>
      <c r="I114" s="1670">
        <f t="shared" si="13"/>
        <v>0</v>
      </c>
      <c r="J114" s="1670">
        <f t="shared" si="13"/>
        <v>0</v>
      </c>
      <c r="K114" s="1670">
        <f t="shared" si="13"/>
        <v>2454661</v>
      </c>
      <c r="L114" s="1670">
        <f>SUM(L33,L74,L75,L102,L112,L113)</f>
        <v>2590981</v>
      </c>
    </row>
    <row r="115" spans="1:14" ht="13.5" thickTop="1" x14ac:dyDescent="0.2">
      <c r="A115" s="2158" t="s">
        <v>996</v>
      </c>
      <c r="B115" s="2159"/>
      <c r="C115" s="618"/>
      <c r="D115" s="618"/>
      <c r="E115" s="618"/>
      <c r="F115" s="618"/>
      <c r="G115" s="618"/>
      <c r="H115" s="618"/>
      <c r="I115" s="618"/>
      <c r="J115" s="618"/>
      <c r="K115" s="1684">
        <f>'Revenues 9-14'!C268-'Expenditures 15-22'!K114</f>
        <v>205055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91401</v>
      </c>
      <c r="D124" s="466">
        <v>22294</v>
      </c>
      <c r="E124" s="466">
        <v>30077</v>
      </c>
      <c r="F124" s="466">
        <v>80282</v>
      </c>
      <c r="G124" s="466">
        <v>750</v>
      </c>
      <c r="H124" s="466"/>
      <c r="I124" s="467"/>
      <c r="J124" s="467"/>
      <c r="K124" s="1670">
        <f>SUM(C124:J124)</f>
        <v>224804</v>
      </c>
      <c r="L124" s="466">
        <v>252590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91401</v>
      </c>
      <c r="D127" s="1670">
        <f t="shared" ref="D127:L127" si="14">SUM(D122:D126)</f>
        <v>22294</v>
      </c>
      <c r="E127" s="1670">
        <f t="shared" si="14"/>
        <v>30077</v>
      </c>
      <c r="F127" s="1670">
        <f t="shared" si="14"/>
        <v>80282</v>
      </c>
      <c r="G127" s="1670">
        <f t="shared" si="14"/>
        <v>750</v>
      </c>
      <c r="H127" s="1670">
        <f t="shared" si="14"/>
        <v>0</v>
      </c>
      <c r="I127" s="1670">
        <f t="shared" si="14"/>
        <v>0</v>
      </c>
      <c r="J127" s="1670">
        <f t="shared" si="14"/>
        <v>0</v>
      </c>
      <c r="K127" s="1670">
        <f t="shared" si="14"/>
        <v>224804</v>
      </c>
      <c r="L127" s="1670">
        <f t="shared" si="14"/>
        <v>252590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91401</v>
      </c>
      <c r="D129" s="1677">
        <f t="shared" ref="D129:L129" si="15">SUM(D120,D127,D128)</f>
        <v>22294</v>
      </c>
      <c r="E129" s="1677">
        <f t="shared" si="15"/>
        <v>30077</v>
      </c>
      <c r="F129" s="1677">
        <f t="shared" si="15"/>
        <v>80282</v>
      </c>
      <c r="G129" s="1677">
        <f t="shared" si="15"/>
        <v>750</v>
      </c>
      <c r="H129" s="1677">
        <f t="shared" si="15"/>
        <v>0</v>
      </c>
      <c r="I129" s="1677">
        <f t="shared" si="15"/>
        <v>0</v>
      </c>
      <c r="J129" s="1677">
        <f t="shared" si="15"/>
        <v>0</v>
      </c>
      <c r="K129" s="1677">
        <f t="shared" si="15"/>
        <v>224804</v>
      </c>
      <c r="L129" s="1677">
        <f t="shared" si="15"/>
        <v>252590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v>3600</v>
      </c>
      <c r="F134" s="616"/>
      <c r="G134" s="616"/>
      <c r="H134" s="481"/>
      <c r="I134" s="477"/>
      <c r="J134" s="616"/>
      <c r="K134" s="1672">
        <f>SUM(E134,H134)</f>
        <v>3600</v>
      </c>
      <c r="L134" s="481">
        <v>4000</v>
      </c>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3600</v>
      </c>
      <c r="F137" s="616"/>
      <c r="G137" s="616"/>
      <c r="H137" s="1670">
        <f>SUM(H133:H136)</f>
        <v>0</v>
      </c>
      <c r="I137" s="477"/>
      <c r="J137" s="616"/>
      <c r="K137" s="1670">
        <f>SUM(K133:K136)</f>
        <v>3600</v>
      </c>
      <c r="L137" s="1670">
        <f>SUM(L133:L136)</f>
        <v>4000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3600</v>
      </c>
      <c r="F139" s="616"/>
      <c r="G139" s="616"/>
      <c r="H139" s="1679">
        <f>SUM(H137:H138)</f>
        <v>0</v>
      </c>
      <c r="I139" s="477"/>
      <c r="J139" s="616"/>
      <c r="K139" s="1672">
        <f>SUM(K137,K138)</f>
        <v>3600</v>
      </c>
      <c r="L139" s="1679">
        <f>SUM(L137,L138)</f>
        <v>4000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5"/>
      <c r="C151" s="1670">
        <f>SUM(C129,C130,C139,C149,C150)</f>
        <v>91401</v>
      </c>
      <c r="D151" s="1670">
        <f t="shared" ref="D151:K151" si="16">SUM(D129,D130,D139,D149,D150)</f>
        <v>22294</v>
      </c>
      <c r="E151" s="1670">
        <f t="shared" si="16"/>
        <v>33677</v>
      </c>
      <c r="F151" s="1670">
        <f t="shared" si="16"/>
        <v>80282</v>
      </c>
      <c r="G151" s="1670">
        <f t="shared" si="16"/>
        <v>750</v>
      </c>
      <c r="H151" s="1670">
        <f t="shared" si="16"/>
        <v>0</v>
      </c>
      <c r="I151" s="1670">
        <f t="shared" si="16"/>
        <v>0</v>
      </c>
      <c r="J151" s="1670">
        <f t="shared" si="16"/>
        <v>0</v>
      </c>
      <c r="K151" s="1670">
        <f t="shared" si="16"/>
        <v>228404</v>
      </c>
      <c r="L151" s="1670">
        <f>SUM(L129,L130,L139,L149,L150)</f>
        <v>256590</v>
      </c>
    </row>
    <row r="152" spans="1:14" ht="12.75" customHeight="1" thickTop="1" x14ac:dyDescent="0.2">
      <c r="A152" s="2178" t="s">
        <v>1178</v>
      </c>
      <c r="B152" s="2179"/>
      <c r="C152" s="618"/>
      <c r="D152" s="618"/>
      <c r="E152" s="618"/>
      <c r="F152" s="618"/>
      <c r="G152" s="618"/>
      <c r="H152" s="618"/>
      <c r="I152" s="618"/>
      <c r="J152" s="616"/>
      <c r="K152" s="1684">
        <f>'Revenues 9-14'!D268-'Expenditures 15-22'!K151</f>
        <v>43379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37146</v>
      </c>
      <c r="I169" s="616"/>
      <c r="J169" s="616"/>
      <c r="K169" s="1671">
        <f>SUM(C169:H169)</f>
        <v>37146</v>
      </c>
      <c r="L169" s="656">
        <v>37150</v>
      </c>
    </row>
    <row r="170" spans="1:14" ht="33.75" customHeight="1" x14ac:dyDescent="0.2">
      <c r="A170" s="669" t="s">
        <v>1670</v>
      </c>
      <c r="B170" s="671" t="s">
        <v>31</v>
      </c>
      <c r="C170" s="616"/>
      <c r="D170" s="616"/>
      <c r="E170" s="616"/>
      <c r="F170" s="616"/>
      <c r="G170" s="616"/>
      <c r="H170" s="569">
        <v>55000</v>
      </c>
      <c r="I170" s="616"/>
      <c r="J170" s="616"/>
      <c r="K170" s="1671">
        <f>SUM(C170:J170)</f>
        <v>55000</v>
      </c>
      <c r="L170" s="569">
        <v>55000</v>
      </c>
    </row>
    <row r="171" spans="1:14" ht="15.75" customHeight="1" x14ac:dyDescent="0.2">
      <c r="A171" s="621" t="s">
        <v>766</v>
      </c>
      <c r="B171" s="672" t="s">
        <v>84</v>
      </c>
      <c r="C171" s="616"/>
      <c r="D171" s="616"/>
      <c r="E171" s="466">
        <v>500</v>
      </c>
      <c r="F171" s="616"/>
      <c r="G171" s="616"/>
      <c r="H171" s="569"/>
      <c r="I171" s="477"/>
      <c r="J171" s="616"/>
      <c r="K171" s="1671">
        <f>SUM(C171:J171)</f>
        <v>500</v>
      </c>
      <c r="L171" s="569">
        <v>500</v>
      </c>
    </row>
    <row r="172" spans="1:14" ht="12.75" customHeight="1" thickBot="1" x14ac:dyDescent="0.25">
      <c r="A172" s="1668" t="s">
        <v>638</v>
      </c>
      <c r="B172" s="1669" t="s">
        <v>492</v>
      </c>
      <c r="C172" s="616"/>
      <c r="D172" s="616"/>
      <c r="E172" s="1677">
        <f>SUM(E168,E169,E170,E171)</f>
        <v>500</v>
      </c>
      <c r="F172" s="616"/>
      <c r="G172" s="616"/>
      <c r="H172" s="1677">
        <f>SUM(H168,H169,H170,H171)</f>
        <v>92146</v>
      </c>
      <c r="I172" s="638"/>
      <c r="J172" s="616"/>
      <c r="K172" s="1677">
        <f>SUM(K168,K169,K170,K171)</f>
        <v>92646</v>
      </c>
      <c r="L172" s="1677">
        <f>SUM(L168,L169,L170,L171)</f>
        <v>92650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500</v>
      </c>
      <c r="F174" s="616"/>
      <c r="G174" s="616"/>
      <c r="H174" s="1677">
        <f>SUM(H160,H172,H173)</f>
        <v>92146</v>
      </c>
      <c r="I174" s="638"/>
      <c r="J174" s="616"/>
      <c r="K174" s="1677">
        <f>SUM(K160,K172,K173)</f>
        <v>92646</v>
      </c>
      <c r="L174" s="1677">
        <f>SUM(L160,L172,L173)</f>
        <v>92650</v>
      </c>
    </row>
    <row r="175" spans="1:14" ht="13.5" thickTop="1" x14ac:dyDescent="0.2">
      <c r="A175" s="2158" t="s">
        <v>996</v>
      </c>
      <c r="B175" s="2159"/>
      <c r="C175" s="616"/>
      <c r="D175" s="616"/>
      <c r="E175" s="616"/>
      <c r="F175" s="616"/>
      <c r="G175" s="616"/>
      <c r="H175" s="618"/>
      <c r="I175" s="616"/>
      <c r="J175" s="616"/>
      <c r="K175" s="1684">
        <f>'Revenues 9-14'!E268-'Expenditures 15-22'!K174</f>
        <v>-144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67880</v>
      </c>
      <c r="D182" s="466">
        <v>5593</v>
      </c>
      <c r="E182" s="466">
        <v>22605</v>
      </c>
      <c r="F182" s="466">
        <v>13920</v>
      </c>
      <c r="G182" s="466"/>
      <c r="H182" s="466"/>
      <c r="I182" s="467"/>
      <c r="J182" s="467"/>
      <c r="K182" s="1671">
        <f>SUM(C182:J182)</f>
        <v>109998</v>
      </c>
      <c r="L182" s="466">
        <v>127880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67880</v>
      </c>
      <c r="D184" s="1677">
        <f t="shared" ref="D184:J184" si="17">SUM(D180,D182,D183)</f>
        <v>5593</v>
      </c>
      <c r="E184" s="1677">
        <f t="shared" si="17"/>
        <v>22605</v>
      </c>
      <c r="F184" s="1677">
        <f t="shared" si="17"/>
        <v>13920</v>
      </c>
      <c r="G184" s="1677">
        <f t="shared" si="17"/>
        <v>0</v>
      </c>
      <c r="H184" s="1677">
        <f t="shared" si="17"/>
        <v>0</v>
      </c>
      <c r="I184" s="1677">
        <f t="shared" si="17"/>
        <v>0</v>
      </c>
      <c r="J184" s="1677">
        <f t="shared" si="17"/>
        <v>0</v>
      </c>
      <c r="K184" s="1677">
        <f>SUM(K180,K182,K183)</f>
        <v>109998</v>
      </c>
      <c r="L184" s="1677">
        <f>SUM(L180, L182:L183)</f>
        <v>127880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v>12893</v>
      </c>
      <c r="F189" s="616"/>
      <c r="G189" s="616"/>
      <c r="H189" s="466"/>
      <c r="I189" s="477"/>
      <c r="J189" s="616"/>
      <c r="K189" s="1671">
        <f t="shared" si="18"/>
        <v>12893</v>
      </c>
      <c r="L189" s="466">
        <v>18000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v>500</v>
      </c>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12893</v>
      </c>
      <c r="F194" s="616"/>
      <c r="G194" s="616"/>
      <c r="H194" s="1670">
        <f>SUM(H188:H193)</f>
        <v>0</v>
      </c>
      <c r="I194" s="477"/>
      <c r="J194" s="616"/>
      <c r="K194" s="1670">
        <f>SUM(K188:K193)</f>
        <v>12893</v>
      </c>
      <c r="L194" s="1670">
        <f>SUM(L188:L193)</f>
        <v>18500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12893</v>
      </c>
      <c r="F196" s="616"/>
      <c r="G196" s="616"/>
      <c r="H196" s="1677">
        <f>SUM(H194,H195)</f>
        <v>0</v>
      </c>
      <c r="I196" s="477"/>
      <c r="J196" s="616"/>
      <c r="K196" s="1677">
        <f>SUM(K194,K195)</f>
        <v>12893</v>
      </c>
      <c r="L196" s="1677">
        <f>SUM(L194,L195)</f>
        <v>18500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67880</v>
      </c>
      <c r="D210" s="1670">
        <f>SUM(D184,D185)</f>
        <v>5593</v>
      </c>
      <c r="E210" s="1670">
        <f>SUM(E184,E185,E196)</f>
        <v>35498</v>
      </c>
      <c r="F210" s="1670">
        <f>SUM(F184,F185)</f>
        <v>13920</v>
      </c>
      <c r="G210" s="1670">
        <f>SUM(G184,G185)</f>
        <v>0</v>
      </c>
      <c r="H210" s="1670">
        <f>SUM(H184,H185,H196,H208,H209)</f>
        <v>0</v>
      </c>
      <c r="I210" s="1670">
        <f>SUM(I184,I185)</f>
        <v>0</v>
      </c>
      <c r="J210" s="1670">
        <f>SUM(J184,J185)</f>
        <v>0</v>
      </c>
      <c r="K210" s="1671">
        <f>SUM(K184,K185,K196,K208,K209)</f>
        <v>122891</v>
      </c>
      <c r="L210" s="1670">
        <f>SUM(L184,L185,L196,L208,L209)</f>
        <v>146380</v>
      </c>
    </row>
    <row r="211" spans="1:14" ht="13.5" thickTop="1" x14ac:dyDescent="0.2">
      <c r="A211" s="2158" t="s">
        <v>996</v>
      </c>
      <c r="B211" s="2159"/>
      <c r="C211" s="618"/>
      <c r="D211" s="618"/>
      <c r="E211" s="618"/>
      <c r="F211" s="618"/>
      <c r="G211" s="618"/>
      <c r="H211" s="618"/>
      <c r="I211" s="616"/>
      <c r="J211" s="616"/>
      <c r="K211" s="1684">
        <f>'Revenues 9-14'!F268-'Expenditures 15-22'!K210</f>
        <v>43792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12740</v>
      </c>
      <c r="E215" s="616"/>
      <c r="F215" s="616"/>
      <c r="G215" s="616"/>
      <c r="H215" s="616"/>
      <c r="I215" s="616"/>
      <c r="J215" s="616"/>
      <c r="K215" s="1671">
        <f>D215</f>
        <v>12740</v>
      </c>
      <c r="L215" s="466">
        <v>13100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495</v>
      </c>
      <c r="E219" s="616"/>
      <c r="F219" s="616"/>
      <c r="G219" s="616"/>
      <c r="H219" s="616"/>
      <c r="I219" s="616"/>
      <c r="J219" s="616"/>
      <c r="K219" s="1671">
        <f t="shared" si="19"/>
        <v>495</v>
      </c>
      <c r="L219" s="466">
        <v>600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3526</v>
      </c>
      <c r="E223" s="616"/>
      <c r="F223" s="616"/>
      <c r="G223" s="616"/>
      <c r="H223" s="616"/>
      <c r="I223" s="616"/>
      <c r="J223" s="616"/>
      <c r="K223" s="1671">
        <f t="shared" si="19"/>
        <v>3526</v>
      </c>
      <c r="L223" s="466">
        <v>3670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16761</v>
      </c>
      <c r="E229" s="616"/>
      <c r="F229" s="616"/>
      <c r="G229" s="616"/>
      <c r="H229" s="616"/>
      <c r="I229" s="616"/>
      <c r="J229" s="616"/>
      <c r="K229" s="1670">
        <f>SUM(K215:K228)</f>
        <v>16761</v>
      </c>
      <c r="L229" s="1670">
        <f>SUM(L215:L228)</f>
        <v>17370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495</v>
      </c>
      <c r="E233" s="616"/>
      <c r="F233" s="616"/>
      <c r="G233" s="616"/>
      <c r="H233" s="616"/>
      <c r="I233" s="616"/>
      <c r="J233" s="616"/>
      <c r="K233" s="1671">
        <f t="shared" si="20"/>
        <v>495</v>
      </c>
      <c r="L233" s="466">
        <v>500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951</v>
      </c>
      <c r="E236" s="616"/>
      <c r="F236" s="616"/>
      <c r="G236" s="616"/>
      <c r="H236" s="616"/>
      <c r="I236" s="616"/>
      <c r="J236" s="616"/>
      <c r="K236" s="1671">
        <f t="shared" si="20"/>
        <v>951</v>
      </c>
      <c r="L236" s="466">
        <v>960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1446</v>
      </c>
      <c r="E238" s="616"/>
      <c r="F238" s="616"/>
      <c r="G238" s="616"/>
      <c r="H238" s="616"/>
      <c r="I238" s="616"/>
      <c r="J238" s="616"/>
      <c r="K238" s="1670">
        <f>SUM(K232:K237)</f>
        <v>1446</v>
      </c>
      <c r="L238" s="1670">
        <f>SUM(L232:L237)</f>
        <v>1460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568</v>
      </c>
      <c r="E245" s="616"/>
      <c r="F245" s="616"/>
      <c r="G245" s="616"/>
      <c r="H245" s="616"/>
      <c r="I245" s="616"/>
      <c r="J245" s="616"/>
      <c r="K245" s="1672">
        <f>D245</f>
        <v>568</v>
      </c>
      <c r="L245" s="481">
        <v>595</v>
      </c>
    </row>
    <row r="246" spans="1:12" x14ac:dyDescent="0.2">
      <c r="A246" s="1504" t="s">
        <v>818</v>
      </c>
      <c r="B246" s="614">
        <v>2320</v>
      </c>
      <c r="C246" s="616"/>
      <c r="D246" s="466">
        <v>4458</v>
      </c>
      <c r="E246" s="616"/>
      <c r="F246" s="616"/>
      <c r="G246" s="616"/>
      <c r="H246" s="616"/>
      <c r="I246" s="616"/>
      <c r="J246" s="616"/>
      <c r="K246" s="1672">
        <f t="shared" ref="K246:K256" si="21">D246</f>
        <v>4458</v>
      </c>
      <c r="L246" s="466">
        <v>5550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5026</v>
      </c>
      <c r="E257" s="616"/>
      <c r="F257" s="616"/>
      <c r="G257" s="616"/>
      <c r="H257" s="616"/>
      <c r="I257" s="616"/>
      <c r="J257" s="616"/>
      <c r="K257" s="1670">
        <f>SUM(K245:K256)</f>
        <v>5026</v>
      </c>
      <c r="L257" s="1670">
        <f>SUM(L245:L256)</f>
        <v>6145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7692</v>
      </c>
      <c r="E259" s="616"/>
      <c r="F259" s="616"/>
      <c r="G259" s="616"/>
      <c r="H259" s="616"/>
      <c r="I259" s="616"/>
      <c r="J259" s="616"/>
      <c r="K259" s="1672">
        <f>D259</f>
        <v>7692</v>
      </c>
      <c r="L259" s="481">
        <v>8350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7692</v>
      </c>
      <c r="E261" s="616"/>
      <c r="F261" s="616"/>
      <c r="G261" s="616"/>
      <c r="H261" s="616"/>
      <c r="I261" s="616"/>
      <c r="J261" s="616"/>
      <c r="K261" s="1670">
        <f>SUM(K259:K260)</f>
        <v>7692</v>
      </c>
      <c r="L261" s="1670">
        <f>SUM(L259:L260)</f>
        <v>8350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5220</v>
      </c>
      <c r="E264" s="616"/>
      <c r="F264" s="616"/>
      <c r="G264" s="616"/>
      <c r="H264" s="616"/>
      <c r="I264" s="616"/>
      <c r="J264" s="616"/>
      <c r="K264" s="1672">
        <f t="shared" ref="K264:K269" si="22">D264</f>
        <v>5220</v>
      </c>
      <c r="L264" s="466">
        <v>5725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12627</v>
      </c>
      <c r="E266" s="616"/>
      <c r="F266" s="616"/>
      <c r="G266" s="616"/>
      <c r="H266" s="616"/>
      <c r="I266" s="616"/>
      <c r="J266" s="616"/>
      <c r="K266" s="1672">
        <f t="shared" si="22"/>
        <v>12627</v>
      </c>
      <c r="L266" s="466">
        <v>18600</v>
      </c>
    </row>
    <row r="267" spans="1:14" x14ac:dyDescent="0.2">
      <c r="A267" s="1504" t="s">
        <v>953</v>
      </c>
      <c r="B267" s="614">
        <v>2550</v>
      </c>
      <c r="C267" s="616"/>
      <c r="D267" s="466">
        <v>8940</v>
      </c>
      <c r="E267" s="616"/>
      <c r="F267" s="616"/>
      <c r="G267" s="616"/>
      <c r="H267" s="616"/>
      <c r="I267" s="616"/>
      <c r="J267" s="616"/>
      <c r="K267" s="1672">
        <f t="shared" si="22"/>
        <v>8940</v>
      </c>
      <c r="L267" s="466">
        <v>8510</v>
      </c>
    </row>
    <row r="268" spans="1:14" x14ac:dyDescent="0.2">
      <c r="A268" s="1504" t="s">
        <v>100</v>
      </c>
      <c r="B268" s="614">
        <v>2560</v>
      </c>
      <c r="C268" s="616"/>
      <c r="D268" s="466">
        <v>5022</v>
      </c>
      <c r="E268" s="616"/>
      <c r="F268" s="616"/>
      <c r="G268" s="616"/>
      <c r="H268" s="616"/>
      <c r="I268" s="616"/>
      <c r="J268" s="616"/>
      <c r="K268" s="1672">
        <f t="shared" si="22"/>
        <v>5022</v>
      </c>
      <c r="L268" s="466">
        <v>5600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31809</v>
      </c>
      <c r="E270" s="616"/>
      <c r="F270" s="616"/>
      <c r="G270" s="616"/>
      <c r="H270" s="616"/>
      <c r="I270" s="616"/>
      <c r="J270" s="616"/>
      <c r="K270" s="1670">
        <f>SUM(K263:K269)</f>
        <v>31809</v>
      </c>
      <c r="L270" s="1670">
        <f>SUM(L263:L269)</f>
        <v>38435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45973</v>
      </c>
      <c r="E279" s="616"/>
      <c r="F279" s="616"/>
      <c r="G279" s="616"/>
      <c r="H279" s="616"/>
      <c r="I279" s="616"/>
      <c r="J279" s="616"/>
      <c r="K279" s="1677">
        <f>SUM(K238,K243,K257,K261,K270,K277,K278)</f>
        <v>45973</v>
      </c>
      <c r="L279" s="1677">
        <f>SUM(L238,L243,L257,L261,L270,L277,L278)</f>
        <v>54390</v>
      </c>
    </row>
    <row r="280" spans="1:12" ht="15.75" customHeight="1" thickTop="1" thickBot="1" x14ac:dyDescent="0.25">
      <c r="A280" s="1624" t="s">
        <v>875</v>
      </c>
      <c r="B280" s="1613">
        <v>3000</v>
      </c>
      <c r="C280" s="616"/>
      <c r="D280" s="576">
        <v>5162</v>
      </c>
      <c r="E280" s="616"/>
      <c r="F280" s="616"/>
      <c r="G280" s="616"/>
      <c r="H280" s="616"/>
      <c r="I280" s="616"/>
      <c r="J280" s="616"/>
      <c r="K280" s="1679">
        <f>D280</f>
        <v>5162</v>
      </c>
      <c r="L280" s="576">
        <v>5800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67896</v>
      </c>
      <c r="E295" s="616"/>
      <c r="F295" s="616"/>
      <c r="G295" s="616"/>
      <c r="H295" s="1670">
        <f>H293</f>
        <v>0</v>
      </c>
      <c r="I295" s="616"/>
      <c r="J295" s="616"/>
      <c r="K295" s="1670">
        <f>SUM(K229,K279,K280,K285,K293,K294)</f>
        <v>67896</v>
      </c>
      <c r="L295" s="1670">
        <f>SUM(L229,L279,L280,L285,L293,L294)</f>
        <v>77560</v>
      </c>
    </row>
    <row r="296" spans="1:14" ht="13.5" thickTop="1" x14ac:dyDescent="0.2">
      <c r="A296" s="2158" t="s">
        <v>996</v>
      </c>
      <c r="B296" s="2159"/>
      <c r="C296" s="616"/>
      <c r="D296" s="618"/>
      <c r="E296" s="616"/>
      <c r="F296" s="616"/>
      <c r="G296" s="616"/>
      <c r="H296" s="687"/>
      <c r="I296" s="616"/>
      <c r="J296" s="616"/>
      <c r="K296" s="1684">
        <f>'Revenues 9-14'!G268-'Expenditures 15-22'!K295</f>
        <v>30715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34291</v>
      </c>
      <c r="F322" s="467"/>
      <c r="G322" s="467"/>
      <c r="H322" s="467"/>
      <c r="I322" s="467"/>
      <c r="J322" s="467"/>
      <c r="K322" s="1671">
        <f t="shared" si="24"/>
        <v>34291</v>
      </c>
      <c r="L322" s="467">
        <v>50000</v>
      </c>
      <c r="M322" s="665"/>
      <c r="N322" s="665"/>
    </row>
    <row r="323" spans="1:14" s="674" customFormat="1" x14ac:dyDescent="0.2">
      <c r="A323" s="1519" t="s">
        <v>702</v>
      </c>
      <c r="B323" s="697" t="s">
        <v>285</v>
      </c>
      <c r="C323" s="467"/>
      <c r="D323" s="467"/>
      <c r="E323" s="467">
        <v>10728</v>
      </c>
      <c r="F323" s="467">
        <v>176</v>
      </c>
      <c r="G323" s="467"/>
      <c r="H323" s="467"/>
      <c r="I323" s="467"/>
      <c r="J323" s="467"/>
      <c r="K323" s="1671">
        <f t="shared" si="24"/>
        <v>10904</v>
      </c>
      <c r="L323" s="467">
        <v>7500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1063</v>
      </c>
      <c r="F327" s="467"/>
      <c r="G327" s="467"/>
      <c r="H327" s="467"/>
      <c r="I327" s="467"/>
      <c r="J327" s="467"/>
      <c r="K327" s="1671">
        <f t="shared" si="24"/>
        <v>1063</v>
      </c>
      <c r="L327" s="467">
        <v>2000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46082</v>
      </c>
      <c r="F330" s="1670">
        <f t="shared" si="25"/>
        <v>176</v>
      </c>
      <c r="G330" s="1670">
        <f t="shared" si="25"/>
        <v>0</v>
      </c>
      <c r="H330" s="1670">
        <f t="shared" si="25"/>
        <v>0</v>
      </c>
      <c r="I330" s="1670">
        <f t="shared" si="25"/>
        <v>0</v>
      </c>
      <c r="J330" s="1670">
        <f t="shared" si="25"/>
        <v>0</v>
      </c>
      <c r="K330" s="1670">
        <f>SUM(K319:K329)</f>
        <v>46258</v>
      </c>
      <c r="L330" s="1670">
        <f>SUM(L319:L329)</f>
        <v>59500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46082</v>
      </c>
      <c r="F342" s="1670">
        <f>SUM(F330)</f>
        <v>176</v>
      </c>
      <c r="G342" s="1670">
        <f>SUM(G330)</f>
        <v>0</v>
      </c>
      <c r="H342" s="1670">
        <f>SUM(H330,H334,H340)</f>
        <v>0</v>
      </c>
      <c r="I342" s="1670">
        <f>SUM(I330)</f>
        <v>0</v>
      </c>
      <c r="J342" s="1670">
        <f>SUM(J330)</f>
        <v>0</v>
      </c>
      <c r="K342" s="1670">
        <f>SUM(K330,K334,K340)</f>
        <v>46258</v>
      </c>
      <c r="L342" s="1677">
        <f>SUM(L330,L334,L340,L341)</f>
        <v>59500</v>
      </c>
    </row>
    <row r="343" spans="1:14" ht="12.75" customHeight="1" thickTop="1" x14ac:dyDescent="0.2">
      <c r="A343" s="2171" t="s">
        <v>996</v>
      </c>
      <c r="B343" s="2172"/>
      <c r="C343" s="616"/>
      <c r="D343" s="616"/>
      <c r="E343" s="616"/>
      <c r="F343" s="616"/>
      <c r="G343" s="616"/>
      <c r="H343" s="616"/>
      <c r="I343" s="616"/>
      <c r="J343" s="616"/>
      <c r="K343" s="1684">
        <f>'Revenues 9-14'!J268-'Expenditures 15-22'!K342</f>
        <v>40689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12853</v>
      </c>
      <c r="F348" s="466"/>
      <c r="G348" s="466">
        <v>243460</v>
      </c>
      <c r="H348" s="466"/>
      <c r="I348" s="467"/>
      <c r="J348" s="467"/>
      <c r="K348" s="1671">
        <f>SUM(C348:J348)</f>
        <v>256313</v>
      </c>
      <c r="L348" s="466">
        <v>280000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12853</v>
      </c>
      <c r="F350" s="1670">
        <f t="shared" si="26"/>
        <v>0</v>
      </c>
      <c r="G350" s="1670">
        <f t="shared" si="26"/>
        <v>243460</v>
      </c>
      <c r="H350" s="1670">
        <f t="shared" si="26"/>
        <v>0</v>
      </c>
      <c r="I350" s="1670">
        <f t="shared" si="26"/>
        <v>0</v>
      </c>
      <c r="J350" s="1670">
        <f t="shared" si="26"/>
        <v>0</v>
      </c>
      <c r="K350" s="1670">
        <f t="shared" si="26"/>
        <v>256313</v>
      </c>
      <c r="L350" s="1670">
        <f t="shared" si="26"/>
        <v>280000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12853</v>
      </c>
      <c r="F352" s="1670">
        <f t="shared" si="27"/>
        <v>0</v>
      </c>
      <c r="G352" s="1670">
        <f t="shared" si="27"/>
        <v>243460</v>
      </c>
      <c r="H352" s="1670">
        <f t="shared" si="27"/>
        <v>0</v>
      </c>
      <c r="I352" s="1670">
        <f t="shared" si="27"/>
        <v>0</v>
      </c>
      <c r="J352" s="1670">
        <f t="shared" si="27"/>
        <v>0</v>
      </c>
      <c r="K352" s="1670">
        <f t="shared" si="27"/>
        <v>256313</v>
      </c>
      <c r="L352" s="1670">
        <f t="shared" si="27"/>
        <v>280000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12853</v>
      </c>
      <c r="F367" s="1670">
        <f t="shared" si="28"/>
        <v>0</v>
      </c>
      <c r="G367" s="1670">
        <f t="shared" si="28"/>
        <v>243460</v>
      </c>
      <c r="H367" s="1670">
        <f t="shared" si="28"/>
        <v>0</v>
      </c>
      <c r="I367" s="1670">
        <f t="shared" si="28"/>
        <v>0</v>
      </c>
      <c r="J367" s="1670">
        <f t="shared" si="28"/>
        <v>0</v>
      </c>
      <c r="K367" s="1670">
        <f t="shared" si="28"/>
        <v>256313</v>
      </c>
      <c r="L367" s="1670">
        <f t="shared" si="28"/>
        <v>280000</v>
      </c>
    </row>
    <row r="368" spans="1:14" ht="13.5" thickTop="1" x14ac:dyDescent="0.2">
      <c r="A368" s="2158" t="s">
        <v>996</v>
      </c>
      <c r="B368" s="2159"/>
      <c r="C368" s="654"/>
      <c r="D368" s="654"/>
      <c r="E368" s="626"/>
      <c r="F368" s="626"/>
      <c r="G368" s="626"/>
      <c r="H368" s="626"/>
      <c r="I368" s="626"/>
      <c r="J368" s="623"/>
      <c r="K368" s="1671">
        <f>'Revenues 9-14'!K268-'Expenditures 15-22'!K367</f>
        <v>-256206</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1377609</v>
      </c>
      <c r="C4" s="1524"/>
      <c r="D4" s="1752">
        <f>B4-C4</f>
        <v>1377609</v>
      </c>
      <c r="E4" s="1524">
        <v>1453955</v>
      </c>
      <c r="F4" s="1752">
        <f>E4-C4</f>
        <v>1453955</v>
      </c>
    </row>
    <row r="5" spans="1:6" ht="13.7" customHeight="1" x14ac:dyDescent="0.2">
      <c r="A5" s="715" t="s">
        <v>870</v>
      </c>
      <c r="B5" s="1750">
        <f>'Revenues 9-14'!D5</f>
        <v>176616</v>
      </c>
      <c r="C5" s="585"/>
      <c r="D5" s="1753">
        <f t="shared" ref="D5:D18" si="0">B5-C5</f>
        <v>176616</v>
      </c>
      <c r="E5" s="585">
        <v>188405</v>
      </c>
      <c r="F5" s="1753">
        <f>E5-C5</f>
        <v>188405</v>
      </c>
    </row>
    <row r="6" spans="1:6" ht="13.7" customHeight="1" x14ac:dyDescent="0.2">
      <c r="A6" s="715" t="s">
        <v>411</v>
      </c>
      <c r="B6" s="1750">
        <f>'Revenues 9-14'!E5</f>
        <v>92452</v>
      </c>
      <c r="C6" s="585"/>
      <c r="D6" s="1753">
        <f t="shared" si="0"/>
        <v>92452</v>
      </c>
      <c r="E6" s="585">
        <v>88695</v>
      </c>
      <c r="F6" s="1753">
        <f t="shared" ref="F6:F18" si="1">E6-C6</f>
        <v>88695</v>
      </c>
    </row>
    <row r="7" spans="1:6" ht="13.7" customHeight="1" x14ac:dyDescent="0.2">
      <c r="A7" s="715" t="s">
        <v>155</v>
      </c>
      <c r="B7" s="1750">
        <f>'Revenues 9-14'!F5</f>
        <v>70647</v>
      </c>
      <c r="C7" s="585"/>
      <c r="D7" s="1753">
        <f t="shared" si="0"/>
        <v>70647</v>
      </c>
      <c r="E7" s="585">
        <v>74562</v>
      </c>
      <c r="F7" s="1753">
        <f t="shared" si="1"/>
        <v>74562</v>
      </c>
    </row>
    <row r="8" spans="1:6" ht="13.7" customHeight="1" x14ac:dyDescent="0.2">
      <c r="A8" s="715" t="s">
        <v>1179</v>
      </c>
      <c r="B8" s="1750">
        <f>'Revenues 9-14'!G5</f>
        <v>43811</v>
      </c>
      <c r="C8" s="585"/>
      <c r="D8" s="1753">
        <f t="shared" si="0"/>
        <v>43811</v>
      </c>
      <c r="E8" s="585">
        <v>39003</v>
      </c>
      <c r="F8" s="1753">
        <f t="shared" si="1"/>
        <v>39003</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17662</v>
      </c>
      <c r="C10" s="585"/>
      <c r="D10" s="1753">
        <f t="shared" si="0"/>
        <v>17662</v>
      </c>
      <c r="E10" s="585">
        <v>18640</v>
      </c>
      <c r="F10" s="1753">
        <f t="shared" si="1"/>
        <v>18640</v>
      </c>
    </row>
    <row r="11" spans="1:6" x14ac:dyDescent="0.2">
      <c r="A11" s="715" t="s">
        <v>409</v>
      </c>
      <c r="B11" s="1750">
        <f>'Revenues 9-14'!J5</f>
        <v>86248</v>
      </c>
      <c r="C11" s="585"/>
      <c r="D11" s="1753">
        <f t="shared" si="0"/>
        <v>86248</v>
      </c>
      <c r="E11" s="585">
        <v>91170</v>
      </c>
      <c r="F11" s="1753">
        <f t="shared" si="1"/>
        <v>91170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17662</v>
      </c>
      <c r="C13" s="585"/>
      <c r="D13" s="1753">
        <f t="shared" si="0"/>
        <v>17662</v>
      </c>
      <c r="E13" s="585">
        <v>18640</v>
      </c>
      <c r="F13" s="1753">
        <f t="shared" si="1"/>
        <v>18640</v>
      </c>
    </row>
    <row r="14" spans="1:6" ht="13.7" customHeight="1" x14ac:dyDescent="0.2">
      <c r="A14" s="715" t="s">
        <v>410</v>
      </c>
      <c r="B14" s="1750">
        <f>SUM('Revenues 9-14'!C7:D7,'Revenues 9-14'!F7:H7)</f>
        <v>14130</v>
      </c>
      <c r="C14" s="585"/>
      <c r="D14" s="1753">
        <f t="shared" si="0"/>
        <v>14130</v>
      </c>
      <c r="E14" s="585">
        <v>14912</v>
      </c>
      <c r="F14" s="1753">
        <f t="shared" si="1"/>
        <v>14912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46001</v>
      </c>
      <c r="C16" s="585"/>
      <c r="D16" s="1753">
        <f t="shared" si="0"/>
        <v>46001</v>
      </c>
      <c r="E16" s="585">
        <v>41002</v>
      </c>
      <c r="F16" s="1753">
        <f t="shared" si="1"/>
        <v>41002</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1942838</v>
      </c>
      <c r="C19" s="1751">
        <f>SUM(C4:C18)</f>
        <v>0</v>
      </c>
      <c r="D19" s="1751">
        <f>SUM(D4:D18)</f>
        <v>1942838</v>
      </c>
      <c r="E19" s="1751">
        <f>SUM(E4:E18)</f>
        <v>2028984</v>
      </c>
      <c r="F19" s="1751">
        <f>SUM(F4:F18)</f>
        <v>2028984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H31" sqref="H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1802</v>
      </c>
      <c r="B2" s="2213"/>
      <c r="C2" s="1884" t="s">
        <v>1954</v>
      </c>
      <c r="D2" s="723" t="s">
        <v>1955</v>
      </c>
      <c r="E2" s="723" t="s">
        <v>1956</v>
      </c>
      <c r="F2" s="1884" t="s">
        <v>1957</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2091</v>
      </c>
      <c r="B31" s="733">
        <v>42962</v>
      </c>
      <c r="C31" s="734">
        <v>530000</v>
      </c>
      <c r="D31" s="735">
        <v>4</v>
      </c>
      <c r="E31" s="734">
        <v>530000</v>
      </c>
      <c r="F31" s="734"/>
      <c r="G31" s="734"/>
      <c r="H31" s="734">
        <v>55000</v>
      </c>
      <c r="I31" s="1756">
        <f>((E31+F31)-H31)+G31</f>
        <v>475000</v>
      </c>
      <c r="J31" s="734">
        <v>473565</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530000</v>
      </c>
      <c r="D49" s="745"/>
      <c r="E49" s="1756">
        <f t="shared" ref="E49:J49" si="2">SUM(E31:E48)</f>
        <v>530000</v>
      </c>
      <c r="F49" s="1756">
        <f t="shared" si="2"/>
        <v>0</v>
      </c>
      <c r="G49" s="1756">
        <f t="shared" si="2"/>
        <v>0</v>
      </c>
      <c r="H49" s="1756">
        <f t="shared" si="2"/>
        <v>55000</v>
      </c>
      <c r="I49" s="1756">
        <f t="shared" si="2"/>
        <v>475000</v>
      </c>
      <c r="J49" s="1756">
        <f t="shared" si="2"/>
        <v>473565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1812</v>
      </c>
      <c r="K2" s="762" t="s">
        <v>138</v>
      </c>
    </row>
    <row r="3" spans="1:11" x14ac:dyDescent="0.2">
      <c r="A3" s="2238" t="s">
        <v>1962</v>
      </c>
      <c r="B3" s="2239"/>
      <c r="C3" s="2239"/>
      <c r="D3" s="2239"/>
      <c r="E3" s="2240"/>
      <c r="F3" s="763"/>
      <c r="G3" s="764"/>
      <c r="H3" s="764"/>
      <c r="I3" s="764"/>
      <c r="J3" s="765"/>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v>14130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3995</v>
      </c>
    </row>
    <row r="10" spans="1:11" x14ac:dyDescent="0.2">
      <c r="A10" s="2219" t="s">
        <v>1813</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7"/>
      <c r="G12" s="1758">
        <f>SUM(G5:G11)</f>
        <v>0</v>
      </c>
      <c r="H12" s="1758">
        <f>SUM(H5:H11)</f>
        <v>14130</v>
      </c>
      <c r="I12" s="1758">
        <f>SUM(I5:I11)</f>
        <v>0</v>
      </c>
      <c r="J12" s="1758">
        <f>SUM(J5:J11)</f>
        <v>0</v>
      </c>
      <c r="K12" s="1758">
        <f>SUM(K5:K11)</f>
        <v>3995</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v>14130</v>
      </c>
      <c r="I14" s="771"/>
      <c r="J14" s="773"/>
      <c r="K14" s="765">
        <v>3995</v>
      </c>
    </row>
    <row r="15" spans="1:11" x14ac:dyDescent="0.2">
      <c r="A15" s="2220" t="s">
        <v>4</v>
      </c>
      <c r="B15" s="2220"/>
      <c r="C15" s="2220"/>
      <c r="D15" s="2220"/>
      <c r="E15" s="2221"/>
      <c r="F15" s="789" t="s">
        <v>855</v>
      </c>
      <c r="G15" s="771"/>
      <c r="H15" s="764"/>
      <c r="I15" s="764"/>
      <c r="J15" s="765"/>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1809</v>
      </c>
      <c r="B19" s="2228"/>
      <c r="C19" s="2228"/>
      <c r="D19" s="2228"/>
      <c r="E19" s="2229"/>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0</v>
      </c>
      <c r="K21" s="793"/>
    </row>
    <row r="22" spans="1:11" ht="13.5" thickTop="1" x14ac:dyDescent="0.2">
      <c r="A22" s="2220" t="s">
        <v>1815</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61"/>
      <c r="G23" s="1758">
        <f>SUM(G14:G16,G21,G22)</f>
        <v>0</v>
      </c>
      <c r="H23" s="1758">
        <f>SUM(H14:H16,H21,H22)</f>
        <v>14130</v>
      </c>
      <c r="I23" s="1758">
        <f>SUM(I14:I16,I21,I22)</f>
        <v>0</v>
      </c>
      <c r="J23" s="1758">
        <f>SUM(J14:J16,J21,J22)</f>
        <v>0</v>
      </c>
      <c r="K23" s="1758">
        <f>SUM(K14:K16,K21,K22)</f>
        <v>3995</v>
      </c>
    </row>
    <row r="24" spans="1:11" ht="14.25" thickTop="1" thickBot="1" x14ac:dyDescent="0.25">
      <c r="A24" s="2250" t="s">
        <v>1963</v>
      </c>
      <c r="B24" s="2249"/>
      <c r="C24" s="2249"/>
      <c r="D24" s="2249"/>
      <c r="E24" s="2249"/>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19000</v>
      </c>
      <c r="D5" s="841"/>
      <c r="E5" s="841"/>
      <c r="F5" s="1760">
        <f>(C5+D5)-E5</f>
        <v>19000</v>
      </c>
      <c r="G5" s="837"/>
      <c r="H5" s="842"/>
      <c r="I5" s="842"/>
      <c r="J5" s="842"/>
      <c r="K5" s="793"/>
      <c r="L5" s="1769">
        <f>F5-K5</f>
        <v>19000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2301292</v>
      </c>
      <c r="D8" s="844"/>
      <c r="E8" s="844"/>
      <c r="F8" s="1760">
        <f>(C8+D8)-E8</f>
        <v>2301292</v>
      </c>
      <c r="G8" s="843">
        <v>50</v>
      </c>
      <c r="H8" s="765">
        <v>1756970</v>
      </c>
      <c r="I8" s="765">
        <v>46026</v>
      </c>
      <c r="J8" s="765"/>
      <c r="K8" s="1769">
        <f>(H8+I8)-J8</f>
        <v>1802996</v>
      </c>
      <c r="L8" s="1769">
        <f>F8-K8</f>
        <v>498296</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1616470</v>
      </c>
      <c r="D10" s="846">
        <v>266628</v>
      </c>
      <c r="E10" s="846"/>
      <c r="F10" s="1764">
        <f>(C10+D10)-E10</f>
        <v>1883098</v>
      </c>
      <c r="G10" s="843">
        <v>20</v>
      </c>
      <c r="H10" s="847">
        <v>998882</v>
      </c>
      <c r="I10" s="847">
        <v>81819</v>
      </c>
      <c r="J10" s="847"/>
      <c r="K10" s="1769">
        <f>(H10+I10)-J10</f>
        <v>1080701</v>
      </c>
      <c r="L10" s="1769">
        <f>F10-K10</f>
        <v>802397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917848</v>
      </c>
      <c r="D12" s="844">
        <v>1578</v>
      </c>
      <c r="E12" s="844"/>
      <c r="F12" s="1760">
        <f>(C12+D12)-E12</f>
        <v>919426</v>
      </c>
      <c r="G12" s="843">
        <v>10</v>
      </c>
      <c r="H12" s="765">
        <v>816534</v>
      </c>
      <c r="I12" s="765">
        <v>15484</v>
      </c>
      <c r="J12" s="765"/>
      <c r="K12" s="1769">
        <f>(H12+I12)-J12</f>
        <v>832018</v>
      </c>
      <c r="L12" s="1769">
        <f>F12-K12</f>
        <v>87408</v>
      </c>
    </row>
    <row r="13" spans="1:14" ht="14.25" thickTop="1" thickBot="1" x14ac:dyDescent="0.25">
      <c r="A13" s="848" t="s">
        <v>1122</v>
      </c>
      <c r="B13" s="840">
        <v>252</v>
      </c>
      <c r="C13" s="844">
        <v>200089</v>
      </c>
      <c r="D13" s="844"/>
      <c r="E13" s="844"/>
      <c r="F13" s="1760">
        <f>(C13+D13)-E13</f>
        <v>200089</v>
      </c>
      <c r="G13" s="843">
        <v>5</v>
      </c>
      <c r="H13" s="765">
        <v>164517</v>
      </c>
      <c r="I13" s="765">
        <v>9432</v>
      </c>
      <c r="J13" s="765"/>
      <c r="K13" s="1769">
        <f>(H13+I13)-J13</f>
        <v>173949</v>
      </c>
      <c r="L13" s="1769">
        <f>F13-K13</f>
        <v>26140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5054699</v>
      </c>
      <c r="D16" s="1760">
        <f>SUM(D3,D5:D6,D8:D10,D12:D15)</f>
        <v>268206</v>
      </c>
      <c r="E16" s="1760">
        <f>SUM(E3,E5:E6,E8:E10,E12:E15)</f>
        <v>0</v>
      </c>
      <c r="F16" s="1760">
        <f>SUM(F3,F5:F6,F8:F10,F12:F15)</f>
        <v>5322905</v>
      </c>
      <c r="G16" s="843"/>
      <c r="H16" s="1760">
        <f>SUM(H3,H6,H8:H10,H12:H14,)</f>
        <v>3736903</v>
      </c>
      <c r="I16" s="1760">
        <f>SUM(I3,I6,I8:I10,I12:I14,)</f>
        <v>152761</v>
      </c>
      <c r="J16" s="1760">
        <f>SUM(J3,J6,J8:J10,J12:J14,)</f>
        <v>0</v>
      </c>
      <c r="K16" s="1760">
        <f>(H16+I16)-J16</f>
        <v>3889664</v>
      </c>
      <c r="L16" s="1760">
        <f>F16-K16</f>
        <v>1433241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152761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2454661</v>
      </c>
      <c r="G8" s="865"/>
    </row>
    <row r="9" spans="1:7" x14ac:dyDescent="0.2">
      <c r="A9" s="869" t="s">
        <v>460</v>
      </c>
      <c r="B9" s="870" t="s">
        <v>1876</v>
      </c>
      <c r="C9" s="871"/>
      <c r="D9" s="869" t="s">
        <v>501</v>
      </c>
      <c r="E9" s="868"/>
      <c r="F9" s="1909">
        <f>'Expenditures 15-22'!K151</f>
        <v>228404</v>
      </c>
      <c r="G9" s="872"/>
    </row>
    <row r="10" spans="1:7" x14ac:dyDescent="0.2">
      <c r="A10" s="869" t="s">
        <v>499</v>
      </c>
      <c r="B10" s="870" t="s">
        <v>1877</v>
      </c>
      <c r="C10" s="871"/>
      <c r="D10" s="869" t="s">
        <v>501</v>
      </c>
      <c r="E10" s="868"/>
      <c r="F10" s="1909">
        <f>'Expenditures 15-22'!K174</f>
        <v>92646</v>
      </c>
      <c r="G10" s="872"/>
    </row>
    <row r="11" spans="1:7" x14ac:dyDescent="0.2">
      <c r="A11" s="869" t="s">
        <v>461</v>
      </c>
      <c r="B11" s="870" t="s">
        <v>1878</v>
      </c>
      <c r="C11" s="871"/>
      <c r="D11" s="869" t="s">
        <v>501</v>
      </c>
      <c r="E11" s="868"/>
      <c r="F11" s="1909">
        <f>'Expenditures 15-22'!K210</f>
        <v>122891</v>
      </c>
      <c r="G11" s="872"/>
    </row>
    <row r="12" spans="1:7" x14ac:dyDescent="0.2">
      <c r="A12" s="869" t="s">
        <v>462</v>
      </c>
      <c r="B12" s="870" t="s">
        <v>1879</v>
      </c>
      <c r="C12" s="871"/>
      <c r="D12" s="869" t="s">
        <v>501</v>
      </c>
      <c r="E12" s="868"/>
      <c r="F12" s="1909">
        <f>'Expenditures 15-22'!K295</f>
        <v>67896</v>
      </c>
      <c r="G12" s="872"/>
    </row>
    <row r="13" spans="1:7" x14ac:dyDescent="0.2">
      <c r="A13" s="869" t="s">
        <v>106</v>
      </c>
      <c r="B13" s="870" t="s">
        <v>1880</v>
      </c>
      <c r="C13" s="871"/>
      <c r="D13" s="869" t="s">
        <v>501</v>
      </c>
      <c r="E13" s="868"/>
      <c r="F13" s="1909">
        <f>'Expenditures 15-22'!K342</f>
        <v>46258</v>
      </c>
      <c r="G13" s="873"/>
    </row>
    <row r="14" spans="1:7" ht="12" customHeight="1" thickBot="1" x14ac:dyDescent="0.25">
      <c r="A14" s="1770"/>
      <c r="B14" s="1771"/>
      <c r="C14" s="1772"/>
      <c r="D14" s="1773" t="s">
        <v>501</v>
      </c>
      <c r="E14" s="1774" t="s">
        <v>958</v>
      </c>
      <c r="F14" s="1775">
        <f>SUM(F8:F13)</f>
        <v>3012756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89340</v>
      </c>
      <c r="G52" s="865"/>
    </row>
    <row r="53" spans="1:7" x14ac:dyDescent="0.2">
      <c r="A53" s="869" t="s">
        <v>459</v>
      </c>
      <c r="B53" s="869" t="s">
        <v>1475</v>
      </c>
      <c r="C53" s="889">
        <f>'Expenditures 15-22'!B102</f>
        <v>4000</v>
      </c>
      <c r="D53" s="888" t="str">
        <f>'Expenditures 15-22'!A102</f>
        <v>Total Payments to Other Govt Units</v>
      </c>
      <c r="E53" s="868"/>
      <c r="F53" s="1913">
        <f>'Expenditures 15-22'!K102</f>
        <v>174522</v>
      </c>
      <c r="G53" s="865"/>
    </row>
    <row r="54" spans="1:7" x14ac:dyDescent="0.2">
      <c r="A54" s="869" t="s">
        <v>459</v>
      </c>
      <c r="B54" s="869" t="s">
        <v>1476</v>
      </c>
      <c r="C54" s="889" t="s">
        <v>982</v>
      </c>
      <c r="D54" s="885" t="s">
        <v>1095</v>
      </c>
      <c r="E54" s="868"/>
      <c r="F54" s="1913">
        <f>'Expenditures 15-22'!G114</f>
        <v>37926</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3600</v>
      </c>
      <c r="G57" s="865"/>
    </row>
    <row r="58" spans="1:7" x14ac:dyDescent="0.2">
      <c r="A58" s="869" t="s">
        <v>460</v>
      </c>
      <c r="B58" s="869" t="s">
        <v>1882</v>
      </c>
      <c r="C58" s="886" t="s">
        <v>982</v>
      </c>
      <c r="D58" s="885" t="s">
        <v>1095</v>
      </c>
      <c r="E58" s="868"/>
      <c r="F58" s="1915">
        <f>'Expenditures 15-22'!G151</f>
        <v>750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55000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12893</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5162</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379193</v>
      </c>
      <c r="G76" s="865"/>
    </row>
    <row r="77" spans="1:8" s="893" customFormat="1" ht="12" customHeight="1" thickTop="1" thickBot="1" x14ac:dyDescent="0.25">
      <c r="A77" s="1779"/>
      <c r="B77" s="1776"/>
      <c r="C77" s="1772"/>
      <c r="D77" s="1777" t="s">
        <v>1899</v>
      </c>
      <c r="E77" s="1774"/>
      <c r="F77" s="1780">
        <f>(F14-F76)</f>
        <v>2633563</v>
      </c>
      <c r="G77" s="869"/>
    </row>
    <row r="78" spans="1:8" s="893" customFormat="1" ht="12" customHeight="1" thickTop="1" x14ac:dyDescent="0.2">
      <c r="A78" s="1781"/>
      <c r="B78" s="1776"/>
      <c r="C78" s="1772"/>
      <c r="D78" s="1777" t="s">
        <v>2060</v>
      </c>
      <c r="E78" s="1774"/>
      <c r="F78" s="898">
        <v>265.7</v>
      </c>
      <c r="G78" s="899"/>
      <c r="H78" s="869"/>
    </row>
    <row r="79" spans="1:8" s="893" customFormat="1" ht="12" customHeight="1" thickBot="1" x14ac:dyDescent="0.25">
      <c r="A79" s="1782"/>
      <c r="B79" s="1776"/>
      <c r="C79" s="1772"/>
      <c r="D79" s="1777" t="s">
        <v>1900</v>
      </c>
      <c r="E79" s="1774" t="s">
        <v>958</v>
      </c>
      <c r="F79" s="1783">
        <f>IF(F78&gt;0,F77/F78," Complete Line 78")</f>
        <v>9911.791494166353</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52804</v>
      </c>
      <c r="G94" s="912"/>
    </row>
    <row r="95" spans="1:7" x14ac:dyDescent="0.2">
      <c r="A95" s="908" t="s">
        <v>140</v>
      </c>
      <c r="B95" s="908" t="s">
        <v>175</v>
      </c>
      <c r="C95" s="910">
        <v>1700</v>
      </c>
      <c r="D95" s="918" t="str">
        <f>'Revenues 9-14'!A82</f>
        <v>Total District/School Activity Income</v>
      </c>
      <c r="E95" s="906"/>
      <c r="F95" s="1789">
        <f>SUM('Revenues 9-14'!C82,'Revenues 9-14'!D82)</f>
        <v>16287</v>
      </c>
      <c r="G95" s="912"/>
    </row>
    <row r="96" spans="1:7" x14ac:dyDescent="0.2">
      <c r="A96" s="908" t="s">
        <v>459</v>
      </c>
      <c r="B96" s="908" t="s">
        <v>176</v>
      </c>
      <c r="C96" s="910">
        <f>'Revenues 9-14'!B84</f>
        <v>1811</v>
      </c>
      <c r="D96" s="911" t="str">
        <f>'Revenues 9-14'!A84</f>
        <v>Rentals - Regular Textbooks</v>
      </c>
      <c r="E96" s="906"/>
      <c r="F96" s="1789">
        <f>'Revenues 9-14'!C84</f>
        <v>6920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21500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174772</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22584</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637</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3995</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94389</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467</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43043</v>
      </c>
      <c r="G125" s="930"/>
    </row>
    <row r="126" spans="1:7" x14ac:dyDescent="0.2">
      <c r="A126" s="927" t="s">
        <v>668</v>
      </c>
      <c r="B126" s="927" t="s">
        <v>2022</v>
      </c>
      <c r="C126" s="932">
        <v>4300</v>
      </c>
      <c r="D126" s="933" t="str">
        <f>'Revenues 9-14'!A204</f>
        <v>Total Title I</v>
      </c>
      <c r="E126" s="906"/>
      <c r="F126" s="1789">
        <f>SUM('Revenues 9-14'!C204,'Revenues 9-14'!D204,'Revenues 9-14'!F204,'Revenues 9-14'!G204)</f>
        <v>52270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8958</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29978</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528604</v>
      </c>
    </row>
    <row r="175" spans="1:7" ht="12" customHeight="1" x14ac:dyDescent="0.2">
      <c r="A175" s="1770"/>
      <c r="B175" s="1784"/>
      <c r="C175" s="1785"/>
      <c r="D175" s="1786" t="s">
        <v>2055</v>
      </c>
      <c r="E175" s="1787"/>
      <c r="F175" s="1789">
        <f>'PCTC-OEPP 27-28'!F77-F174</f>
        <v>2104959</v>
      </c>
    </row>
    <row r="176" spans="1:7" ht="12" customHeight="1" x14ac:dyDescent="0.2">
      <c r="A176" s="1770"/>
      <c r="B176" s="1784"/>
      <c r="C176" s="1785"/>
      <c r="D176" s="1786" t="s">
        <v>1817</v>
      </c>
      <c r="E176" s="1787"/>
      <c r="F176" s="1789">
        <f>'Cap Outlay Deprec 26'!I18</f>
        <v>152761</v>
      </c>
    </row>
    <row r="177" spans="1:7" ht="12" customHeight="1" x14ac:dyDescent="0.2">
      <c r="A177" s="1770"/>
      <c r="B177" s="1784"/>
      <c r="C177" s="1785"/>
      <c r="D177" s="1786" t="s">
        <v>2056</v>
      </c>
      <c r="E177" s="1787"/>
      <c r="F177" s="1789">
        <f>F175+F176</f>
        <v>2257720</v>
      </c>
    </row>
    <row r="178" spans="1:7" ht="12" customHeight="1" x14ac:dyDescent="0.2">
      <c r="A178" s="1770"/>
      <c r="B178" s="1790"/>
      <c r="C178" s="1785"/>
      <c r="D178" s="1786" t="str">
        <f>D78</f>
        <v>9 Month ADA from District Average Daily Attendance/Prior General State Aid Inquiry 2018-2019</v>
      </c>
      <c r="E178" s="1787"/>
      <c r="F178" s="1791">
        <f>'PCTC-OEPP 27-28'!F78</f>
        <v>265.7</v>
      </c>
      <c r="G178" s="930"/>
    </row>
    <row r="179" spans="1:7" ht="12" customHeight="1" thickBot="1" x14ac:dyDescent="0.25">
      <c r="A179" s="1770"/>
      <c r="B179" s="1790"/>
      <c r="C179" s="1785"/>
      <c r="D179" s="1786" t="s">
        <v>2057</v>
      </c>
      <c r="E179" s="1787" t="s">
        <v>1545</v>
      </c>
      <c r="F179" s="1792">
        <f>F177/F178</f>
        <v>8497.2525404591652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2092</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47165</v>
      </c>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1436563</v>
      </c>
      <c r="F19" s="1799"/>
      <c r="G19" s="1801">
        <f>'Expenditures 15-22'!K33-SUM('Expenditures 15-22'!G33,'Expenditures 15-22'!I33)+'Expenditures 15-22'!D229</f>
        <v>1436563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112864</v>
      </c>
      <c r="F21" s="1802"/>
      <c r="G21" s="1805">
        <f>'Expenditures 15-22'!K42-SUM('Expenditures 15-22'!G42,'Expenditures 15-22'!I42)+'Expenditures 15-22'!K120-SUM('Expenditures 15-22'!G120,'Expenditures 15-22'!I120)+'Expenditures 15-22'!K180-SUM('Expenditures 15-22'!G180,'Expenditures 15-22'!I180)+'Expenditures 15-22'!D238</f>
        <v>112864</v>
      </c>
      <c r="H21" s="987"/>
      <c r="I21" s="162"/>
    </row>
    <row r="22" spans="1:9" s="668" customFormat="1" ht="12" customHeight="1" x14ac:dyDescent="0.2">
      <c r="A22" s="994" t="s">
        <v>564</v>
      </c>
      <c r="B22" s="995"/>
      <c r="C22" s="993">
        <v>2200</v>
      </c>
      <c r="D22" s="1802"/>
      <c r="E22" s="1804">
        <f>'Expenditures 15-22'!K47-SUM('Expenditures 15-22'!G47,'Expenditures 15-22'!I47)+'Expenditures 15-22'!D243</f>
        <v>74952</v>
      </c>
      <c r="F22" s="1802"/>
      <c r="G22" s="1805">
        <f>'Expenditures 15-22'!K47-SUM('Expenditures 15-22'!G47,'Expenditures 15-22'!I47)+'Expenditures 15-22'!D243</f>
        <v>74952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255709</v>
      </c>
      <c r="F23" s="1802"/>
      <c r="G23" s="1804">
        <f>'Expenditures 15-22'!K53-SUM('Expenditures 15-22'!G53,'Expenditures 15-22'!I53)+'Expenditures 15-22'!D257+'Expenditures 15-22'!K330-SUM('Expenditures 15-22'!G330,'Expenditures 15-22'!I330)</f>
        <v>255709</v>
      </c>
      <c r="H23" s="987"/>
      <c r="I23" s="162"/>
    </row>
    <row r="24" spans="1:9" s="668" customFormat="1" ht="12" customHeight="1" x14ac:dyDescent="0.2">
      <c r="A24" s="994" t="s">
        <v>566</v>
      </c>
      <c r="B24" s="995"/>
      <c r="C24" s="993">
        <v>2400</v>
      </c>
      <c r="D24" s="1802"/>
      <c r="E24" s="1804">
        <f>'Expenditures 15-22'!K57-SUM('Expenditures 15-22'!G57,'Expenditures 15-22'!I57)+'Expenditures 15-22'!D261</f>
        <v>204206</v>
      </c>
      <c r="F24" s="1802"/>
      <c r="G24" s="1805">
        <f>'Expenditures 15-22'!K57-SUM('Expenditures 15-22'!G57,'Expenditures 15-22'!I57)+'Expenditures 15-22'!D261</f>
        <v>204206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59262</v>
      </c>
      <c r="E27" s="1804">
        <f>E8</f>
        <v>0</v>
      </c>
      <c r="F27" s="1804">
        <f>'Expenditures 15-22'!K60-SUM('Expenditures 15-22'!G60,'Expenditures 15-22'!I60)+'Expenditures 15-22'!D264-E8</f>
        <v>59262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236681</v>
      </c>
      <c r="F28" s="1806">
        <f>'Expenditures 15-22'!K61-SUM('Expenditures 15-22'!G61,'Expenditures 15-22'!I61)+'Expenditures 15-22'!K124-SUM('Expenditures 15-22'!G124,'Expenditures 15-22'!I124)+'Expenditures 15-22'!D266-E9</f>
        <v>236681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118938</v>
      </c>
      <c r="F29" s="1802"/>
      <c r="G29" s="1805">
        <f>'Expenditures 15-22'!K62-SUM('Expenditures 15-22'!G62,'Expenditures 15-22'!I62)+'Expenditures 15-22'!K125-SUM('Expenditures 15-22'!G125,'Expenditures 15-22'!I125)+'Expenditures 15-22'!K182-SUM('Expenditures 15-22'!G182,'Expenditures 15-22'!I182)+'Expenditures 15-22'!D267</f>
        <v>118938</v>
      </c>
      <c r="H29" s="985"/>
    </row>
    <row r="30" spans="1:9" ht="12" customHeight="1" x14ac:dyDescent="0.2">
      <c r="A30" s="994" t="s">
        <v>100</v>
      </c>
      <c r="B30" s="997"/>
      <c r="C30" s="993">
        <v>2560</v>
      </c>
      <c r="D30" s="1802"/>
      <c r="E30" s="1804">
        <f>'Expenditures 15-22'!K63-SUM('Expenditures 15-22'!G63,'Expenditures 15-22'!I63)+'Expenditures 15-22'!D268-E10</f>
        <v>49577</v>
      </c>
      <c r="F30" s="1802"/>
      <c r="G30" s="1804">
        <f>'Expenditures 15-22'!K63-SUM('Expenditures 15-22'!G63,'Expenditures 15-22'!I63)+'Expenditures 15-22'!D268-E10</f>
        <v>49577</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94502</v>
      </c>
      <c r="F39" s="1802"/>
      <c r="G39" s="1804">
        <f>'Expenditures 15-22'!K75-SUM('Expenditures 15-22'!G75,'Expenditures 15-22'!I75)+'Expenditures 15-22'!K130-SUM('Expenditures 15-22'!G130,'Expenditures 15-22'!I130)+'Expenditures 15-22'!K185-SUM('Expenditures 15-22'!G185,'Expenditures 15-22'!I185)+'Expenditures 15-22'!D280</f>
        <v>94502</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59262</v>
      </c>
      <c r="E41" s="1806">
        <f>SUM(E19:E40)</f>
        <v>2583992</v>
      </c>
      <c r="F41" s="1806">
        <f>SUM(F19:F39)</f>
        <v>295943</v>
      </c>
      <c r="G41" s="1806">
        <f>SUM(G19:G40)</f>
        <v>2347311</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59262</v>
      </c>
      <c r="F43" s="1807" t="s">
        <v>473</v>
      </c>
      <c r="G43" s="1808">
        <f>F41</f>
        <v>295943</v>
      </c>
    </row>
    <row r="44" spans="1:7" ht="12" customHeight="1" x14ac:dyDescent="0.2">
      <c r="A44" s="987"/>
      <c r="B44" s="162"/>
      <c r="C44" s="1001"/>
      <c r="D44" s="1807" t="s">
        <v>474</v>
      </c>
      <c r="E44" s="1808">
        <f>E41</f>
        <v>2583992</v>
      </c>
      <c r="F44" s="1807" t="s">
        <v>474</v>
      </c>
      <c r="G44" s="1808">
        <f>G41</f>
        <v>2347311</v>
      </c>
    </row>
    <row r="45" spans="1:7" ht="12" customHeight="1" x14ac:dyDescent="0.2">
      <c r="A45" s="987"/>
      <c r="B45" s="162"/>
      <c r="C45" s="162"/>
      <c r="D45" s="1809" t="s">
        <v>1006</v>
      </c>
      <c r="E45" s="1810">
        <f>(E43/E44)</f>
        <v>2.2934281530283377E-2</v>
      </c>
      <c r="F45" s="1809" t="s">
        <v>1006</v>
      </c>
      <c r="G45" s="1810">
        <f>(G43/G44)</f>
        <v>0.12607745628934555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D48" sqref="D48"/>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Cissna Park CUSD 6</v>
      </c>
      <c r="D6" s="2310"/>
      <c r="E6" s="2310"/>
      <c r="F6" s="1852"/>
    </row>
    <row r="7" spans="1:10" ht="11.25" customHeight="1" thickBot="1" x14ac:dyDescent="0.3">
      <c r="A7" s="1850"/>
      <c r="B7" s="1851"/>
      <c r="C7" s="2311">
        <f>COVER!A13</f>
        <v>32038006026</v>
      </c>
      <c r="D7" s="2311"/>
      <c r="E7" s="231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2093</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Cissna Park CUSD 6</v>
      </c>
      <c r="J6" s="2320"/>
      <c r="Q6" s="1664"/>
    </row>
    <row r="7" spans="1:17" x14ac:dyDescent="0.2">
      <c r="A7" s="2321" t="s">
        <v>869</v>
      </c>
      <c r="B7" s="2322"/>
      <c r="C7" s="2322"/>
      <c r="D7" s="2322"/>
      <c r="E7" s="2323"/>
      <c r="F7" s="1017"/>
      <c r="G7" s="1009"/>
      <c r="H7" s="1016" t="s">
        <v>372</v>
      </c>
      <c r="I7" s="2324">
        <f>COVER!A13</f>
        <v>32038006026</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172362</v>
      </c>
      <c r="F12" s="1039"/>
      <c r="G12" s="1811">
        <f t="shared" ref="G12:G18" si="0">SUM(E12:F12)</f>
        <v>172362</v>
      </c>
      <c r="H12" s="1040">
        <v>175830</v>
      </c>
      <c r="I12" s="1039"/>
      <c r="J12" s="1811">
        <f t="shared" ref="J12:J18" si="1">SUM(H12:I12)</f>
        <v>175830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172362</v>
      </c>
      <c r="F19" s="1813">
        <f t="shared" si="2"/>
        <v>0</v>
      </c>
      <c r="G19" s="1813">
        <f t="shared" si="2"/>
        <v>172362</v>
      </c>
      <c r="H19" s="1813">
        <f t="shared" si="2"/>
        <v>175830</v>
      </c>
      <c r="I19" s="1813">
        <f t="shared" si="2"/>
        <v>0</v>
      </c>
      <c r="J19" s="1813">
        <f t="shared" si="2"/>
        <v>175830</v>
      </c>
    </row>
    <row r="20" spans="1:10" ht="13.5" thickTop="1" x14ac:dyDescent="0.2">
      <c r="A20" s="1035">
        <v>9</v>
      </c>
      <c r="B20" s="2331" t="s">
        <v>1979</v>
      </c>
      <c r="C20" s="2331"/>
      <c r="D20" s="2332"/>
      <c r="E20" s="1046"/>
      <c r="F20" s="1046"/>
      <c r="G20" s="1046"/>
      <c r="H20" s="1046"/>
      <c r="I20" s="1046"/>
      <c r="J20" s="1814">
        <f>IF(AND(G19&gt;0,J19&gt;0),(((J19-G19)/G19)),"Enter Budget Data")</f>
        <v>2.0120444181432103E-2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2082</v>
      </c>
    </row>
    <row r="6" spans="1:2" x14ac:dyDescent="0.2">
      <c r="A6" s="1068"/>
      <c r="B6" s="329" t="s">
        <v>2083</v>
      </c>
    </row>
    <row r="7" spans="1:2" x14ac:dyDescent="0.2">
      <c r="A7" s="1068"/>
      <c r="B7" s="329" t="s">
        <v>2084</v>
      </c>
    </row>
    <row r="8" spans="1:2" x14ac:dyDescent="0.2">
      <c r="A8" s="1068"/>
    </row>
    <row r="9" spans="1:2" x14ac:dyDescent="0.2">
      <c r="A9" s="1068"/>
      <c r="B9" s="329" t="s">
        <v>2085</v>
      </c>
    </row>
    <row r="10" spans="1:2" x14ac:dyDescent="0.2">
      <c r="A10" s="1068"/>
    </row>
    <row r="11" spans="1:2" x14ac:dyDescent="0.2">
      <c r="A11" s="1068">
        <v>2</v>
      </c>
      <c r="B11" s="329" t="s">
        <v>2086</v>
      </c>
    </row>
    <row r="12" spans="1:2" x14ac:dyDescent="0.2">
      <c r="A12" s="1068"/>
      <c r="B12" s="329" t="s">
        <v>2087</v>
      </c>
    </row>
    <row r="13" spans="1:2" x14ac:dyDescent="0.2">
      <c r="A13" s="1068"/>
      <c r="B13" s="329" t="s">
        <v>2090</v>
      </c>
    </row>
    <row r="14" spans="1:2" x14ac:dyDescent="0.2">
      <c r="A14" s="1068"/>
      <c r="B14" s="329" t="s">
        <v>2094</v>
      </c>
    </row>
    <row r="15" spans="1:2" x14ac:dyDescent="0.2">
      <c r="A15" s="1068"/>
    </row>
    <row r="16" spans="1:2" x14ac:dyDescent="0.2">
      <c r="A16" s="1068">
        <v>3</v>
      </c>
      <c r="B16" s="329" t="s">
        <v>2096</v>
      </c>
    </row>
    <row r="17" spans="1:2" x14ac:dyDescent="0.2">
      <c r="A17" s="1068"/>
      <c r="B17" s="329" t="s">
        <v>2088</v>
      </c>
    </row>
    <row r="18" spans="1:2" x14ac:dyDescent="0.2">
      <c r="A18" s="1068"/>
    </row>
    <row r="19" spans="1:2" x14ac:dyDescent="0.2">
      <c r="A19" s="1068">
        <v>4</v>
      </c>
      <c r="B19" s="329" t="s">
        <v>2095</v>
      </c>
    </row>
    <row r="20" spans="1:2" x14ac:dyDescent="0.2">
      <c r="A20" s="1069"/>
      <c r="B20" s="329" t="s">
        <v>2089</v>
      </c>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row>
    <row r="70" spans="1:2" x14ac:dyDescent="0.2">
      <c r="A70" s="1069"/>
    </row>
    <row r="71" spans="1:2" x14ac:dyDescent="0.2">
      <c r="A71" s="1069"/>
    </row>
    <row r="72" spans="1:2" x14ac:dyDescent="0.2">
      <c r="A72" s="1069"/>
    </row>
    <row r="73" spans="1:2" x14ac:dyDescent="0.2">
      <c r="A73" s="1069"/>
    </row>
    <row r="74" spans="1:2" x14ac:dyDescent="0.2">
      <c r="A74" s="1069"/>
      <c r="B74" s="258" t="str">
        <f>COVER!A17</f>
        <v>Cissna Park CUSD 6</v>
      </c>
    </row>
    <row r="75" spans="1:2" x14ac:dyDescent="0.2">
      <c r="B75" s="1070">
        <f>COVER!A13</f>
        <v>32038006026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476250</xdr:colOff>
                <xdr:row>4</xdr:row>
                <xdr:rowOff>47625</xdr:rowOff>
              </from>
              <to>
                <xdr:col>1</xdr:col>
                <xdr:colOff>1390650</xdr:colOff>
                <xdr:row>8</xdr:row>
                <xdr:rowOff>85725</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2659716</v>
      </c>
      <c r="C8" s="1815">
        <f>'Acct Summary 7-8'!D8</f>
        <v>271783</v>
      </c>
      <c r="D8" s="1815">
        <f>'Acct Summary 7-8'!F8</f>
        <v>166683</v>
      </c>
      <c r="E8" s="1815">
        <f>'Acct Summary 7-8'!I8</f>
        <v>17771</v>
      </c>
      <c r="F8" s="1815">
        <f>SUM(B8:E8)</f>
        <v>3115953</v>
      </c>
    </row>
    <row r="9" spans="1:8" s="1079" customFormat="1" ht="14.25" customHeight="1" thickBot="1" x14ac:dyDescent="0.25">
      <c r="A9" s="1078" t="s">
        <v>1369</v>
      </c>
      <c r="B9" s="1816">
        <f>'Acct Summary 7-8'!C17</f>
        <v>2454661</v>
      </c>
      <c r="C9" s="1816">
        <f>'Acct Summary 7-8'!D17</f>
        <v>228404</v>
      </c>
      <c r="D9" s="1816">
        <f>'Acct Summary 7-8'!F17</f>
        <v>122891</v>
      </c>
      <c r="E9" s="1815"/>
      <c r="F9" s="1815">
        <f>SUM(B9:E9)</f>
        <v>2805956</v>
      </c>
    </row>
    <row r="10" spans="1:8" s="1079" customFormat="1" ht="14.25" thickTop="1" thickBot="1" x14ac:dyDescent="0.25">
      <c r="A10" s="1080" t="s">
        <v>1370</v>
      </c>
      <c r="B10" s="1817">
        <f>(B8-B9)</f>
        <v>205055</v>
      </c>
      <c r="C10" s="1817">
        <f>(C8-C9)</f>
        <v>43379</v>
      </c>
      <c r="D10" s="1817">
        <f>(D8-D9)</f>
        <v>43792</v>
      </c>
      <c r="E10" s="1816">
        <f>(E8-E9)</f>
        <v>17771</v>
      </c>
      <c r="F10" s="1818">
        <f>SUM(F8-F9)</f>
        <v>309997</v>
      </c>
    </row>
    <row r="11" spans="1:8" s="1079" customFormat="1" ht="14.25" thickTop="1" thickBot="1" x14ac:dyDescent="0.25">
      <c r="A11" s="1081" t="s">
        <v>1983</v>
      </c>
      <c r="B11" s="1819">
        <f>'Acct Summary 7-8'!C81</f>
        <v>2429757</v>
      </c>
      <c r="C11" s="1819">
        <f>'Acct Summary 7-8'!D81</f>
        <v>439346</v>
      </c>
      <c r="D11" s="1819">
        <f>'Acct Summary 7-8'!F81</f>
        <v>201541</v>
      </c>
      <c r="E11" s="1819">
        <f>'Acct Summary 7-8'!I81</f>
        <v>192</v>
      </c>
      <c r="F11" s="1820">
        <f>SUM(B11:E11)</f>
        <v>3070836</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32038006026</v>
      </c>
    </row>
    <row r="3" spans="1:2" x14ac:dyDescent="0.2">
      <c r="A3" t="s">
        <v>956</v>
      </c>
      <c r="B3" s="138" t="str">
        <f>COVER!A15</f>
        <v>IROQUOIS</v>
      </c>
    </row>
    <row r="4" spans="1:2" x14ac:dyDescent="0.2">
      <c r="A4" t="s">
        <v>1007</v>
      </c>
      <c r="B4" s="138" t="str">
        <f>COVER!A17</f>
        <v>Cissna Park CUSD 6</v>
      </c>
    </row>
    <row r="5" spans="1:2" x14ac:dyDescent="0.2">
      <c r="A5" t="s">
        <v>704</v>
      </c>
      <c r="B5" s="138" t="str">
        <f>COVER!A38</f>
        <v>Dr. Daniel Hylbert</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2429757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2429757</v>
      </c>
      <c r="D92" s="2" t="str">
        <f t="shared" si="0"/>
        <v>Error?</v>
      </c>
    </row>
    <row r="93" spans="1:4" x14ac:dyDescent="0.2">
      <c r="A93" s="5">
        <v>32</v>
      </c>
      <c r="B93" s="138">
        <f>'Assets-Liab 5-6'!C41</f>
        <v>2429757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439346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439346</v>
      </c>
      <c r="D123" s="2" t="str">
        <f t="shared" si="0"/>
        <v>Error?</v>
      </c>
    </row>
    <row r="124" spans="1:4" x14ac:dyDescent="0.2">
      <c r="A124" s="5">
        <v>63</v>
      </c>
      <c r="B124" s="138">
        <f>'Assets-Liab 5-6'!D41</f>
        <v>439346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1435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1435</v>
      </c>
      <c r="D140" s="2" t="str">
        <f t="shared" si="1"/>
        <v>Error?</v>
      </c>
    </row>
    <row r="141" spans="1:4" x14ac:dyDescent="0.2">
      <c r="A141" s="5">
        <v>80</v>
      </c>
      <c r="B141" s="138">
        <f>'Assets-Liab 5-6'!E41</f>
        <v>1435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201541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201541</v>
      </c>
      <c r="D170" s="2" t="str">
        <f t="shared" si="1"/>
        <v>Error?</v>
      </c>
    </row>
    <row r="171" spans="1:4" x14ac:dyDescent="0.2">
      <c r="A171" s="5">
        <v>110</v>
      </c>
      <c r="B171" s="138">
        <f>'Assets-Liab 5-6'!F41</f>
        <v>201541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182051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182051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19000</v>
      </c>
      <c r="D273" s="2" t="str">
        <f t="shared" si="3"/>
        <v>Error?</v>
      </c>
    </row>
    <row r="274" spans="1:4" x14ac:dyDescent="0.2">
      <c r="A274" s="5">
        <v>213</v>
      </c>
      <c r="B274" s="138">
        <f>'Assets-Liab 5-6'!M17</f>
        <v>2301292</v>
      </c>
      <c r="D274" s="2" t="str">
        <f t="shared" si="3"/>
        <v>Error?</v>
      </c>
    </row>
    <row r="275" spans="1:4" x14ac:dyDescent="0.2">
      <c r="A275" s="5">
        <v>214</v>
      </c>
      <c r="B275" s="138">
        <f>'Assets-Liab 5-6'!M18</f>
        <v>1883098</v>
      </c>
      <c r="D275" s="2" t="str">
        <f t="shared" si="3"/>
        <v>Error?</v>
      </c>
    </row>
    <row r="276" spans="1:4" x14ac:dyDescent="0.2">
      <c r="A276" s="5">
        <v>215</v>
      </c>
      <c r="B276" s="138">
        <f>'Assets-Liab 5-6'!M19</f>
        <v>1117937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5321327</v>
      </c>
      <c r="C279" s="2" t="s">
        <v>573</v>
      </c>
      <c r="D279" s="2" t="str">
        <f t="shared" si="3"/>
        <v>Error?</v>
      </c>
    </row>
    <row r="280" spans="1:4" x14ac:dyDescent="0.2">
      <c r="A280" s="5">
        <v>219</v>
      </c>
      <c r="B280" s="138">
        <f>'Assets-Liab 5-6'!M40</f>
        <v>5321327</v>
      </c>
      <c r="D280" s="2" t="str">
        <f t="shared" si="3"/>
        <v>Error?</v>
      </c>
    </row>
    <row r="281" spans="1:4" x14ac:dyDescent="0.2">
      <c r="A281" s="5">
        <v>220</v>
      </c>
      <c r="B281" s="138">
        <f>'Assets-Liab 5-6'!M41</f>
        <v>5321327</v>
      </c>
      <c r="C281" s="2" t="s">
        <v>573</v>
      </c>
      <c r="D281" s="2" t="str">
        <f t="shared" si="3"/>
        <v>Error?</v>
      </c>
    </row>
    <row r="282" spans="1:4" x14ac:dyDescent="0.2">
      <c r="A282" s="5">
        <v>221</v>
      </c>
      <c r="B282" s="138">
        <f>'Assets-Liab 5-6'!N21</f>
        <v>1435</v>
      </c>
      <c r="D282" s="2" t="str">
        <f t="shared" si="3"/>
        <v>Error?</v>
      </c>
    </row>
    <row r="283" spans="1:4" x14ac:dyDescent="0.2">
      <c r="A283" s="5">
        <v>222</v>
      </c>
      <c r="B283" s="138">
        <f>'Assets-Liab 5-6'!N22</f>
        <v>473565</v>
      </c>
      <c r="D283" s="2" t="str">
        <f t="shared" si="3"/>
        <v>Error?</v>
      </c>
    </row>
    <row r="284" spans="1:4" x14ac:dyDescent="0.2">
      <c r="A284" s="5">
        <v>223</v>
      </c>
      <c r="B284" s="138">
        <f>'Assets-Liab 5-6'!N23</f>
        <v>475000</v>
      </c>
      <c r="C284" s="2" t="s">
        <v>573</v>
      </c>
      <c r="D284" s="2" t="str">
        <f t="shared" si="3"/>
        <v>Error?</v>
      </c>
    </row>
    <row r="285" spans="1:4" x14ac:dyDescent="0.2">
      <c r="A285" s="5">
        <v>224</v>
      </c>
      <c r="B285" s="138">
        <f>'Assets-Liab 5-6'!N36</f>
        <v>475000</v>
      </c>
      <c r="D285" s="2" t="str">
        <f t="shared" si="3"/>
        <v>Error?</v>
      </c>
    </row>
    <row r="286" spans="1:4" x14ac:dyDescent="0.2">
      <c r="A286" s="10">
        <v>225</v>
      </c>
      <c r="D286" s="2" t="str">
        <f t="shared" si="3"/>
        <v>OK</v>
      </c>
    </row>
    <row r="287" spans="1:4" x14ac:dyDescent="0.2">
      <c r="A287" s="5">
        <v>226</v>
      </c>
      <c r="B287" s="138">
        <f>'Assets-Liab 5-6'!N37</f>
        <v>475000</v>
      </c>
      <c r="C287" s="2" t="s">
        <v>573</v>
      </c>
      <c r="D287" s="2" t="str">
        <f t="shared" si="3"/>
        <v>Error?</v>
      </c>
    </row>
    <row r="288" spans="1:4" x14ac:dyDescent="0.2">
      <c r="A288" s="5">
        <v>227</v>
      </c>
      <c r="B288" s="138">
        <f>'Assets-Liab 5-6'!N41</f>
        <v>475000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870914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104576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1016047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31084</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59668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90752</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8552</v>
      </c>
      <c r="D732" s="2" t="str">
        <f t="shared" si="10"/>
        <v>Error?</v>
      </c>
    </row>
    <row r="733" spans="1:4" x14ac:dyDescent="0.2">
      <c r="A733" s="5">
        <v>672</v>
      </c>
      <c r="B733" s="138">
        <f>'Expenditures 15-22'!C50</f>
        <v>144918</v>
      </c>
      <c r="D733" s="2" t="str">
        <f t="shared" si="10"/>
        <v>Error?</v>
      </c>
    </row>
    <row r="734" spans="1:4" x14ac:dyDescent="0.2">
      <c r="A734" s="5">
        <v>673</v>
      </c>
      <c r="B734" s="138">
        <f>'Expenditures 15-22'!C53</f>
        <v>153470</v>
      </c>
      <c r="C734" s="2" t="s">
        <v>573</v>
      </c>
      <c r="D734" s="2" t="str">
        <f t="shared" si="10"/>
        <v>Error?</v>
      </c>
    </row>
    <row r="735" spans="1:4" x14ac:dyDescent="0.2">
      <c r="A735" s="5">
        <v>674</v>
      </c>
      <c r="B735" s="138">
        <f>'Expenditures 15-22'!C55</f>
        <v>166382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166382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29364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39644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69008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479612</v>
      </c>
      <c r="C755" s="2" t="s">
        <v>573</v>
      </c>
      <c r="D755" s="2" t="str">
        <f t="shared" si="10"/>
        <v>Error?</v>
      </c>
    </row>
    <row r="756" spans="1:4" x14ac:dyDescent="0.2">
      <c r="A756" s="5">
        <v>695</v>
      </c>
      <c r="B756" s="138">
        <f>'Expenditures 15-22'!C75</f>
        <v>36923</v>
      </c>
      <c r="D756" s="2" t="str">
        <f t="shared" si="10"/>
        <v>Error?</v>
      </c>
    </row>
    <row r="757" spans="1:4" x14ac:dyDescent="0.2">
      <c r="A757" s="5">
        <v>696</v>
      </c>
      <c r="B757" s="138">
        <f>'Expenditures 15-22'!C114</f>
        <v>1532582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291729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7696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317835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3588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16403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19991</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710</v>
      </c>
      <c r="D790" s="2" t="str">
        <f t="shared" si="11"/>
        <v>Error?</v>
      </c>
    </row>
    <row r="791" spans="1:4" x14ac:dyDescent="0.2">
      <c r="A791" s="5">
        <v>730</v>
      </c>
      <c r="B791" s="138">
        <f>'Expenditures 15-22'!D50</f>
        <v>21398</v>
      </c>
      <c r="D791" s="2" t="str">
        <f t="shared" si="11"/>
        <v>Error?</v>
      </c>
    </row>
    <row r="792" spans="1:4" x14ac:dyDescent="0.2">
      <c r="A792" s="5">
        <v>731</v>
      </c>
      <c r="B792" s="138">
        <f>'Expenditures 15-22'!D53</f>
        <v>22108</v>
      </c>
      <c r="C792" s="2" t="s">
        <v>573</v>
      </c>
      <c r="D792" s="2" t="str">
        <f t="shared" si="11"/>
        <v>Error?</v>
      </c>
    </row>
    <row r="793" spans="1:4" x14ac:dyDescent="0.2">
      <c r="A793" s="5">
        <v>732</v>
      </c>
      <c r="B793" s="138">
        <f>'Expenditures 15-22'!D55</f>
        <v>22440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22440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9516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1275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10791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75330</v>
      </c>
      <c r="C813" s="2" t="s">
        <v>573</v>
      </c>
      <c r="D813" s="2" t="str">
        <f t="shared" si="11"/>
        <v>Error?</v>
      </c>
    </row>
    <row r="814" spans="1:4" x14ac:dyDescent="0.2">
      <c r="A814" s="5">
        <v>753</v>
      </c>
      <c r="B814" s="138">
        <f>'Expenditures 15-22'!D75</f>
        <v>9576</v>
      </c>
      <c r="D814" s="2" t="str">
        <f t="shared" si="11"/>
        <v>Error?</v>
      </c>
    </row>
    <row r="815" spans="1:4" x14ac:dyDescent="0.2">
      <c r="A815" s="5">
        <v>754</v>
      </c>
      <c r="B815" s="138">
        <f>'Expenditures 15-22'!D114</f>
        <v>402741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3097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17269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23588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262</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262</v>
      </c>
      <c r="C843" s="2" t="s">
        <v>573</v>
      </c>
      <c r="D843" s="2" t="str">
        <f t="shared" si="12"/>
        <v>Error?</v>
      </c>
    </row>
    <row r="844" spans="1:4" x14ac:dyDescent="0.2">
      <c r="A844" s="5">
        <v>783</v>
      </c>
      <c r="B844" s="138">
        <f>'Expenditures 15-22'!E44</f>
        <v>8277</v>
      </c>
      <c r="D844" s="2" t="str">
        <f t="shared" si="12"/>
        <v>Error?</v>
      </c>
    </row>
    <row r="845" spans="1:4" x14ac:dyDescent="0.2">
      <c r="A845" s="5">
        <v>784</v>
      </c>
      <c r="B845" s="138">
        <f>'Expenditures 15-22'!E45</f>
        <v>41802</v>
      </c>
      <c r="D845" s="2" t="str">
        <f t="shared" si="12"/>
        <v>Error?</v>
      </c>
    </row>
    <row r="846" spans="1:4" x14ac:dyDescent="0.2">
      <c r="A846" s="5">
        <v>785</v>
      </c>
      <c r="B846" s="138">
        <f>'Expenditures 15-22'!E46</f>
        <v>570</v>
      </c>
      <c r="D846" s="2" t="str">
        <f t="shared" si="12"/>
        <v>Error?</v>
      </c>
    </row>
    <row r="847" spans="1:4" x14ac:dyDescent="0.2">
      <c r="A847" s="5">
        <v>786</v>
      </c>
      <c r="B847" s="138">
        <f>'Expenditures 15-22'!E47</f>
        <v>50649</v>
      </c>
      <c r="C847" s="2" t="s">
        <v>573</v>
      </c>
      <c r="D847" s="2" t="str">
        <f t="shared" si="12"/>
        <v>Error?</v>
      </c>
    </row>
    <row r="848" spans="1:4" x14ac:dyDescent="0.2">
      <c r="A848" s="5">
        <v>787</v>
      </c>
      <c r="B848" s="138">
        <f>'Expenditures 15-22'!E49</f>
        <v>10519</v>
      </c>
      <c r="D848" s="2" t="str">
        <f t="shared" si="12"/>
        <v>Error?</v>
      </c>
    </row>
    <row r="849" spans="1:4" x14ac:dyDescent="0.2">
      <c r="A849" s="5">
        <v>788</v>
      </c>
      <c r="B849" s="138">
        <f>'Expenditures 15-22'!E50</f>
        <v>4500</v>
      </c>
      <c r="D849" s="2" t="str">
        <f t="shared" si="12"/>
        <v>Error?</v>
      </c>
    </row>
    <row r="850" spans="1:4" x14ac:dyDescent="0.2">
      <c r="A850" s="5">
        <v>789</v>
      </c>
      <c r="B850" s="138">
        <f>'Expenditures 15-22'!E53</f>
        <v>15019</v>
      </c>
      <c r="C850" s="2" t="s">
        <v>573</v>
      </c>
      <c r="D850" s="2" t="str">
        <f t="shared" si="12"/>
        <v>Error?</v>
      </c>
    </row>
    <row r="851" spans="1:4" x14ac:dyDescent="0.2">
      <c r="A851" s="5">
        <v>790</v>
      </c>
      <c r="B851" s="138">
        <f>'Expenditures 15-22'!E55</f>
        <v>6377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6377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15162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1644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16806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89113</v>
      </c>
      <c r="C871" s="2" t="s">
        <v>573</v>
      </c>
      <c r="D871" s="2" t="str">
        <f t="shared" si="12"/>
        <v>Error?</v>
      </c>
    </row>
    <row r="872" spans="1:4" x14ac:dyDescent="0.2">
      <c r="A872" s="5">
        <v>811</v>
      </c>
      <c r="B872" s="138">
        <f>'Expenditures 15-22'!E75</f>
        <v>18128</v>
      </c>
      <c r="D872" s="2" t="str">
        <f t="shared" si="12"/>
        <v>Error?</v>
      </c>
    </row>
    <row r="873" spans="1:4" x14ac:dyDescent="0.2">
      <c r="A873" s="5">
        <v>812</v>
      </c>
      <c r="B873" s="138">
        <f>'Expenditures 15-22'!E114</f>
        <v>131474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48320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1679</v>
      </c>
      <c r="D891" s="2" t="str">
        <f t="shared" si="12"/>
        <v>Error?</v>
      </c>
    </row>
    <row r="892" spans="1:4" x14ac:dyDescent="0.2">
      <c r="A892" s="5">
        <v>831</v>
      </c>
      <c r="B892" s="138">
        <f>'Expenditures 15-22'!F14</f>
        <v>5283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55558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230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183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24303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24303</v>
      </c>
      <c r="C905" s="2" t="s">
        <v>573</v>
      </c>
      <c r="D905" s="2" t="str">
        <f t="shared" si="13"/>
        <v>Error?</v>
      </c>
    </row>
    <row r="906" spans="1:4" x14ac:dyDescent="0.2">
      <c r="A906" s="5">
        <v>845</v>
      </c>
      <c r="B906" s="138">
        <f>'Expenditures 15-22'!F49</f>
        <v>4407</v>
      </c>
      <c r="D906" s="2" t="str">
        <f t="shared" si="13"/>
        <v>Error?</v>
      </c>
    </row>
    <row r="907" spans="1:4" x14ac:dyDescent="0.2">
      <c r="A907" s="5">
        <v>846</v>
      </c>
      <c r="B907" s="138">
        <f>'Expenditures 15-22'!F50</f>
        <v>500</v>
      </c>
      <c r="D907" s="2" t="str">
        <f t="shared" si="13"/>
        <v>Error?</v>
      </c>
    </row>
    <row r="908" spans="1:4" x14ac:dyDescent="0.2">
      <c r="A908" s="5">
        <v>847</v>
      </c>
      <c r="B908" s="138">
        <f>'Expenditures 15-22'!F53</f>
        <v>4907</v>
      </c>
      <c r="C908" s="2" t="s">
        <v>573</v>
      </c>
      <c r="D908" s="2" t="str">
        <f t="shared" si="13"/>
        <v>Error?</v>
      </c>
    </row>
    <row r="909" spans="1:4" x14ac:dyDescent="0.2">
      <c r="A909" s="5">
        <v>848</v>
      </c>
      <c r="B909" s="138">
        <f>'Expenditures 15-22'!F55</f>
        <v>664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664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49157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49157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79444</v>
      </c>
      <c r="C929" s="2" t="s">
        <v>573</v>
      </c>
      <c r="D929" s="2" t="str">
        <f t="shared" si="13"/>
        <v>Error?</v>
      </c>
    </row>
    <row r="930" spans="1:4" x14ac:dyDescent="0.2">
      <c r="A930" s="5">
        <v>869</v>
      </c>
      <c r="B930" s="138">
        <f>'Expenditures 15-22'!F75</f>
        <v>24713</v>
      </c>
      <c r="D930" s="2" t="str">
        <f t="shared" si="13"/>
        <v>Error?</v>
      </c>
    </row>
    <row r="931" spans="1:4" x14ac:dyDescent="0.2">
      <c r="A931" s="5">
        <v>870</v>
      </c>
      <c r="B931" s="138">
        <f>'Expenditures 15-22'!F114</f>
        <v>159715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900</v>
      </c>
      <c r="D949" s="2" t="str">
        <f t="shared" si="13"/>
        <v>Error?</v>
      </c>
    </row>
    <row r="950" spans="1:4" x14ac:dyDescent="0.2">
      <c r="A950" s="5">
        <v>889</v>
      </c>
      <c r="B950" s="138">
        <f>'Expenditures 15-22'!G14</f>
        <v>3000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3900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946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946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1578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1578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2524</v>
      </c>
      <c r="C987" s="2" t="s">
        <v>573</v>
      </c>
      <c r="D987" s="2" t="str">
        <f t="shared" si="14"/>
        <v>Error?</v>
      </c>
    </row>
    <row r="988" spans="1:4" x14ac:dyDescent="0.2">
      <c r="A988" s="5">
        <v>927</v>
      </c>
      <c r="B988" s="138">
        <f>'Expenditures 15-22'!G75</f>
        <v>31502</v>
      </c>
      <c r="D988" s="2" t="str">
        <f t="shared" si="14"/>
        <v>Error?</v>
      </c>
    </row>
    <row r="989" spans="1:4" x14ac:dyDescent="0.2">
      <c r="A989" s="5">
        <v>928</v>
      </c>
      <c r="B989" s="138">
        <f>'Expenditures 15-22'!G114</f>
        <v>37926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6774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6774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7875</v>
      </c>
      <c r="D1022" s="2" t="str">
        <f t="shared" si="14"/>
        <v>Error?</v>
      </c>
    </row>
    <row r="1023" spans="1:4" x14ac:dyDescent="0.2">
      <c r="A1023" s="5">
        <v>962</v>
      </c>
      <c r="B1023" s="138">
        <f>'Expenditures 15-22'!H50</f>
        <v>1046</v>
      </c>
      <c r="D1023" s="2" t="str">
        <f t="shared" ref="D1023:D1086" si="15">IF(ISBLANK(B1023),"OK",IF(A1023-B1023=0,"OK","Error?"))</f>
        <v>Error?</v>
      </c>
    </row>
    <row r="1024" spans="1:4" x14ac:dyDescent="0.2">
      <c r="A1024" s="5">
        <v>963</v>
      </c>
      <c r="B1024" s="138">
        <f>'Expenditures 15-22'!H53</f>
        <v>8921</v>
      </c>
      <c r="C1024" s="2" t="s">
        <v>573</v>
      </c>
      <c r="D1024" s="2" t="str">
        <f t="shared" si="15"/>
        <v>Error?</v>
      </c>
    </row>
    <row r="1025" spans="1:4" x14ac:dyDescent="0.2">
      <c r="A1025" s="5">
        <v>964</v>
      </c>
      <c r="B1025" s="138">
        <f>'Expenditures 15-22'!H55</f>
        <v>651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651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9572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173877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190223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1214060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2579</v>
      </c>
      <c r="C1105" s="2" t="s">
        <v>573</v>
      </c>
      <c r="D1105" s="2" t="str">
        <f t="shared" si="16"/>
        <v>Error?</v>
      </c>
    </row>
    <row r="1106" spans="1:4" x14ac:dyDescent="0.2">
      <c r="A1106" s="5">
        <v>1045</v>
      </c>
      <c r="B1106" s="138">
        <f>'Expenditures 15-22'!K14</f>
        <v>144598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1423702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35164</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76254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111418</v>
      </c>
      <c r="C1115" s="2" t="s">
        <v>573</v>
      </c>
      <c r="D1115" s="2" t="str">
        <f t="shared" si="16"/>
        <v>Error?</v>
      </c>
    </row>
    <row r="1116" spans="1:4" x14ac:dyDescent="0.2">
      <c r="A1116" s="5">
        <v>1055</v>
      </c>
      <c r="B1116" s="138">
        <f>'Expenditures 15-22'!K44</f>
        <v>8277</v>
      </c>
      <c r="C1116" s="2" t="s">
        <v>573</v>
      </c>
      <c r="D1116" s="2" t="str">
        <f t="shared" si="16"/>
        <v>Error?</v>
      </c>
    </row>
    <row r="1117" spans="1:4" x14ac:dyDescent="0.2">
      <c r="A1117" s="5">
        <v>1056</v>
      </c>
      <c r="B1117" s="138">
        <f>'Expenditures 15-22'!K45</f>
        <v>67051</v>
      </c>
      <c r="C1117" s="2" t="s">
        <v>573</v>
      </c>
      <c r="D1117" s="2" t="str">
        <f t="shared" si="16"/>
        <v>Error?</v>
      </c>
    </row>
    <row r="1118" spans="1:4" x14ac:dyDescent="0.2">
      <c r="A1118" s="5">
        <v>1057</v>
      </c>
      <c r="B1118" s="138">
        <f>'Expenditures 15-22'!K46</f>
        <v>570</v>
      </c>
      <c r="C1118" s="2" t="s">
        <v>573</v>
      </c>
      <c r="D1118" s="2" t="str">
        <f t="shared" si="16"/>
        <v>Error?</v>
      </c>
    </row>
    <row r="1119" spans="1:4" x14ac:dyDescent="0.2">
      <c r="A1119" s="5">
        <v>1058</v>
      </c>
      <c r="B1119" s="138">
        <f>'Expenditures 15-22'!K47</f>
        <v>75898</v>
      </c>
      <c r="C1119" s="2" t="s">
        <v>573</v>
      </c>
      <c r="D1119" s="2" t="str">
        <f t="shared" si="16"/>
        <v>Error?</v>
      </c>
    </row>
    <row r="1120" spans="1:4" x14ac:dyDescent="0.2">
      <c r="A1120" s="5">
        <v>1059</v>
      </c>
      <c r="B1120" s="138">
        <f>'Expenditures 15-22'!K49</f>
        <v>32063</v>
      </c>
      <c r="C1120" s="2" t="s">
        <v>573</v>
      </c>
      <c r="D1120" s="2" t="str">
        <f t="shared" si="16"/>
        <v>Error?</v>
      </c>
    </row>
    <row r="1121" spans="1:4" x14ac:dyDescent="0.2">
      <c r="A1121" s="5">
        <v>1060</v>
      </c>
      <c r="B1121" s="138">
        <f>'Expenditures 15-22'!K50</f>
        <v>172362</v>
      </c>
      <c r="C1121" s="2" t="s">
        <v>573</v>
      </c>
      <c r="D1121" s="2" t="str">
        <f t="shared" si="16"/>
        <v>Error?</v>
      </c>
    </row>
    <row r="1122" spans="1:4" x14ac:dyDescent="0.2">
      <c r="A1122" s="5">
        <v>1061</v>
      </c>
      <c r="B1122" s="138">
        <f>'Expenditures 15-22'!K53</f>
        <v>204425</v>
      </c>
      <c r="C1122" s="2" t="s">
        <v>573</v>
      </c>
      <c r="D1122" s="2" t="str">
        <f t="shared" si="16"/>
        <v>Error?</v>
      </c>
    </row>
    <row r="1123" spans="1:4" x14ac:dyDescent="0.2">
      <c r="A1123" s="5">
        <v>1062</v>
      </c>
      <c r="B1123" s="138">
        <f>'Expenditures 15-22'!K55</f>
        <v>196514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196514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54042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93298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147340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735595</v>
      </c>
      <c r="C1143" s="2" t="s">
        <v>573</v>
      </c>
      <c r="D1143" s="2" t="str">
        <f t="shared" si="16"/>
        <v>Error?</v>
      </c>
    </row>
    <row r="1144" spans="1:4" x14ac:dyDescent="0.2">
      <c r="A1144" s="5">
        <v>1083</v>
      </c>
      <c r="B1144" s="138">
        <f>'Expenditures 15-22'!K75</f>
        <v>120842</v>
      </c>
      <c r="C1144" s="2" t="s">
        <v>573</v>
      </c>
      <c r="D1144" s="2" t="str">
        <f t="shared" si="16"/>
        <v>Error?</v>
      </c>
    </row>
    <row r="1145" spans="1:4" x14ac:dyDescent="0.2">
      <c r="A1145" s="5">
        <v>1084</v>
      </c>
      <c r="B1145" s="138">
        <f>'Expenditures 15-22'!K102</f>
        <v>174522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2454661</v>
      </c>
      <c r="C1152" s="2" t="s">
        <v>573</v>
      </c>
      <c r="D1152" s="2" t="str">
        <f t="shared" si="17"/>
        <v>Error?</v>
      </c>
    </row>
    <row r="1153" spans="1:4" x14ac:dyDescent="0.2">
      <c r="A1153" s="5">
        <v>1092</v>
      </c>
      <c r="B1153" s="138">
        <f>'Expenditures 15-22'!K115</f>
        <v>205055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91401</v>
      </c>
      <c r="D1221" s="2" t="str">
        <f t="shared" si="18"/>
        <v>Error?</v>
      </c>
    </row>
    <row r="1222" spans="1:4" x14ac:dyDescent="0.2">
      <c r="A1222" s="10">
        <v>1161</v>
      </c>
      <c r="D1222" s="2" t="str">
        <f t="shared" si="18"/>
        <v>OK</v>
      </c>
    </row>
    <row r="1223" spans="1:4" x14ac:dyDescent="0.2">
      <c r="A1223" s="5">
        <v>1162</v>
      </c>
      <c r="B1223" s="138">
        <f>'Expenditures 15-22'!C127</f>
        <v>91401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91401</v>
      </c>
      <c r="C1225" s="2" t="s">
        <v>573</v>
      </c>
      <c r="D1225" s="2" t="str">
        <f t="shared" si="18"/>
        <v>Error?</v>
      </c>
    </row>
    <row r="1226" spans="1:4" x14ac:dyDescent="0.2">
      <c r="A1226" s="5">
        <v>1165</v>
      </c>
      <c r="B1226" s="138">
        <f>'Expenditures 15-22'!C151</f>
        <v>91401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22294</v>
      </c>
      <c r="D1229" s="2" t="str">
        <f t="shared" si="18"/>
        <v>Error?</v>
      </c>
    </row>
    <row r="1230" spans="1:4" x14ac:dyDescent="0.2">
      <c r="A1230" s="10">
        <v>1169</v>
      </c>
      <c r="D1230" s="2" t="str">
        <f t="shared" si="18"/>
        <v>OK</v>
      </c>
    </row>
    <row r="1231" spans="1:4" x14ac:dyDescent="0.2">
      <c r="A1231" s="5">
        <v>1170</v>
      </c>
      <c r="B1231" s="138">
        <f>'Expenditures 15-22'!D127</f>
        <v>22294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22294</v>
      </c>
      <c r="C1233" s="2" t="s">
        <v>573</v>
      </c>
      <c r="D1233" s="2" t="str">
        <f t="shared" si="18"/>
        <v>Error?</v>
      </c>
    </row>
    <row r="1234" spans="1:4" x14ac:dyDescent="0.2">
      <c r="A1234" s="5">
        <v>1173</v>
      </c>
      <c r="B1234" s="138">
        <f>'Expenditures 15-22'!D151</f>
        <v>22294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30077</v>
      </c>
      <c r="D1237" s="2" t="str">
        <f t="shared" si="18"/>
        <v>Error?</v>
      </c>
    </row>
    <row r="1238" spans="1:4" x14ac:dyDescent="0.2">
      <c r="A1238" s="10">
        <v>1177</v>
      </c>
      <c r="D1238" s="2" t="str">
        <f t="shared" si="18"/>
        <v>OK</v>
      </c>
    </row>
    <row r="1239" spans="1:4" x14ac:dyDescent="0.2">
      <c r="A1239" s="5">
        <v>1178</v>
      </c>
      <c r="B1239" s="138">
        <f>'Expenditures 15-22'!E127</f>
        <v>30077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30077</v>
      </c>
      <c r="C1241" s="2" t="s">
        <v>573</v>
      </c>
      <c r="D1241" s="2" t="str">
        <f t="shared" si="18"/>
        <v>Error?</v>
      </c>
    </row>
    <row r="1242" spans="1:4" x14ac:dyDescent="0.2">
      <c r="A1242" s="5">
        <v>1181</v>
      </c>
      <c r="B1242" s="138">
        <f>'Expenditures 15-22'!E151</f>
        <v>33677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80282</v>
      </c>
      <c r="D1245" s="2" t="str">
        <f t="shared" si="18"/>
        <v>Error?</v>
      </c>
    </row>
    <row r="1246" spans="1:4" x14ac:dyDescent="0.2">
      <c r="A1246" s="10">
        <v>1185</v>
      </c>
      <c r="D1246" s="2" t="str">
        <f t="shared" si="18"/>
        <v>OK</v>
      </c>
    </row>
    <row r="1247" spans="1:4" x14ac:dyDescent="0.2">
      <c r="A1247" s="5">
        <v>1186</v>
      </c>
      <c r="B1247" s="138">
        <f>'Expenditures 15-22'!F127</f>
        <v>80282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80282</v>
      </c>
      <c r="C1249" s="2" t="s">
        <v>573</v>
      </c>
      <c r="D1249" s="2" t="str">
        <f t="shared" si="18"/>
        <v>Error?</v>
      </c>
    </row>
    <row r="1250" spans="1:4" x14ac:dyDescent="0.2">
      <c r="A1250" s="5">
        <v>1189</v>
      </c>
      <c r="B1250" s="138">
        <f>'Expenditures 15-22'!F151</f>
        <v>80282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750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750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750</v>
      </c>
      <c r="C1258" s="2" t="s">
        <v>573</v>
      </c>
      <c r="D1258" s="2" t="str">
        <f t="shared" si="18"/>
        <v>Error?</v>
      </c>
    </row>
    <row r="1259" spans="1:4" x14ac:dyDescent="0.2">
      <c r="A1259" s="5">
        <v>1198</v>
      </c>
      <c r="B1259" s="138">
        <f>'Expenditures 15-22'!G151</f>
        <v>750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224804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224804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224804</v>
      </c>
      <c r="C1281" s="2" t="s">
        <v>573</v>
      </c>
      <c r="D1281" s="2" t="str">
        <f t="shared" si="19"/>
        <v>Error?</v>
      </c>
    </row>
    <row r="1282" spans="1:4" x14ac:dyDescent="0.2">
      <c r="A1282" s="5">
        <v>1221</v>
      </c>
      <c r="B1282" s="138">
        <f>'Expenditures 15-22'!K139</f>
        <v>3600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228404</v>
      </c>
      <c r="C1288" s="2" t="s">
        <v>573</v>
      </c>
      <c r="D1288" s="2" t="str">
        <f t="shared" si="19"/>
        <v>Error?</v>
      </c>
    </row>
    <row r="1289" spans="1:4" x14ac:dyDescent="0.2">
      <c r="A1289" s="5">
        <v>1228</v>
      </c>
      <c r="B1289" s="138">
        <f>'Expenditures 15-22'!K152</f>
        <v>43379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500</v>
      </c>
      <c r="D1307" s="2" t="str">
        <f t="shared" si="19"/>
        <v>Error?</v>
      </c>
    </row>
    <row r="1308" spans="1:4" x14ac:dyDescent="0.2">
      <c r="A1308" s="5">
        <v>1247</v>
      </c>
      <c r="B1308" s="138">
        <f>'Expenditures 15-22'!E172</f>
        <v>500</v>
      </c>
      <c r="C1308" s="2" t="s">
        <v>573</v>
      </c>
      <c r="D1308" s="2" t="str">
        <f t="shared" si="19"/>
        <v>Error?</v>
      </c>
    </row>
    <row r="1309" spans="1:4" x14ac:dyDescent="0.2">
      <c r="A1309" s="5">
        <v>1248</v>
      </c>
      <c r="B1309" s="138">
        <f>'Expenditures 15-22'!E174</f>
        <v>500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37146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92146</v>
      </c>
      <c r="C1317" s="2" t="s">
        <v>573</v>
      </c>
      <c r="D1317" s="2" t="str">
        <f t="shared" si="19"/>
        <v>Error?</v>
      </c>
    </row>
    <row r="1318" spans="1:4" x14ac:dyDescent="0.2">
      <c r="A1318" s="5">
        <v>1257</v>
      </c>
      <c r="B1318" s="138">
        <f>'Expenditures 15-22'!H174</f>
        <v>92146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37146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55000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92646</v>
      </c>
      <c r="C1331" s="2" t="s">
        <v>573</v>
      </c>
      <c r="D1331" s="2" t="str">
        <f t="shared" si="19"/>
        <v>Error?</v>
      </c>
    </row>
    <row r="1332" spans="1:4" x14ac:dyDescent="0.2">
      <c r="A1332" s="5">
        <v>1271</v>
      </c>
      <c r="B1332" s="138">
        <f>'Expenditures 15-22'!K174</f>
        <v>92646</v>
      </c>
      <c r="C1332" s="2" t="s">
        <v>573</v>
      </c>
      <c r="D1332" s="2" t="str">
        <f t="shared" si="19"/>
        <v>Error?</v>
      </c>
    </row>
    <row r="1333" spans="1:4" x14ac:dyDescent="0.2">
      <c r="A1333" s="5">
        <v>1272</v>
      </c>
      <c r="B1333" s="138">
        <f>'Expenditures 15-22'!K175</f>
        <v>-144</v>
      </c>
      <c r="C1333" s="2" t="s">
        <v>573</v>
      </c>
      <c r="D1333" s="2" t="str">
        <f t="shared" si="19"/>
        <v>Error?</v>
      </c>
    </row>
    <row r="1334" spans="1:4" x14ac:dyDescent="0.2">
      <c r="A1334" s="10">
        <v>1273</v>
      </c>
      <c r="D1334" s="2" t="str">
        <f t="shared" si="19"/>
        <v>OK</v>
      </c>
    </row>
    <row r="1335" spans="1:4" x14ac:dyDescent="0.2">
      <c r="A1335" s="5">
        <v>1274</v>
      </c>
      <c r="B1335" s="138">
        <f>'Expenditures 15-22'!C182</f>
        <v>67880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67880</v>
      </c>
      <c r="C1339" s="2" t="s">
        <v>573</v>
      </c>
      <c r="D1339" s="2" t="str">
        <f t="shared" si="19"/>
        <v>Error?</v>
      </c>
    </row>
    <row r="1340" spans="1:4" x14ac:dyDescent="0.2">
      <c r="A1340" s="5">
        <v>1279</v>
      </c>
      <c r="B1340" s="138">
        <f>'Expenditures 15-22'!C210</f>
        <v>67880</v>
      </c>
      <c r="C1340" s="2" t="s">
        <v>573</v>
      </c>
      <c r="D1340" s="2" t="str">
        <f t="shared" si="19"/>
        <v>Error?</v>
      </c>
    </row>
    <row r="1341" spans="1:4" x14ac:dyDescent="0.2">
      <c r="A1341" s="5">
        <v>1280</v>
      </c>
      <c r="B1341" s="138">
        <f>'Expenditures 15-22'!D182</f>
        <v>5593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5593</v>
      </c>
      <c r="C1345" s="2" t="s">
        <v>573</v>
      </c>
      <c r="D1345" s="2" t="str">
        <f t="shared" si="20"/>
        <v>Error?</v>
      </c>
    </row>
    <row r="1346" spans="1:4" x14ac:dyDescent="0.2">
      <c r="A1346" s="5">
        <v>1285</v>
      </c>
      <c r="B1346" s="138">
        <f>'Expenditures 15-22'!D210</f>
        <v>5593</v>
      </c>
      <c r="C1346" s="2" t="s">
        <v>573</v>
      </c>
      <c r="D1346" s="2" t="str">
        <f t="shared" si="20"/>
        <v>Error?</v>
      </c>
    </row>
    <row r="1347" spans="1:4" x14ac:dyDescent="0.2">
      <c r="A1347" s="5">
        <v>1286</v>
      </c>
      <c r="B1347" s="138">
        <f>'Expenditures 15-22'!E182</f>
        <v>22605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22605</v>
      </c>
      <c r="C1351" s="2" t="s">
        <v>573</v>
      </c>
      <c r="D1351" s="2" t="str">
        <f t="shared" si="20"/>
        <v>Error?</v>
      </c>
    </row>
    <row r="1352" spans="1:4" x14ac:dyDescent="0.2">
      <c r="A1352" s="5">
        <v>1291</v>
      </c>
      <c r="B1352" s="138">
        <f>'Expenditures 15-22'!E196</f>
        <v>12893</v>
      </c>
      <c r="C1352" s="2" t="s">
        <v>573</v>
      </c>
      <c r="D1352" s="2" t="str">
        <f t="shared" si="20"/>
        <v>Error?</v>
      </c>
    </row>
    <row r="1353" spans="1:4" x14ac:dyDescent="0.2">
      <c r="A1353" s="5">
        <v>1292</v>
      </c>
      <c r="B1353" s="138">
        <f>'Expenditures 15-22'!E210</f>
        <v>35498</v>
      </c>
      <c r="C1353" s="2" t="s">
        <v>573</v>
      </c>
      <c r="D1353" s="2" t="str">
        <f t="shared" si="20"/>
        <v>Error?</v>
      </c>
    </row>
    <row r="1354" spans="1:4" x14ac:dyDescent="0.2">
      <c r="A1354" s="5">
        <v>1293</v>
      </c>
      <c r="B1354" s="138">
        <f>'Expenditures 15-22'!F182</f>
        <v>13920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13920</v>
      </c>
      <c r="C1358" s="2" t="s">
        <v>573</v>
      </c>
      <c r="D1358" s="2" t="str">
        <f t="shared" si="20"/>
        <v>Error?</v>
      </c>
    </row>
    <row r="1359" spans="1:4" x14ac:dyDescent="0.2">
      <c r="A1359" s="5">
        <v>1298</v>
      </c>
      <c r="B1359" s="138">
        <f>'Expenditures 15-22'!F210</f>
        <v>13920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109998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109998</v>
      </c>
      <c r="C1381" s="2" t="s">
        <v>573</v>
      </c>
      <c r="D1381" s="2" t="str">
        <f t="shared" si="20"/>
        <v>Error?</v>
      </c>
    </row>
    <row r="1382" spans="1:4" x14ac:dyDescent="0.2">
      <c r="A1382" s="5">
        <v>1321</v>
      </c>
      <c r="B1382" s="138">
        <f>'Expenditures 15-22'!K196</f>
        <v>12893</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122891</v>
      </c>
      <c r="C1388" s="2" t="s">
        <v>573</v>
      </c>
      <c r="D1388" s="2" t="str">
        <f t="shared" si="20"/>
        <v>Error?</v>
      </c>
    </row>
    <row r="1389" spans="1:4" x14ac:dyDescent="0.2">
      <c r="A1389" s="5">
        <v>1328</v>
      </c>
      <c r="B1389" s="138">
        <f>'Expenditures 15-22'!K211</f>
        <v>43792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3526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16761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495</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951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1446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568</v>
      </c>
      <c r="D1422" s="2" t="str">
        <f t="shared" si="21"/>
        <v>Error?</v>
      </c>
    </row>
    <row r="1423" spans="1:4" x14ac:dyDescent="0.2">
      <c r="A1423" s="5">
        <v>1362</v>
      </c>
      <c r="B1423" s="138">
        <f>'Expenditures 15-22'!D246</f>
        <v>4458</v>
      </c>
      <c r="D1423" s="2" t="str">
        <f t="shared" si="21"/>
        <v>Error?</v>
      </c>
    </row>
    <row r="1424" spans="1:4" x14ac:dyDescent="0.2">
      <c r="A1424" s="5">
        <v>1363</v>
      </c>
      <c r="B1424" s="138">
        <f>'Expenditures 15-22'!D257</f>
        <v>5026</v>
      </c>
      <c r="C1424" s="2" t="s">
        <v>573</v>
      </c>
      <c r="D1424" s="2" t="str">
        <f t="shared" si="21"/>
        <v>Error?</v>
      </c>
    </row>
    <row r="1425" spans="1:4" x14ac:dyDescent="0.2">
      <c r="A1425" s="5">
        <v>1364</v>
      </c>
      <c r="B1425" s="138">
        <f>'Expenditures 15-22'!D259</f>
        <v>7692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7692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5220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12627</v>
      </c>
      <c r="D1431" s="2" t="str">
        <f t="shared" si="21"/>
        <v>Error?</v>
      </c>
    </row>
    <row r="1432" spans="1:4" x14ac:dyDescent="0.2">
      <c r="A1432" s="5">
        <v>1371</v>
      </c>
      <c r="B1432" s="138">
        <f>'Expenditures 15-22'!D267</f>
        <v>8940</v>
      </c>
      <c r="D1432" s="2" t="str">
        <f t="shared" si="21"/>
        <v>Error?</v>
      </c>
    </row>
    <row r="1433" spans="1:4" x14ac:dyDescent="0.2">
      <c r="A1433" s="5">
        <v>1372</v>
      </c>
      <c r="B1433" s="138">
        <f>'Expenditures 15-22'!D268</f>
        <v>5022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31809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45973</v>
      </c>
      <c r="C1446" s="2" t="s">
        <v>573</v>
      </c>
      <c r="D1446" s="2" t="str">
        <f t="shared" si="21"/>
        <v>Error?</v>
      </c>
    </row>
    <row r="1447" spans="1:4" x14ac:dyDescent="0.2">
      <c r="A1447" s="5">
        <v>1386</v>
      </c>
      <c r="B1447" s="138">
        <f>'Expenditures 15-22'!D280</f>
        <v>5162</v>
      </c>
      <c r="D1447" s="2" t="str">
        <f t="shared" si="21"/>
        <v>Error?</v>
      </c>
    </row>
    <row r="1448" spans="1:4" x14ac:dyDescent="0.2">
      <c r="A1448" s="5">
        <v>1387</v>
      </c>
      <c r="B1448" s="138">
        <f>'Expenditures 15-22'!D295</f>
        <v>67896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3526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16761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495</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951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1446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568</v>
      </c>
      <c r="C1486" s="2" t="s">
        <v>573</v>
      </c>
      <c r="D1486" s="2" t="str">
        <f t="shared" si="22"/>
        <v>Error?</v>
      </c>
    </row>
    <row r="1487" spans="1:4" x14ac:dyDescent="0.2">
      <c r="A1487" s="5">
        <v>1426</v>
      </c>
      <c r="B1487" s="138">
        <f>'Expenditures 15-22'!K246</f>
        <v>4458</v>
      </c>
      <c r="C1487" s="2" t="s">
        <v>573</v>
      </c>
      <c r="D1487" s="2" t="str">
        <f t="shared" si="22"/>
        <v>Error?</v>
      </c>
    </row>
    <row r="1488" spans="1:4" x14ac:dyDescent="0.2">
      <c r="A1488" s="5">
        <v>1427</v>
      </c>
      <c r="B1488" s="138">
        <f>'Expenditures 15-22'!K257</f>
        <v>5026</v>
      </c>
      <c r="C1488" s="2" t="s">
        <v>573</v>
      </c>
      <c r="D1488" s="2" t="str">
        <f t="shared" si="22"/>
        <v>Error?</v>
      </c>
    </row>
    <row r="1489" spans="1:4" x14ac:dyDescent="0.2">
      <c r="A1489" s="5">
        <v>1428</v>
      </c>
      <c r="B1489" s="138">
        <f>'Expenditures 15-22'!K259</f>
        <v>7692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7692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5220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12627</v>
      </c>
      <c r="C1495" s="2" t="s">
        <v>573</v>
      </c>
      <c r="D1495" s="2" t="str">
        <f t="shared" si="22"/>
        <v>Error?</v>
      </c>
    </row>
    <row r="1496" spans="1:4" x14ac:dyDescent="0.2">
      <c r="A1496" s="5">
        <v>1435</v>
      </c>
      <c r="B1496" s="138">
        <f>'Expenditures 15-22'!K267</f>
        <v>8940</v>
      </c>
      <c r="C1496" s="2" t="s">
        <v>573</v>
      </c>
      <c r="D1496" s="2" t="str">
        <f t="shared" si="22"/>
        <v>Error?</v>
      </c>
    </row>
    <row r="1497" spans="1:4" x14ac:dyDescent="0.2">
      <c r="A1497" s="5">
        <v>1436</v>
      </c>
      <c r="B1497" s="138">
        <f>'Expenditures 15-22'!K268</f>
        <v>5022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31809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45973</v>
      </c>
      <c r="C1510" s="2" t="s">
        <v>573</v>
      </c>
      <c r="D1510" s="2" t="str">
        <f t="shared" si="22"/>
        <v>Error?</v>
      </c>
    </row>
    <row r="1511" spans="1:4" x14ac:dyDescent="0.2">
      <c r="A1511" s="5">
        <v>1450</v>
      </c>
      <c r="B1511" s="138">
        <f>'Expenditures 15-22'!K280</f>
        <v>5162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67896</v>
      </c>
      <c r="C1517" s="2" t="s">
        <v>573</v>
      </c>
      <c r="D1517" s="2" t="str">
        <f t="shared" si="22"/>
        <v>Error?</v>
      </c>
    </row>
    <row r="1518" spans="1:4" x14ac:dyDescent="0.2">
      <c r="A1518" s="5">
        <v>1457</v>
      </c>
      <c r="B1518" s="138">
        <f>'Expenditures 15-22'!K296</f>
        <v>30715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2206702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2429757</v>
      </c>
      <c r="C1630" s="2" t="s">
        <v>573</v>
      </c>
      <c r="D1630" s="2" t="str">
        <f t="shared" si="24"/>
        <v>Error?</v>
      </c>
    </row>
    <row r="1631" spans="1:4" x14ac:dyDescent="0.2">
      <c r="A1631" s="5">
        <v>1570</v>
      </c>
      <c r="B1631" s="138">
        <f>'Acct Summary 7-8'!D79</f>
        <v>395967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439346</v>
      </c>
      <c r="C1644" s="2" t="s">
        <v>573</v>
      </c>
      <c r="D1644" s="2" t="str">
        <f t="shared" si="24"/>
        <v>Error?</v>
      </c>
    </row>
    <row r="1645" spans="1:4" x14ac:dyDescent="0.2">
      <c r="A1645" s="5">
        <v>1584</v>
      </c>
      <c r="B1645" s="138">
        <f>'Acct Summary 7-8'!E79</f>
        <v>1579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1435</v>
      </c>
      <c r="C1658" s="2" t="s">
        <v>573</v>
      </c>
      <c r="D1658" s="2" t="str">
        <f t="shared" si="24"/>
        <v>Error?</v>
      </c>
    </row>
    <row r="1659" spans="1:4" x14ac:dyDescent="0.2">
      <c r="A1659" s="5">
        <v>1598</v>
      </c>
      <c r="B1659" s="138">
        <f>'Acct Summary 7-8'!F79</f>
        <v>157749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201541</v>
      </c>
      <c r="C1672" s="2" t="s">
        <v>573</v>
      </c>
      <c r="D1672" s="2" t="str">
        <f t="shared" si="25"/>
        <v>Error?</v>
      </c>
    </row>
    <row r="1673" spans="1:4" x14ac:dyDescent="0.2">
      <c r="A1673" s="5">
        <v>1612</v>
      </c>
      <c r="B1673" s="138">
        <f>'Acct Summary 7-8'!G79</f>
        <v>151336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182051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1377609</v>
      </c>
      <c r="C1744" s="2" t="s">
        <v>573</v>
      </c>
      <c r="D1744" s="2" t="str">
        <f t="shared" si="26"/>
        <v>Error?</v>
      </c>
    </row>
    <row r="1745" spans="1:5" x14ac:dyDescent="0.2">
      <c r="A1745" s="5">
        <v>1684</v>
      </c>
      <c r="B1745" s="138">
        <f>'Tax Sched 23'!B5</f>
        <v>176616</v>
      </c>
      <c r="C1745" s="2" t="s">
        <v>573</v>
      </c>
      <c r="D1745" s="2" t="str">
        <f t="shared" si="26"/>
        <v>Error?</v>
      </c>
    </row>
    <row r="1746" spans="1:5" x14ac:dyDescent="0.2">
      <c r="A1746" s="5">
        <v>1685</v>
      </c>
      <c r="B1746" s="138">
        <f>'Tax Sched 23'!B6</f>
        <v>92452</v>
      </c>
      <c r="C1746" s="2" t="s">
        <v>573</v>
      </c>
      <c r="D1746" s="2" t="str">
        <f t="shared" si="26"/>
        <v>Error?</v>
      </c>
    </row>
    <row r="1747" spans="1:5" x14ac:dyDescent="0.2">
      <c r="A1747" s="5">
        <v>1686</v>
      </c>
      <c r="B1747" s="138">
        <f>'Tax Sched 23'!B7</f>
        <v>70647</v>
      </c>
      <c r="C1747" s="2" t="s">
        <v>573</v>
      </c>
      <c r="D1747" s="2" t="str">
        <f t="shared" si="26"/>
        <v>Error?</v>
      </c>
    </row>
    <row r="1748" spans="1:5" x14ac:dyDescent="0.2">
      <c r="A1748" s="5">
        <v>1687</v>
      </c>
      <c r="B1748" s="138">
        <f>'Tax Sched 23'!B8</f>
        <v>43811</v>
      </c>
      <c r="C1748" s="2" t="s">
        <v>573</v>
      </c>
      <c r="D1748" s="2" t="str">
        <f t="shared" si="26"/>
        <v>Error?</v>
      </c>
    </row>
    <row r="1749" spans="1:5" x14ac:dyDescent="0.2">
      <c r="A1749" s="5">
        <v>1688</v>
      </c>
      <c r="B1749" s="138">
        <f>'Tax Sched 23'!B10</f>
        <v>17662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86248</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14130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1942838</v>
      </c>
      <c r="C1759" s="2" t="s">
        <v>573</v>
      </c>
      <c r="D1759" s="2" t="str">
        <f t="shared" si="26"/>
        <v>Error?</v>
      </c>
    </row>
    <row r="1760" spans="1:5" x14ac:dyDescent="0.2">
      <c r="A1760" s="5">
        <v>1699</v>
      </c>
      <c r="B1760" s="138">
        <f>'Tax Sched 23'!D4</f>
        <v>1377609</v>
      </c>
      <c r="C1760" s="2" t="s">
        <v>573</v>
      </c>
      <c r="D1760" s="2" t="str">
        <f t="shared" si="26"/>
        <v>Error?</v>
      </c>
    </row>
    <row r="1761" spans="1:5" x14ac:dyDescent="0.2">
      <c r="A1761" s="5">
        <v>1700</v>
      </c>
      <c r="B1761" s="138">
        <f>'Tax Sched 23'!D5</f>
        <v>176616</v>
      </c>
      <c r="C1761" s="2" t="s">
        <v>573</v>
      </c>
      <c r="D1761" s="2" t="str">
        <f t="shared" si="26"/>
        <v>Error?</v>
      </c>
    </row>
    <row r="1762" spans="1:5" s="8" customFormat="1" x14ac:dyDescent="0.2">
      <c r="A1762" s="5">
        <v>1701</v>
      </c>
      <c r="B1762" s="138">
        <f>'Tax Sched 23'!D6</f>
        <v>92452</v>
      </c>
      <c r="C1762" s="2" t="s">
        <v>573</v>
      </c>
      <c r="D1762" s="2" t="str">
        <f t="shared" si="26"/>
        <v>Error?</v>
      </c>
      <c r="E1762" s="9"/>
    </row>
    <row r="1763" spans="1:5" x14ac:dyDescent="0.2">
      <c r="A1763" s="5">
        <v>1702</v>
      </c>
      <c r="B1763" s="138">
        <f>'Tax Sched 23'!D7</f>
        <v>70647</v>
      </c>
      <c r="C1763" s="2" t="s">
        <v>573</v>
      </c>
      <c r="D1763" s="2" t="str">
        <f t="shared" si="26"/>
        <v>Error?</v>
      </c>
    </row>
    <row r="1764" spans="1:5" x14ac:dyDescent="0.2">
      <c r="A1764" s="5">
        <v>1703</v>
      </c>
      <c r="B1764" s="138">
        <f>'Tax Sched 23'!D8</f>
        <v>43811</v>
      </c>
      <c r="C1764" s="2" t="s">
        <v>573</v>
      </c>
      <c r="D1764" s="2" t="str">
        <f t="shared" si="26"/>
        <v>Error?</v>
      </c>
    </row>
    <row r="1765" spans="1:5" x14ac:dyDescent="0.2">
      <c r="A1765" s="5">
        <v>1704</v>
      </c>
      <c r="B1765" s="138">
        <f>'Tax Sched 23'!D10</f>
        <v>17662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86248</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14130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1942838</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1453955</v>
      </c>
      <c r="C1792" s="2" t="s">
        <v>573</v>
      </c>
      <c r="D1792" s="2" t="str">
        <f t="shared" si="27"/>
        <v>Error?</v>
      </c>
    </row>
    <row r="1793" spans="1:4" x14ac:dyDescent="0.2">
      <c r="A1793" s="5">
        <v>1732</v>
      </c>
      <c r="B1793" s="138">
        <f>'Tax Sched 23'!F5</f>
        <v>188405</v>
      </c>
      <c r="C1793" s="2" t="s">
        <v>573</v>
      </c>
      <c r="D1793" s="2" t="str">
        <f t="shared" si="27"/>
        <v>Error?</v>
      </c>
    </row>
    <row r="1794" spans="1:4" x14ac:dyDescent="0.2">
      <c r="A1794" s="5">
        <v>1733</v>
      </c>
      <c r="B1794" s="138">
        <f>'Tax Sched 23'!F6</f>
        <v>88695</v>
      </c>
      <c r="C1794" s="2" t="s">
        <v>573</v>
      </c>
      <c r="D1794" s="2" t="str">
        <f t="shared" si="27"/>
        <v>Error?</v>
      </c>
    </row>
    <row r="1795" spans="1:4" x14ac:dyDescent="0.2">
      <c r="A1795" s="5">
        <v>1734</v>
      </c>
      <c r="B1795" s="138">
        <f>'Tax Sched 23'!F7</f>
        <v>74562</v>
      </c>
      <c r="C1795" s="2" t="s">
        <v>573</v>
      </c>
      <c r="D1795" s="2" t="str">
        <f t="shared" si="27"/>
        <v>Error?</v>
      </c>
    </row>
    <row r="1796" spans="1:4" x14ac:dyDescent="0.2">
      <c r="A1796" s="5">
        <v>1735</v>
      </c>
      <c r="B1796" s="138">
        <f>'Tax Sched 23'!F8</f>
        <v>39003</v>
      </c>
      <c r="C1796" s="2" t="s">
        <v>573</v>
      </c>
      <c r="D1796" s="2" t="str">
        <f t="shared" si="27"/>
        <v>Error?</v>
      </c>
    </row>
    <row r="1797" spans="1:4" x14ac:dyDescent="0.2">
      <c r="A1797" s="5">
        <v>1736</v>
      </c>
      <c r="B1797" s="138">
        <f>'Tax Sched 23'!F10</f>
        <v>18640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91170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14912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2028984</v>
      </c>
      <c r="C1807" s="2" t="s">
        <v>573</v>
      </c>
      <c r="D1807" s="2" t="str">
        <f t="shared" si="27"/>
        <v>Error?</v>
      </c>
    </row>
    <row r="1808" spans="1:4" x14ac:dyDescent="0.2">
      <c r="A1808" s="5">
        <v>1747</v>
      </c>
      <c r="B1808" s="138">
        <f>'Tax Sched 23'!E4</f>
        <v>1453955</v>
      </c>
      <c r="D1808" s="2" t="str">
        <f t="shared" si="27"/>
        <v>Error?</v>
      </c>
    </row>
    <row r="1809" spans="1:4" x14ac:dyDescent="0.2">
      <c r="A1809" s="5">
        <v>1748</v>
      </c>
      <c r="B1809" s="138">
        <f>'Tax Sched 23'!E5</f>
        <v>188405</v>
      </c>
      <c r="D1809" s="2" t="str">
        <f t="shared" si="27"/>
        <v>Error?</v>
      </c>
    </row>
    <row r="1810" spans="1:4" x14ac:dyDescent="0.2">
      <c r="A1810" s="5">
        <v>1749</v>
      </c>
      <c r="B1810" s="138">
        <f>'Tax Sched 23'!E6</f>
        <v>88695</v>
      </c>
      <c r="D1810" s="2" t="str">
        <f t="shared" si="27"/>
        <v>Error?</v>
      </c>
    </row>
    <row r="1811" spans="1:4" x14ac:dyDescent="0.2">
      <c r="A1811" s="5">
        <v>1750</v>
      </c>
      <c r="B1811" s="138">
        <f>'Tax Sched 23'!E7</f>
        <v>74562</v>
      </c>
      <c r="D1811" s="2" t="str">
        <f t="shared" si="27"/>
        <v>Error?</v>
      </c>
    </row>
    <row r="1812" spans="1:4" x14ac:dyDescent="0.2">
      <c r="A1812" s="5">
        <v>1751</v>
      </c>
      <c r="B1812" s="138">
        <f>'Tax Sched 23'!E8</f>
        <v>39003</v>
      </c>
      <c r="D1812" s="2" t="str">
        <f t="shared" si="27"/>
        <v>Error?</v>
      </c>
    </row>
    <row r="1813" spans="1:4" x14ac:dyDescent="0.2">
      <c r="A1813" s="5">
        <v>1752</v>
      </c>
      <c r="B1813" s="138">
        <f>'Tax Sched 23'!E10</f>
        <v>18640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91170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14912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2028984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530000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14130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14130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14130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19000</v>
      </c>
      <c r="D2008" s="2" t="str">
        <f t="shared" si="30"/>
        <v>Error?</v>
      </c>
    </row>
    <row r="2009" spans="1:4" x14ac:dyDescent="0.2">
      <c r="A2009" s="5">
        <v>1948</v>
      </c>
      <c r="B2009" s="138">
        <f>'Cap Outlay Deprec 26'!C8</f>
        <v>2301292</v>
      </c>
      <c r="D2009" s="2" t="str">
        <f t="shared" si="30"/>
        <v>Error?</v>
      </c>
    </row>
    <row r="2010" spans="1:4" x14ac:dyDescent="0.2">
      <c r="A2010" s="5">
        <v>1949</v>
      </c>
      <c r="B2010" s="138">
        <f>'Cap Outlay Deprec 26'!C10</f>
        <v>1616470</v>
      </c>
      <c r="D2010" s="2" t="str">
        <f t="shared" si="30"/>
        <v>Error?</v>
      </c>
    </row>
    <row r="2011" spans="1:4" x14ac:dyDescent="0.2">
      <c r="A2011" s="5">
        <v>1950</v>
      </c>
      <c r="B2011" s="138">
        <f>'Cap Outlay Deprec 26'!C12</f>
        <v>917848</v>
      </c>
      <c r="D2011" s="2" t="str">
        <f t="shared" si="30"/>
        <v>Error?</v>
      </c>
    </row>
    <row r="2012" spans="1:4" x14ac:dyDescent="0.2">
      <c r="A2012" s="5">
        <v>1951</v>
      </c>
      <c r="B2012" s="138">
        <f>'Cap Outlay Deprec 26'!C13</f>
        <v>200089</v>
      </c>
      <c r="D2012" s="2" t="str">
        <f t="shared" si="30"/>
        <v>Error?</v>
      </c>
    </row>
    <row r="2013" spans="1:4" x14ac:dyDescent="0.2">
      <c r="A2013" s="5">
        <v>1952</v>
      </c>
      <c r="B2013" s="138">
        <f>'Cap Outlay Deprec 26'!C16</f>
        <v>5054699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266628</v>
      </c>
      <c r="D2016" s="2" t="str">
        <f t="shared" si="30"/>
        <v>Error?</v>
      </c>
    </row>
    <row r="2017" spans="1:4" x14ac:dyDescent="0.2">
      <c r="A2017" s="5">
        <v>1956</v>
      </c>
      <c r="B2017" s="138">
        <f>'Cap Outlay Deprec 26'!D12</f>
        <v>1578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268206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19000</v>
      </c>
      <c r="C2026" s="2" t="s">
        <v>573</v>
      </c>
      <c r="D2026" s="2" t="str">
        <f t="shared" si="30"/>
        <v>Error?</v>
      </c>
    </row>
    <row r="2027" spans="1:4" x14ac:dyDescent="0.2">
      <c r="A2027" s="5">
        <v>1966</v>
      </c>
      <c r="B2027" s="138">
        <f>'Cap Outlay Deprec 26'!F8</f>
        <v>2301292</v>
      </c>
      <c r="C2027" s="2" t="s">
        <v>573</v>
      </c>
      <c r="D2027" s="2" t="str">
        <f t="shared" si="30"/>
        <v>Error?</v>
      </c>
    </row>
    <row r="2028" spans="1:4" x14ac:dyDescent="0.2">
      <c r="A2028" s="5">
        <v>1967</v>
      </c>
      <c r="B2028" s="138">
        <f>'Cap Outlay Deprec 26'!F10</f>
        <v>1883098</v>
      </c>
      <c r="C2028" s="2" t="s">
        <v>573</v>
      </c>
      <c r="D2028" s="2" t="str">
        <f t="shared" si="30"/>
        <v>Error?</v>
      </c>
    </row>
    <row r="2029" spans="1:4" x14ac:dyDescent="0.2">
      <c r="A2029" s="5">
        <v>1968</v>
      </c>
      <c r="B2029" s="138">
        <f>'Cap Outlay Deprec 26'!F12</f>
        <v>919426</v>
      </c>
      <c r="C2029" s="2" t="s">
        <v>573</v>
      </c>
      <c r="D2029" s="2" t="str">
        <f t="shared" si="30"/>
        <v>Error?</v>
      </c>
    </row>
    <row r="2030" spans="1:4" x14ac:dyDescent="0.2">
      <c r="A2030" s="5">
        <v>1969</v>
      </c>
      <c r="B2030" s="138">
        <f>'Cap Outlay Deprec 26'!F13</f>
        <v>200089</v>
      </c>
      <c r="C2030" s="2" t="s">
        <v>573</v>
      </c>
      <c r="D2030" s="2" t="str">
        <f t="shared" si="30"/>
        <v>Error?</v>
      </c>
    </row>
    <row r="2031" spans="1:4" x14ac:dyDescent="0.2">
      <c r="A2031" s="5">
        <v>1970</v>
      </c>
      <c r="B2031" s="138">
        <f>'Cap Outlay Deprec 26'!F16</f>
        <v>5322905</v>
      </c>
      <c r="C2031" s="2" t="s">
        <v>573</v>
      </c>
      <c r="D2031" s="2" t="str">
        <f t="shared" si="30"/>
        <v>Error?</v>
      </c>
    </row>
    <row r="2032" spans="1:4" x14ac:dyDescent="0.2">
      <c r="A2032" s="10">
        <v>1971</v>
      </c>
      <c r="D2032" s="2" t="str">
        <f t="shared" si="30"/>
        <v>OK</v>
      </c>
    </row>
    <row r="2033" spans="1:4" x14ac:dyDescent="0.2">
      <c r="A2033" s="5">
        <v>1972</v>
      </c>
      <c r="B2033" s="138">
        <f>'Cap Outlay Deprec 26'!H8</f>
        <v>1756970</v>
      </c>
      <c r="D2033" s="2" t="str">
        <f t="shared" si="30"/>
        <v>Error?</v>
      </c>
    </row>
    <row r="2034" spans="1:4" x14ac:dyDescent="0.2">
      <c r="A2034" s="5">
        <v>1973</v>
      </c>
      <c r="B2034" s="138">
        <f>'Cap Outlay Deprec 26'!H10</f>
        <v>998882</v>
      </c>
      <c r="D2034" s="2" t="str">
        <f t="shared" si="30"/>
        <v>Error?</v>
      </c>
    </row>
    <row r="2035" spans="1:4" x14ac:dyDescent="0.2">
      <c r="A2035" s="5">
        <v>1974</v>
      </c>
      <c r="B2035" s="138">
        <f>'Cap Outlay Deprec 26'!H12</f>
        <v>816534</v>
      </c>
      <c r="D2035" s="2" t="str">
        <f t="shared" si="30"/>
        <v>Error?</v>
      </c>
    </row>
    <row r="2036" spans="1:4" x14ac:dyDescent="0.2">
      <c r="A2036" s="5">
        <v>1975</v>
      </c>
      <c r="B2036" s="138">
        <f>'Cap Outlay Deprec 26'!H13</f>
        <v>164517</v>
      </c>
      <c r="D2036" s="2" t="str">
        <f t="shared" si="30"/>
        <v>Error?</v>
      </c>
    </row>
    <row r="2037" spans="1:4" x14ac:dyDescent="0.2">
      <c r="A2037" s="5">
        <v>1976</v>
      </c>
      <c r="B2037" s="138">
        <f>'Cap Outlay Deprec 26'!H16</f>
        <v>3736903</v>
      </c>
      <c r="C2037" s="2" t="s">
        <v>573</v>
      </c>
      <c r="D2037" s="2" t="str">
        <f t="shared" si="30"/>
        <v>Error?</v>
      </c>
    </row>
    <row r="2038" spans="1:4" x14ac:dyDescent="0.2">
      <c r="A2038" s="10">
        <v>1977</v>
      </c>
      <c r="D2038" s="2" t="str">
        <f t="shared" si="30"/>
        <v>OK</v>
      </c>
    </row>
    <row r="2039" spans="1:4" x14ac:dyDescent="0.2">
      <c r="A2039" s="5">
        <v>1978</v>
      </c>
      <c r="B2039" s="138">
        <f>'Cap Outlay Deprec 26'!I8</f>
        <v>46026</v>
      </c>
      <c r="D2039" s="2" t="str">
        <f t="shared" si="30"/>
        <v>Error?</v>
      </c>
    </row>
    <row r="2040" spans="1:4" x14ac:dyDescent="0.2">
      <c r="A2040" s="5">
        <v>1979</v>
      </c>
      <c r="B2040" s="138">
        <f>'Cap Outlay Deprec 26'!I10</f>
        <v>81819</v>
      </c>
      <c r="D2040" s="2" t="str">
        <f t="shared" si="30"/>
        <v>Error?</v>
      </c>
    </row>
    <row r="2041" spans="1:4" x14ac:dyDescent="0.2">
      <c r="A2041" s="5">
        <v>1980</v>
      </c>
      <c r="B2041" s="138">
        <f>'Cap Outlay Deprec 26'!I12</f>
        <v>15484</v>
      </c>
      <c r="D2041" s="2" t="str">
        <f t="shared" si="30"/>
        <v>Error?</v>
      </c>
    </row>
    <row r="2042" spans="1:4" x14ac:dyDescent="0.2">
      <c r="A2042" s="5">
        <v>1981</v>
      </c>
      <c r="B2042" s="138">
        <f>'Cap Outlay Deprec 26'!I13</f>
        <v>9432</v>
      </c>
      <c r="D2042" s="2" t="str">
        <f t="shared" si="30"/>
        <v>Error?</v>
      </c>
    </row>
    <row r="2043" spans="1:4" x14ac:dyDescent="0.2">
      <c r="A2043" s="5">
        <v>1982</v>
      </c>
      <c r="B2043" s="138">
        <f>'Cap Outlay Deprec 26'!I16</f>
        <v>152761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1802996</v>
      </c>
      <c r="C2051" s="2" t="s">
        <v>573</v>
      </c>
      <c r="D2051" s="2" t="str">
        <f t="shared" si="31"/>
        <v>Error?</v>
      </c>
    </row>
    <row r="2052" spans="1:4" x14ac:dyDescent="0.2">
      <c r="A2052" s="5">
        <v>1991</v>
      </c>
      <c r="B2052" s="138">
        <f>'Cap Outlay Deprec 26'!K10</f>
        <v>1080701</v>
      </c>
      <c r="C2052" s="2" t="s">
        <v>573</v>
      </c>
      <c r="D2052" s="2" t="str">
        <f t="shared" si="31"/>
        <v>Error?</v>
      </c>
    </row>
    <row r="2053" spans="1:4" x14ac:dyDescent="0.2">
      <c r="A2053" s="5">
        <v>1992</v>
      </c>
      <c r="B2053" s="138">
        <f>'Cap Outlay Deprec 26'!K12</f>
        <v>832018</v>
      </c>
      <c r="C2053" s="2" t="s">
        <v>573</v>
      </c>
      <c r="D2053" s="2" t="str">
        <f t="shared" si="31"/>
        <v>Error?</v>
      </c>
    </row>
    <row r="2054" spans="1:4" x14ac:dyDescent="0.2">
      <c r="A2054" s="5">
        <v>1993</v>
      </c>
      <c r="B2054" s="138">
        <f>'Cap Outlay Deprec 26'!K13</f>
        <v>173949</v>
      </c>
      <c r="C2054" s="2" t="s">
        <v>573</v>
      </c>
      <c r="D2054" s="2" t="str">
        <f t="shared" si="31"/>
        <v>Error?</v>
      </c>
    </row>
    <row r="2055" spans="1:4" x14ac:dyDescent="0.2">
      <c r="A2055" s="5">
        <v>1994</v>
      </c>
      <c r="B2055" s="138">
        <f>'Cap Outlay Deprec 26'!K16</f>
        <v>3889664</v>
      </c>
      <c r="C2055" s="2" t="s">
        <v>573</v>
      </c>
      <c r="D2055" s="2" t="str">
        <f t="shared" si="31"/>
        <v>Error?</v>
      </c>
    </row>
    <row r="2056" spans="1:4" x14ac:dyDescent="0.2">
      <c r="A2056" s="5">
        <v>1995</v>
      </c>
      <c r="B2056" s="138">
        <f>'Cap Outlay Deprec 26'!L5</f>
        <v>19000</v>
      </c>
      <c r="C2056" s="2" t="s">
        <v>573</v>
      </c>
      <c r="D2056" s="2" t="str">
        <f t="shared" si="31"/>
        <v>Error?</v>
      </c>
    </row>
    <row r="2057" spans="1:4" x14ac:dyDescent="0.2">
      <c r="A2057" s="5">
        <v>1996</v>
      </c>
      <c r="B2057" s="138">
        <f>'Cap Outlay Deprec 26'!L8</f>
        <v>498296</v>
      </c>
      <c r="C2057" s="2" t="s">
        <v>573</v>
      </c>
      <c r="D2057" s="2" t="str">
        <f t="shared" si="31"/>
        <v>Error?</v>
      </c>
    </row>
    <row r="2058" spans="1:4" x14ac:dyDescent="0.2">
      <c r="A2058" s="5">
        <v>1997</v>
      </c>
      <c r="B2058" s="138">
        <f>'Cap Outlay Deprec 26'!L10</f>
        <v>802397</v>
      </c>
      <c r="C2058" s="2" t="s">
        <v>573</v>
      </c>
      <c r="D2058" s="2" t="str">
        <f t="shared" si="31"/>
        <v>Error?</v>
      </c>
    </row>
    <row r="2059" spans="1:4" x14ac:dyDescent="0.2">
      <c r="A2059" s="5">
        <v>1998</v>
      </c>
      <c r="B2059" s="138">
        <f>'Cap Outlay Deprec 26'!L12</f>
        <v>87408</v>
      </c>
      <c r="C2059" s="2" t="s">
        <v>573</v>
      </c>
      <c r="D2059" s="2" t="str">
        <f t="shared" si="31"/>
        <v>Error?</v>
      </c>
    </row>
    <row r="2060" spans="1:4" x14ac:dyDescent="0.2">
      <c r="A2060" s="5">
        <v>1999</v>
      </c>
      <c r="B2060" s="138">
        <f>'Cap Outlay Deprec 26'!L13</f>
        <v>26140</v>
      </c>
      <c r="C2060" s="2" t="s">
        <v>573</v>
      </c>
      <c r="D2060" s="2" t="str">
        <f t="shared" si="31"/>
        <v>Error?</v>
      </c>
    </row>
    <row r="2061" spans="1:4" x14ac:dyDescent="0.2">
      <c r="A2061" s="5">
        <v>2000</v>
      </c>
      <c r="B2061" s="138">
        <f>'Cap Outlay Deprec 26'!L16</f>
        <v>1433241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645</v>
      </c>
      <c r="C2088" s="2" t="s">
        <v>573</v>
      </c>
      <c r="D2088" s="2" t="str">
        <f t="shared" si="31"/>
        <v>Error?</v>
      </c>
    </row>
    <row r="2089" spans="1:4" x14ac:dyDescent="0.2">
      <c r="A2089" s="5">
        <v>2028</v>
      </c>
      <c r="B2089" s="138">
        <f>'Expenditures 15-22'!K92</f>
        <v>173745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3600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18000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182051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1722489</v>
      </c>
      <c r="C2551" s="2" t="s">
        <v>573</v>
      </c>
      <c r="D2551" s="2" t="str">
        <f t="shared" si="38"/>
        <v>Error?</v>
      </c>
    </row>
    <row r="2552" spans="1:4" x14ac:dyDescent="0.2">
      <c r="A2552" s="10">
        <v>2491</v>
      </c>
      <c r="D2552" s="2" t="str">
        <f t="shared" si="38"/>
        <v>OK</v>
      </c>
    </row>
    <row r="2553" spans="1:4" x14ac:dyDescent="0.2">
      <c r="A2553" s="5">
        <v>2492</v>
      </c>
      <c r="B2553" s="138">
        <f>'Acct Summary 7-8'!C6</f>
        <v>785066</v>
      </c>
      <c r="C2553" s="2" t="s">
        <v>573</v>
      </c>
      <c r="D2553" s="2" t="str">
        <f t="shared" si="38"/>
        <v>Error?</v>
      </c>
    </row>
    <row r="2554" spans="1:4" x14ac:dyDescent="0.2">
      <c r="A2554" s="5">
        <v>2493</v>
      </c>
      <c r="B2554" s="138">
        <f>'Acct Summary 7-8'!C7</f>
        <v>134249</v>
      </c>
      <c r="C2554" s="2" t="s">
        <v>573</v>
      </c>
      <c r="D2554" s="2" t="str">
        <f t="shared" si="38"/>
        <v>Error?</v>
      </c>
    </row>
    <row r="2555" spans="1:4" x14ac:dyDescent="0.2">
      <c r="A2555" s="5">
        <v>2494</v>
      </c>
      <c r="B2555" s="138">
        <f>'Acct Summary 7-8'!C8</f>
        <v>2659716</v>
      </c>
      <c r="C2555" s="2" t="s">
        <v>573</v>
      </c>
      <c r="D2555" s="2" t="str">
        <f t="shared" si="38"/>
        <v>Error?</v>
      </c>
    </row>
    <row r="2556" spans="1:4" x14ac:dyDescent="0.2">
      <c r="A2556" s="5">
        <v>2495</v>
      </c>
      <c r="B2556" s="138">
        <f>'Acct Summary 7-8'!C12</f>
        <v>1423702</v>
      </c>
      <c r="C2556" s="2" t="s">
        <v>573</v>
      </c>
      <c r="D2556" s="2" t="str">
        <f t="shared" si="38"/>
        <v>Error?</v>
      </c>
    </row>
    <row r="2557" spans="1:4" x14ac:dyDescent="0.2">
      <c r="A2557" s="5">
        <v>2496</v>
      </c>
      <c r="B2557" s="138">
        <f>'Acct Summary 7-8'!C13</f>
        <v>735595</v>
      </c>
      <c r="C2557" s="2" t="s">
        <v>573</v>
      </c>
      <c r="D2557" s="2" t="str">
        <f t="shared" si="38"/>
        <v>Error?</v>
      </c>
    </row>
    <row r="2558" spans="1:4" x14ac:dyDescent="0.2">
      <c r="A2558" s="5">
        <v>2497</v>
      </c>
      <c r="B2558" s="138">
        <f>'Acct Summary 7-8'!C14</f>
        <v>120842</v>
      </c>
      <c r="C2558" s="2" t="s">
        <v>573</v>
      </c>
      <c r="D2558" s="2" t="str">
        <f t="shared" si="38"/>
        <v>Error?</v>
      </c>
    </row>
    <row r="2559" spans="1:4" x14ac:dyDescent="0.2">
      <c r="A2559" s="5">
        <v>2498</v>
      </c>
      <c r="B2559" s="138">
        <f>'Acct Summary 7-8'!C15</f>
        <v>174522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2454661</v>
      </c>
      <c r="C2561" s="2" t="s">
        <v>573</v>
      </c>
      <c r="D2561" s="2" t="str">
        <f t="shared" si="39"/>
        <v>Error?</v>
      </c>
    </row>
    <row r="2562" spans="1:4" x14ac:dyDescent="0.2">
      <c r="A2562" s="5">
        <v>2501</v>
      </c>
      <c r="B2562" s="138">
        <f>'Acct Summary 7-8'!C20</f>
        <v>205055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271783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271783</v>
      </c>
      <c r="C2568" s="2" t="s">
        <v>573</v>
      </c>
      <c r="D2568" s="2" t="str">
        <f t="shared" si="39"/>
        <v>Error?</v>
      </c>
    </row>
    <row r="2569" spans="1:4" x14ac:dyDescent="0.2">
      <c r="A2569" s="5">
        <v>2508</v>
      </c>
      <c r="B2569" s="138">
        <f>'Acct Summary 7-8'!D13</f>
        <v>224804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3600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228404</v>
      </c>
      <c r="C2573" s="2" t="s">
        <v>573</v>
      </c>
      <c r="D2573" s="2" t="str">
        <f t="shared" si="39"/>
        <v>Error?</v>
      </c>
    </row>
    <row r="2574" spans="1:4" x14ac:dyDescent="0.2">
      <c r="A2574" s="5">
        <v>2513</v>
      </c>
      <c r="B2574" s="138">
        <f>'Acct Summary 7-8'!D20</f>
        <v>43379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72294</v>
      </c>
      <c r="C2591" s="2" t="s">
        <v>573</v>
      </c>
      <c r="D2591" s="2" t="str">
        <f t="shared" si="39"/>
        <v>Error?</v>
      </c>
    </row>
    <row r="2592" spans="1:4" x14ac:dyDescent="0.2">
      <c r="A2592" s="10">
        <v>2531</v>
      </c>
      <c r="D2592" s="2" t="str">
        <f t="shared" si="39"/>
        <v>OK</v>
      </c>
    </row>
    <row r="2593" spans="1:4" x14ac:dyDescent="0.2">
      <c r="A2593" s="5">
        <v>2532</v>
      </c>
      <c r="B2593" s="138">
        <f>'Acct Summary 7-8'!F6</f>
        <v>94389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166683</v>
      </c>
      <c r="C2595" s="2" t="s">
        <v>573</v>
      </c>
      <c r="D2595" s="2" t="str">
        <f t="shared" si="39"/>
        <v>Error?</v>
      </c>
    </row>
    <row r="2596" spans="1:4" x14ac:dyDescent="0.2">
      <c r="A2596" s="5">
        <v>2535</v>
      </c>
      <c r="B2596" s="138">
        <f>'Acct Summary 7-8'!F13</f>
        <v>109998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12893</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122891</v>
      </c>
      <c r="C2600" s="2" t="s">
        <v>573</v>
      </c>
      <c r="D2600" s="2" t="str">
        <f t="shared" si="39"/>
        <v>Error?</v>
      </c>
    </row>
    <row r="2601" spans="1:4" x14ac:dyDescent="0.2">
      <c r="A2601" s="5">
        <v>2540</v>
      </c>
      <c r="B2601" s="138">
        <f>'Acct Summary 7-8'!F20</f>
        <v>43792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98611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98611</v>
      </c>
      <c r="C2606" s="2" t="s">
        <v>573</v>
      </c>
      <c r="D2606" s="2" t="str">
        <f t="shared" si="39"/>
        <v>Error?</v>
      </c>
    </row>
    <row r="2607" spans="1:4" x14ac:dyDescent="0.2">
      <c r="A2607" s="5">
        <v>2546</v>
      </c>
      <c r="B2607" s="138">
        <f>'Acct Summary 7-8'!G12</f>
        <v>16761</v>
      </c>
      <c r="C2607" s="2" t="s">
        <v>573</v>
      </c>
      <c r="D2607" s="2" t="str">
        <f t="shared" si="39"/>
        <v>Error?</v>
      </c>
    </row>
    <row r="2608" spans="1:4" x14ac:dyDescent="0.2">
      <c r="A2608" s="5">
        <v>2547</v>
      </c>
      <c r="B2608" s="138">
        <f>'Acct Summary 7-8'!G13</f>
        <v>45973</v>
      </c>
      <c r="C2608" s="2" t="s">
        <v>573</v>
      </c>
      <c r="D2608" s="2" t="str">
        <f t="shared" si="39"/>
        <v>Error?</v>
      </c>
    </row>
    <row r="2609" spans="1:4" x14ac:dyDescent="0.2">
      <c r="A2609" s="5">
        <v>2548</v>
      </c>
      <c r="B2609" s="138">
        <f>'Acct Summary 7-8'!G14</f>
        <v>5162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67896</v>
      </c>
      <c r="C2612" s="2" t="s">
        <v>573</v>
      </c>
      <c r="D2612" s="2" t="str">
        <f t="shared" si="39"/>
        <v>Error?</v>
      </c>
    </row>
    <row r="2613" spans="1:4" x14ac:dyDescent="0.2">
      <c r="A2613" s="5">
        <v>2552</v>
      </c>
      <c r="B2613" s="138">
        <f>'Acct Summary 7-8'!G20</f>
        <v>30715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92502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92502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92646</v>
      </c>
      <c r="C2634" s="2" t="s">
        <v>573</v>
      </c>
      <c r="D2634" s="2" t="str">
        <f t="shared" si="40"/>
        <v>Error?</v>
      </c>
    </row>
    <row r="2635" spans="1:4" x14ac:dyDescent="0.2">
      <c r="A2635" s="5">
        <v>2574</v>
      </c>
      <c r="B2635" s="138">
        <f>'Acct Summary 7-8'!E17</f>
        <v>92646</v>
      </c>
      <c r="C2635" s="2" t="s">
        <v>573</v>
      </c>
      <c r="D2635" s="2" t="str">
        <f t="shared" si="40"/>
        <v>Error?</v>
      </c>
    </row>
    <row r="2636" spans="1:4" x14ac:dyDescent="0.2">
      <c r="A2636" s="5">
        <v>2575</v>
      </c>
      <c r="B2636" s="138">
        <f>'Acct Summary 7-8'!E20</f>
        <v>-144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645</v>
      </c>
      <c r="C2789" s="2" t="s">
        <v>573</v>
      </c>
      <c r="D2789" s="2" t="str">
        <f t="shared" si="42"/>
        <v>Error?</v>
      </c>
    </row>
    <row r="2790" spans="1:4" x14ac:dyDescent="0.2">
      <c r="A2790" s="5">
        <v>2729</v>
      </c>
      <c r="B2790" s="138">
        <f>'Expenditures 15-22'!E102</f>
        <v>645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12893</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12893</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192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9948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122249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192</v>
      </c>
      <c r="D2912" s="2" t="str">
        <f t="shared" si="44"/>
        <v>Error?</v>
      </c>
    </row>
    <row r="2913" spans="1:4" x14ac:dyDescent="0.2">
      <c r="A2913" s="5">
        <v>2852</v>
      </c>
      <c r="B2913" s="138">
        <f>'Assets-Liab 5-6'!I41</f>
        <v>192</v>
      </c>
      <c r="C2913" s="2" t="s">
        <v>573</v>
      </c>
      <c r="D2913" s="2" t="str">
        <f t="shared" si="44"/>
        <v>Error?</v>
      </c>
    </row>
    <row r="2914" spans="1:4" x14ac:dyDescent="0.2">
      <c r="A2914" s="5">
        <v>2853</v>
      </c>
      <c r="B2914" s="138">
        <f>'Assets-Liab 5-6'!L33</f>
        <v>122249</v>
      </c>
      <c r="D2914" s="2" t="str">
        <f t="shared" si="44"/>
        <v>Error?</v>
      </c>
    </row>
    <row r="2915" spans="1:4" x14ac:dyDescent="0.2">
      <c r="A2915" s="10">
        <v>2854</v>
      </c>
      <c r="D2915" s="2" t="str">
        <f t="shared" si="44"/>
        <v>OK</v>
      </c>
    </row>
    <row r="2916" spans="1:4" x14ac:dyDescent="0.2">
      <c r="A2916" s="5">
        <v>2855</v>
      </c>
      <c r="B2916" s="138">
        <f>'Assets-Liab 5-6'!L34</f>
        <v>122249</v>
      </c>
      <c r="C2916" s="2" t="s">
        <v>573</v>
      </c>
      <c r="D2916" s="2" t="str">
        <f t="shared" si="44"/>
        <v>Error?</v>
      </c>
    </row>
    <row r="2917" spans="1:4" x14ac:dyDescent="0.2">
      <c r="A2917" s="5">
        <v>2856</v>
      </c>
      <c r="B2917" s="138">
        <f>'Assets-Liab 5-6'!L41</f>
        <v>122249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645</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645</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3600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12893</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12893</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40557</v>
      </c>
      <c r="D3055" s="2" t="str">
        <f t="shared" si="46"/>
        <v>Error?</v>
      </c>
    </row>
    <row r="3056" spans="1:4" x14ac:dyDescent="0.2">
      <c r="A3056" s="5">
        <v>2995</v>
      </c>
      <c r="B3056" s="138">
        <f>'Expenditures 15-22'!D10</f>
        <v>18410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58967</v>
      </c>
      <c r="C3062" s="2" t="s">
        <v>573</v>
      </c>
      <c r="D3062" s="2" t="str">
        <f t="shared" si="46"/>
        <v>Error?</v>
      </c>
    </row>
    <row r="3063" spans="1:4" x14ac:dyDescent="0.2">
      <c r="A3063" s="10">
        <v>3002</v>
      </c>
      <c r="D3063" s="2" t="str">
        <f t="shared" si="46"/>
        <v>OK</v>
      </c>
    </row>
    <row r="3064" spans="1:4" x14ac:dyDescent="0.2">
      <c r="A3064" s="5">
        <v>3003</v>
      </c>
      <c r="B3064" s="138">
        <f>'Expenditures 15-22'!D219</f>
        <v>495</v>
      </c>
      <c r="D3064" s="2" t="str">
        <f t="shared" si="46"/>
        <v>Error?</v>
      </c>
    </row>
    <row r="3065" spans="1:4" x14ac:dyDescent="0.2">
      <c r="A3065" s="5">
        <v>3004</v>
      </c>
      <c r="B3065" s="138">
        <f>'Expenditures 15-22'!K219</f>
        <v>495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17771</v>
      </c>
      <c r="C3225" s="2" t="s">
        <v>573</v>
      </c>
      <c r="D3225" s="2" t="str">
        <f t="shared" si="49"/>
        <v>Error?</v>
      </c>
    </row>
    <row r="3226" spans="1:4" x14ac:dyDescent="0.2">
      <c r="A3226" s="5">
        <v>3165</v>
      </c>
      <c r="B3226" s="138">
        <f>'Acct Summary 7-8'!I8</f>
        <v>17771</v>
      </c>
      <c r="C3226" s="2" t="s">
        <v>573</v>
      </c>
      <c r="D3226" s="2" t="str">
        <f t="shared" si="49"/>
        <v>Error?</v>
      </c>
    </row>
    <row r="3227" spans="1:4" x14ac:dyDescent="0.2">
      <c r="A3227" s="5">
        <v>3166</v>
      </c>
      <c r="B3227" s="138">
        <f>'Acct Summary 7-8'!I20</f>
        <v>17771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18000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18000</v>
      </c>
      <c r="C3232" s="2" t="s">
        <v>573</v>
      </c>
      <c r="D3232" s="2" t="str">
        <f t="shared" si="49"/>
        <v>Error?</v>
      </c>
    </row>
    <row r="3233" spans="1:4" x14ac:dyDescent="0.2">
      <c r="A3233" s="5">
        <v>3172</v>
      </c>
      <c r="B3233" s="138">
        <f>'Acct Summary 7-8'!C78</f>
        <v>223055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43379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43792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30715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-144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18000</v>
      </c>
      <c r="C3318" s="2" t="s">
        <v>573</v>
      </c>
      <c r="D3318" s="2" t="str">
        <f t="shared" si="50"/>
        <v>Error?</v>
      </c>
    </row>
    <row r="3319" spans="1:4" x14ac:dyDescent="0.2">
      <c r="A3319" s="5">
        <v>3258</v>
      </c>
      <c r="B3319" s="138">
        <f>'Acct Summary 7-8'!I77</f>
        <v>-18000</v>
      </c>
      <c r="C3319" s="2" t="s">
        <v>573</v>
      </c>
      <c r="D3319" s="2" t="str">
        <f t="shared" si="50"/>
        <v>Error?</v>
      </c>
    </row>
    <row r="3320" spans="1:4" x14ac:dyDescent="0.2">
      <c r="A3320" s="5">
        <v>3259</v>
      </c>
      <c r="B3320" s="138">
        <f>'Acct Summary 7-8'!I78</f>
        <v>-229</v>
      </c>
      <c r="C3320" s="2" t="s">
        <v>573</v>
      </c>
      <c r="D3320" s="2" t="str">
        <f t="shared" si="50"/>
        <v>Error?</v>
      </c>
    </row>
    <row r="3321" spans="1:4" x14ac:dyDescent="0.2">
      <c r="A3321" s="5">
        <v>3260</v>
      </c>
      <c r="B3321" s="138">
        <f>'Acct Summary 7-8'!I79</f>
        <v>421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12740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12740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17912</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2429757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439346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1435</v>
      </c>
      <c r="D3417" s="2" t="str">
        <f t="shared" si="52"/>
        <v>Error?</v>
      </c>
    </row>
    <row r="3418" spans="1:4" x14ac:dyDescent="0.2">
      <c r="A3418" s="10">
        <v>3357</v>
      </c>
      <c r="D3418" s="2" t="str">
        <f t="shared" si="52"/>
        <v>OK</v>
      </c>
    </row>
    <row r="3419" spans="1:4" x14ac:dyDescent="0.2">
      <c r="A3419" s="5">
        <v>3358</v>
      </c>
      <c r="B3419" s="138">
        <f>'Assets-Liab 5-6'!F4</f>
        <v>201541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182051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192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112301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46001</v>
      </c>
      <c r="C3446" s="2" t="s">
        <v>573</v>
      </c>
      <c r="D3446" s="2" t="str">
        <f t="shared" si="52"/>
        <v>Error?</v>
      </c>
    </row>
    <row r="3447" spans="1:4" x14ac:dyDescent="0.2">
      <c r="A3447" s="5">
        <v>3386</v>
      </c>
      <c r="B3447" s="138">
        <f>'Tax Sched 23'!D16</f>
        <v>46001</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41002</v>
      </c>
      <c r="C3449" s="2" t="s">
        <v>573</v>
      </c>
      <c r="D3449" s="2" t="str">
        <f t="shared" si="52"/>
        <v>Error?</v>
      </c>
    </row>
    <row r="3450" spans="1:4" x14ac:dyDescent="0.2">
      <c r="A3450" s="5">
        <v>3389</v>
      </c>
      <c r="B3450" s="138">
        <f>'Tax Sched 23'!E16</f>
        <v>41002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211036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211036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211036</v>
      </c>
      <c r="D3567" s="2" t="str">
        <f t="shared" si="54"/>
        <v>Error?</v>
      </c>
    </row>
    <row r="3568" spans="1:4" x14ac:dyDescent="0.2">
      <c r="A3568" s="5">
        <v>3507</v>
      </c>
      <c r="B3568" s="138">
        <f>'Assets-Liab 5-6'!K41</f>
        <v>211036</v>
      </c>
      <c r="C3568" s="2" t="s">
        <v>573</v>
      </c>
      <c r="D3568" s="2" t="str">
        <f t="shared" si="54"/>
        <v>Error?</v>
      </c>
    </row>
    <row r="3569" spans="1:4" x14ac:dyDescent="0.2">
      <c r="A3569" s="5">
        <v>3508</v>
      </c>
      <c r="B3569" s="138">
        <f>'Acct Summary 7-8'!K4</f>
        <v>107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107</v>
      </c>
      <c r="C3571" s="2" t="s">
        <v>573</v>
      </c>
      <c r="D3571" s="2" t="str">
        <f t="shared" si="54"/>
        <v>Error?</v>
      </c>
    </row>
    <row r="3572" spans="1:4" x14ac:dyDescent="0.2">
      <c r="A3572" s="5">
        <v>3511</v>
      </c>
      <c r="B3572" s="138">
        <f>'Acct Summary 7-8'!K13</f>
        <v>256313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256313</v>
      </c>
      <c r="C3575" s="2" t="s">
        <v>573</v>
      </c>
      <c r="D3575" s="2" t="str">
        <f t="shared" si="54"/>
        <v>Error?</v>
      </c>
    </row>
    <row r="3576" spans="1:4" x14ac:dyDescent="0.2">
      <c r="A3576" s="5">
        <v>3515</v>
      </c>
      <c r="B3576" s="138">
        <f>'Acct Summary 7-8'!K20</f>
        <v>-256206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-256206</v>
      </c>
      <c r="C3588" s="2" t="s">
        <v>573</v>
      </c>
      <c r="D3588" s="2" t="str">
        <f t="shared" si="55"/>
        <v>Error?</v>
      </c>
    </row>
    <row r="3589" spans="1:4" x14ac:dyDescent="0.2">
      <c r="A3589" s="5">
        <v>3528</v>
      </c>
      <c r="B3589" s="138">
        <f>'Acct Summary 7-8'!K79</f>
        <v>467242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211036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12853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12853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12853</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243460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243460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243460</v>
      </c>
      <c r="C3649" s="2" t="s">
        <v>573</v>
      </c>
      <c r="D3649" s="2" t="str">
        <f t="shared" si="56"/>
        <v>Error?</v>
      </c>
    </row>
    <row r="3650" spans="1:4" x14ac:dyDescent="0.2">
      <c r="A3650" s="5">
        <v>3589</v>
      </c>
      <c r="B3650" s="138">
        <f>'Expenditures 15-22'!G367</f>
        <v>243460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256313</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256313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256313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256313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-256206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17662</v>
      </c>
      <c r="C3725" s="2" t="s">
        <v>573</v>
      </c>
      <c r="D3725" s="2" t="str">
        <f t="shared" si="57"/>
        <v>Error?</v>
      </c>
    </row>
    <row r="3726" spans="1:4" x14ac:dyDescent="0.2">
      <c r="A3726" s="5">
        <v>3665</v>
      </c>
      <c r="B3726" s="138">
        <f>'Tax Sched 23'!D13</f>
        <v>17662</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18640</v>
      </c>
      <c r="C3728" s="2" t="s">
        <v>573</v>
      </c>
      <c r="D3728" s="2" t="str">
        <f t="shared" si="57"/>
        <v>Error?</v>
      </c>
    </row>
    <row r="3729" spans="1:4" x14ac:dyDescent="0.2">
      <c r="A3729" s="5">
        <v>3668</v>
      </c>
      <c r="B3729" s="138">
        <f>'Tax Sched 23'!E13</f>
        <v>18640</v>
      </c>
      <c r="D3729" s="2" t="str">
        <f t="shared" si="57"/>
        <v>Error?</v>
      </c>
    </row>
    <row r="3730" spans="1:4" x14ac:dyDescent="0.2">
      <c r="A3730" s="5">
        <v>3669</v>
      </c>
      <c r="B3730" s="138">
        <f>'ICR Computation 30'!E10</f>
        <v>47165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1022859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3682575</v>
      </c>
      <c r="C4122" s="2" t="s">
        <v>573</v>
      </c>
      <c r="D4122" s="2" t="str">
        <f t="shared" si="63"/>
        <v>Error?</v>
      </c>
    </row>
    <row r="4123" spans="1:4" x14ac:dyDescent="0.2">
      <c r="A4123" s="5">
        <v>4062</v>
      </c>
      <c r="B4123" s="138">
        <f>'Acct Summary 7-8'!D10</f>
        <v>271783</v>
      </c>
      <c r="C4123" s="2" t="s">
        <v>573</v>
      </c>
      <c r="D4123" s="2" t="str">
        <f t="shared" si="63"/>
        <v>Error?</v>
      </c>
    </row>
    <row r="4124" spans="1:4" x14ac:dyDescent="0.2">
      <c r="A4124" s="5">
        <v>4063</v>
      </c>
      <c r="B4124" s="138">
        <f>'Acct Summary 7-8'!E10</f>
        <v>92502</v>
      </c>
      <c r="C4124" s="2" t="s">
        <v>573</v>
      </c>
      <c r="D4124" s="2" t="str">
        <f t="shared" si="63"/>
        <v>Error?</v>
      </c>
    </row>
    <row r="4125" spans="1:4" x14ac:dyDescent="0.2">
      <c r="A4125" s="5">
        <v>4064</v>
      </c>
      <c r="B4125" s="138">
        <f>'Acct Summary 7-8'!F10</f>
        <v>166683</v>
      </c>
      <c r="C4125" s="2" t="s">
        <v>573</v>
      </c>
      <c r="D4125" s="2" t="str">
        <f t="shared" si="63"/>
        <v>Error?</v>
      </c>
    </row>
    <row r="4126" spans="1:4" x14ac:dyDescent="0.2">
      <c r="A4126" s="5">
        <v>4065</v>
      </c>
      <c r="B4126" s="138">
        <f>'Acct Summary 7-8'!G10</f>
        <v>98611</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17771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107</v>
      </c>
      <c r="C4130" s="2" t="s">
        <v>573</v>
      </c>
      <c r="D4130" s="2" t="str">
        <f t="shared" si="63"/>
        <v>Error?</v>
      </c>
    </row>
    <row r="4131" spans="1:4" x14ac:dyDescent="0.2">
      <c r="A4131" s="5">
        <v>4070</v>
      </c>
      <c r="B4131" s="138">
        <f>'Acct Summary 7-8'!C18</f>
        <v>1022859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3477520</v>
      </c>
      <c r="C4136" s="2" t="s">
        <v>573</v>
      </c>
      <c r="D4136" s="2" t="str">
        <f t="shared" si="63"/>
        <v>Error?</v>
      </c>
    </row>
    <row r="4137" spans="1:4" x14ac:dyDescent="0.2">
      <c r="A4137" s="5">
        <v>4076</v>
      </c>
      <c r="B4137" s="138">
        <f>'Acct Summary 7-8'!D19</f>
        <v>228404</v>
      </c>
      <c r="C4137" s="2" t="s">
        <v>573</v>
      </c>
      <c r="D4137" s="2" t="str">
        <f t="shared" si="63"/>
        <v>Error?</v>
      </c>
    </row>
    <row r="4138" spans="1:4" x14ac:dyDescent="0.2">
      <c r="A4138" s="5">
        <v>4077</v>
      </c>
      <c r="B4138" s="138">
        <f>'Acct Summary 7-8'!E19</f>
        <v>92646</v>
      </c>
      <c r="C4138" s="2" t="s">
        <v>573</v>
      </c>
      <c r="D4138" s="2" t="str">
        <f t="shared" si="63"/>
        <v>Error?</v>
      </c>
    </row>
    <row r="4139" spans="1:4" x14ac:dyDescent="0.2">
      <c r="A4139" s="5">
        <v>4078</v>
      </c>
      <c r="B4139" s="138">
        <f>'Acct Summary 7-8'!F19</f>
        <v>122891</v>
      </c>
      <c r="C4139" s="2" t="s">
        <v>573</v>
      </c>
      <c r="D4139" s="2" t="str">
        <f t="shared" si="63"/>
        <v>Error?</v>
      </c>
    </row>
    <row r="4140" spans="1:4" x14ac:dyDescent="0.2">
      <c r="A4140" s="5">
        <v>4079</v>
      </c>
      <c r="B4140" s="138">
        <f>'Acct Summary 7-8'!G19</f>
        <v>67896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256313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475000</v>
      </c>
      <c r="C4171" s="2" t="s">
        <v>573</v>
      </c>
      <c r="D4171" s="2" t="str">
        <f t="shared" si="64"/>
        <v>Error?</v>
      </c>
    </row>
    <row r="4172" spans="1:4" x14ac:dyDescent="0.2">
      <c r="A4172" s="5">
        <v>4111</v>
      </c>
      <c r="B4172" s="138">
        <f>'Short-Term Long-Term Debt 24'!J49</f>
        <v>473565</v>
      </c>
      <c r="C4172" s="2" t="s">
        <v>573</v>
      </c>
      <c r="D4172" s="2" t="str">
        <f t="shared" si="64"/>
        <v>Error?</v>
      </c>
    </row>
    <row r="4173" spans="1:4" x14ac:dyDescent="0.2">
      <c r="A4173" s="5">
        <v>4112</v>
      </c>
      <c r="B4173" s="138">
        <f>'Short-Term Long-Term Debt 24'!H49</f>
        <v>55000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3600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3600</v>
      </c>
      <c r="C4202" s="2" t="s">
        <v>573</v>
      </c>
      <c r="D4202" s="2" t="str">
        <f t="shared" si="64"/>
        <v>Error?</v>
      </c>
    </row>
    <row r="4203" spans="1:4" x14ac:dyDescent="0.2">
      <c r="A4203" s="5">
        <v>4142</v>
      </c>
      <c r="B4203" s="138">
        <f>'Expenditures 15-22'!E139</f>
        <v>3600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4600</v>
      </c>
      <c r="C4268" s="2" t="s">
        <v>573</v>
      </c>
      <c r="D4268" s="2" t="str">
        <f t="shared" si="65"/>
        <v>Error?</v>
      </c>
    </row>
    <row r="4269" spans="1:5" x14ac:dyDescent="0.2">
      <c r="A4269" s="12">
        <v>4208</v>
      </c>
      <c r="B4269" s="138">
        <f>'FP Info 3'!J16</f>
        <v>3070836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8958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467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29978</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37280904</v>
      </c>
      <c r="D4995" s="2" t="str">
        <f t="shared" si="77"/>
        <v>Error?</v>
      </c>
    </row>
    <row r="4996" spans="1:4" x14ac:dyDescent="0.2">
      <c r="A4996" s="12">
        <v>4935</v>
      </c>
      <c r="B4996" s="138">
        <f>'FP Info 3'!H31</f>
        <v>5144764.7520000003</v>
      </c>
      <c r="D4996" s="2" t="str">
        <f t="shared" si="77"/>
        <v>Error?</v>
      </c>
    </row>
    <row r="4997" spans="1:4" x14ac:dyDescent="0.2">
      <c r="A4997" s="12">
        <v>4936</v>
      </c>
      <c r="B4997" s="138">
        <f>'FP Info 3'!H37</f>
        <v>475000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13662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1377609</v>
      </c>
      <c r="D5061" s="2" t="str">
        <f t="shared" si="78"/>
        <v>Error?</v>
      </c>
    </row>
    <row r="5062" spans="1:4" x14ac:dyDescent="0.2">
      <c r="A5062" s="10">
        <v>5001</v>
      </c>
      <c r="D5062" s="2" t="str">
        <f t="shared" si="78"/>
        <v>OK</v>
      </c>
    </row>
    <row r="5063" spans="1:4" x14ac:dyDescent="0.2">
      <c r="A5063" s="5">
        <v>5002</v>
      </c>
      <c r="B5063" s="138">
        <f>'Revenues 9-14'!C7</f>
        <v>14130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1405401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39176</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39176</v>
      </c>
      <c r="C5087" s="2" t="s">
        <v>573</v>
      </c>
      <c r="D5087" s="2" t="str">
        <f t="shared" si="78"/>
        <v>Error?</v>
      </c>
    </row>
    <row r="5088" spans="1:4" x14ac:dyDescent="0.2">
      <c r="A5088" s="5">
        <v>5027</v>
      </c>
      <c r="B5088" s="138">
        <f>'Revenues 9-14'!C65</f>
        <v>12549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12549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2363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52804</v>
      </c>
      <c r="C5096" s="2" t="s">
        <v>573</v>
      </c>
      <c r="D5096" s="2" t="str">
        <f t="shared" si="78"/>
        <v>Error?</v>
      </c>
    </row>
    <row r="5097" spans="1:4" x14ac:dyDescent="0.2">
      <c r="A5097" s="5">
        <v>5036</v>
      </c>
      <c r="B5097" s="138">
        <f>'Revenues 9-14'!C77</f>
        <v>16287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16287</v>
      </c>
      <c r="C5102" s="2" t="s">
        <v>573</v>
      </c>
      <c r="D5102" s="2" t="str">
        <f t="shared" si="78"/>
        <v>Error?</v>
      </c>
    </row>
    <row r="5103" spans="1:4" x14ac:dyDescent="0.2">
      <c r="A5103" s="5">
        <v>5042</v>
      </c>
      <c r="B5103" s="138">
        <f>'Revenues 9-14'!C84</f>
        <v>6920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6920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174772</v>
      </c>
      <c r="D5115" s="2" t="str">
        <f t="shared" si="78"/>
        <v>Error?</v>
      </c>
    </row>
    <row r="5116" spans="1:4" x14ac:dyDescent="0.2">
      <c r="A5116" s="5">
        <v>5055</v>
      </c>
      <c r="B5116" s="138">
        <f>'Revenues 9-14'!C99</f>
        <v>7710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6870</v>
      </c>
      <c r="D5119" s="2" t="str">
        <f t="shared" ref="D5119:D5182" si="79">IF(ISBLANK(B5119),"OK",IF(A5119-B5119=0,"OK","Error?"))</f>
        <v>Error?</v>
      </c>
    </row>
    <row r="5120" spans="1:4" x14ac:dyDescent="0.2">
      <c r="A5120" s="5">
        <v>5059</v>
      </c>
      <c r="B5120" s="138">
        <f>'Revenues 9-14'!C108</f>
        <v>189352</v>
      </c>
      <c r="C5120" s="2" t="s">
        <v>573</v>
      </c>
      <c r="D5120" s="2" t="str">
        <f t="shared" si="79"/>
        <v>Error?</v>
      </c>
    </row>
    <row r="5121" spans="1:4" x14ac:dyDescent="0.2">
      <c r="A5121" s="5">
        <v>5060</v>
      </c>
      <c r="B5121" s="138">
        <f>'Revenues 9-14'!C109</f>
        <v>1722489</v>
      </c>
      <c r="C5121" s="2" t="s">
        <v>573</v>
      </c>
      <c r="D5121" s="2" t="str">
        <f t="shared" si="79"/>
        <v>Error?</v>
      </c>
    </row>
    <row r="5122" spans="1:4" x14ac:dyDescent="0.2">
      <c r="A5122" s="5">
        <v>5061</v>
      </c>
      <c r="B5122" s="138">
        <f>'Revenues 9-14'!C111</f>
        <v>15300</v>
      </c>
      <c r="D5122" s="2" t="str">
        <f t="shared" si="79"/>
        <v>Error?</v>
      </c>
    </row>
    <row r="5123" spans="1:4" x14ac:dyDescent="0.2">
      <c r="A5123" s="5">
        <v>5062</v>
      </c>
      <c r="B5123" s="138">
        <f>'Revenues 9-14'!C112</f>
        <v>2612</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17912</v>
      </c>
      <c r="C5125" s="2" t="s">
        <v>573</v>
      </c>
      <c r="D5125" s="2" t="str">
        <f t="shared" si="79"/>
        <v>Error?</v>
      </c>
    </row>
    <row r="5126" spans="1:4" x14ac:dyDescent="0.2">
      <c r="A5126" s="5">
        <v>5065</v>
      </c>
      <c r="B5126" s="138">
        <f>'Revenues 9-14'!C117</f>
        <v>757383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757383</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22584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637</v>
      </c>
      <c r="D5167" s="2" t="str">
        <f t="shared" si="79"/>
        <v>Error?</v>
      </c>
    </row>
    <row r="5168" spans="1:4" x14ac:dyDescent="0.2">
      <c r="A5168" s="5">
        <v>5107</v>
      </c>
      <c r="B5168" s="138">
        <f>'Revenues 9-14'!C148</f>
        <v>3995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27683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785066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43043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43043</v>
      </c>
      <c r="C5246" s="2" t="s">
        <v>573</v>
      </c>
      <c r="D5246" s="2" t="str">
        <f t="shared" si="80"/>
        <v>Error?</v>
      </c>
    </row>
    <row r="5247" spans="1:4" x14ac:dyDescent="0.2">
      <c r="A5247" s="5">
        <v>5186</v>
      </c>
      <c r="B5247" s="138">
        <f>'Revenues 9-14'!C200</f>
        <v>52270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52270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134249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134249</v>
      </c>
      <c r="C5326" s="2" t="s">
        <v>573</v>
      </c>
      <c r="D5326" s="2" t="str">
        <f t="shared" si="82"/>
        <v>Error?</v>
      </c>
    </row>
    <row r="5327" spans="1:5" x14ac:dyDescent="0.2">
      <c r="A5327" s="5">
        <v>5266</v>
      </c>
      <c r="B5327" s="138">
        <f>'Revenues 9-14'!C268</f>
        <v>2659716</v>
      </c>
      <c r="C5327" s="2" t="s">
        <v>573</v>
      </c>
      <c r="D5327" s="2" t="str">
        <f t="shared" si="82"/>
        <v>Error?</v>
      </c>
    </row>
    <row r="5328" spans="1:5" x14ac:dyDescent="0.2">
      <c r="A5328" s="5">
        <v>5267</v>
      </c>
      <c r="B5328" s="138">
        <f>'Revenues 9-14'!D5</f>
        <v>176616</v>
      </c>
      <c r="D5328" s="2" t="str">
        <f t="shared" si="82"/>
        <v>Error?</v>
      </c>
    </row>
    <row r="5329" spans="1:4" x14ac:dyDescent="0.2">
      <c r="A5329" s="10">
        <v>5268</v>
      </c>
      <c r="D5329" s="2" t="str">
        <f t="shared" si="82"/>
        <v>OK</v>
      </c>
    </row>
    <row r="5330" spans="1:4" x14ac:dyDescent="0.2">
      <c r="A5330" s="5">
        <v>5269</v>
      </c>
      <c r="B5330" s="138">
        <f>'Revenues 9-14'!D6</f>
        <v>4000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180616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67607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67607</v>
      </c>
      <c r="C5339" s="2" t="s">
        <v>573</v>
      </c>
      <c r="D5339" s="2" t="str">
        <f t="shared" si="82"/>
        <v>Error?</v>
      </c>
    </row>
    <row r="5340" spans="1:4" x14ac:dyDescent="0.2">
      <c r="A5340" s="5">
        <v>5279</v>
      </c>
      <c r="B5340" s="138">
        <f>'Revenues 9-14'!D65</f>
        <v>2060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2060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21500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21500</v>
      </c>
      <c r="C5355" s="2" t="s">
        <v>573</v>
      </c>
      <c r="D5355" s="2" t="str">
        <f t="shared" si="82"/>
        <v>Error?</v>
      </c>
    </row>
    <row r="5356" spans="1:4" x14ac:dyDescent="0.2">
      <c r="A5356" s="5">
        <v>5295</v>
      </c>
      <c r="B5356" s="138">
        <f>'Revenues 9-14'!D109</f>
        <v>271783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271783</v>
      </c>
      <c r="C5508" s="2" t="s">
        <v>573</v>
      </c>
      <c r="D5508" s="2" t="str">
        <f t="shared" si="85"/>
        <v>Error?</v>
      </c>
    </row>
    <row r="5509" spans="1:4" x14ac:dyDescent="0.2">
      <c r="A5509" s="5">
        <v>5448</v>
      </c>
      <c r="B5509" s="138">
        <f>'Revenues 9-14'!E5</f>
        <v>92452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92452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92502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92502</v>
      </c>
      <c r="C5552" s="2" t="s">
        <v>573</v>
      </c>
      <c r="D5552" s="2" t="str">
        <f t="shared" si="85"/>
        <v>Error?</v>
      </c>
    </row>
    <row r="5553" spans="1:4" x14ac:dyDescent="0.2">
      <c r="A5553" s="5">
        <v>5492</v>
      </c>
      <c r="B5553" s="138">
        <f>'Revenues 9-14'!F5</f>
        <v>70647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70647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556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556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1091</v>
      </c>
      <c r="D5586" s="2" t="str">
        <f t="shared" si="86"/>
        <v>Error?</v>
      </c>
    </row>
    <row r="5587" spans="1:4" x14ac:dyDescent="0.2">
      <c r="A5587" s="5">
        <v>5526</v>
      </c>
      <c r="B5587" s="138">
        <f>'Revenues 9-14'!F108</f>
        <v>1091</v>
      </c>
      <c r="C5587" s="2" t="s">
        <v>573</v>
      </c>
      <c r="D5587" s="2" t="str">
        <f t="shared" si="86"/>
        <v>Error?</v>
      </c>
    </row>
    <row r="5588" spans="1:4" x14ac:dyDescent="0.2">
      <c r="A5588" s="5">
        <v>5527</v>
      </c>
      <c r="B5588" s="138">
        <f>'Revenues 9-14'!F109</f>
        <v>72294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84667</v>
      </c>
      <c r="D5615" s="2" t="str">
        <f t="shared" si="86"/>
        <v>Error?</v>
      </c>
    </row>
    <row r="5616" spans="1:4" x14ac:dyDescent="0.2">
      <c r="A5616" s="10">
        <v>5555</v>
      </c>
      <c r="D5616" s="2" t="str">
        <f t="shared" si="86"/>
        <v>OK</v>
      </c>
    </row>
    <row r="5617" spans="1:5" x14ac:dyDescent="0.2">
      <c r="A5617" s="5">
        <v>5556</v>
      </c>
      <c r="B5617" s="138">
        <f>'Revenues 9-14'!F153</f>
        <v>9722</v>
      </c>
      <c r="D5617" s="2" t="str">
        <f t="shared" si="86"/>
        <v>Error?</v>
      </c>
    </row>
    <row r="5618" spans="1:5" x14ac:dyDescent="0.2">
      <c r="A5618" s="5">
        <v>5557</v>
      </c>
      <c r="B5618" s="138">
        <f>'Revenues 9-14'!F155</f>
        <v>94389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94389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94389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166683</v>
      </c>
      <c r="C5720" s="2" t="s">
        <v>573</v>
      </c>
      <c r="D5720" s="2" t="str">
        <f t="shared" si="88"/>
        <v>Error?</v>
      </c>
    </row>
    <row r="5721" spans="1:4" x14ac:dyDescent="0.2">
      <c r="A5721" s="5">
        <v>5660</v>
      </c>
      <c r="B5721" s="138">
        <f>'Revenues 9-14'!G5</f>
        <v>43811</v>
      </c>
      <c r="D5721" s="2" t="str">
        <f t="shared" si="88"/>
        <v>Error?</v>
      </c>
    </row>
    <row r="5722" spans="1:4" x14ac:dyDescent="0.2">
      <c r="A5722" s="5">
        <v>5661</v>
      </c>
      <c r="B5722" s="138">
        <f>'Revenues 9-14'!G7</f>
        <v>0</v>
      </c>
      <c r="D5722" s="2" t="str">
        <f t="shared" si="88"/>
        <v>Error?</v>
      </c>
    </row>
    <row r="5723" spans="1:4" x14ac:dyDescent="0.2">
      <c r="A5723" s="5">
        <v>5662</v>
      </c>
      <c r="B5723" s="138">
        <f>'Revenues 9-14'!G8</f>
        <v>46001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89812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3000</v>
      </c>
      <c r="C5730" s="2" t="s">
        <v>573</v>
      </c>
      <c r="D5730" s="2" t="str">
        <f t="shared" si="88"/>
        <v>Error?</v>
      </c>
    </row>
    <row r="5731" spans="1:4" x14ac:dyDescent="0.2">
      <c r="A5731" s="5">
        <v>5670</v>
      </c>
      <c r="B5731" s="138">
        <f>'Revenues 9-14'!G65</f>
        <v>637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637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5162</v>
      </c>
      <c r="D5736" s="2" t="str">
        <f t="shared" si="88"/>
        <v>Error?</v>
      </c>
    </row>
    <row r="5737" spans="1:4" x14ac:dyDescent="0.2">
      <c r="A5737" s="5">
        <v>5676</v>
      </c>
      <c r="B5737" s="138">
        <f>'Revenues 9-14'!G108</f>
        <v>5162</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98611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17662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17662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17771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107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107</v>
      </c>
      <c r="C6023" s="2" t="s">
        <v>573</v>
      </c>
      <c r="D6023" s="2" t="str">
        <f t="shared" si="93"/>
        <v>Error?</v>
      </c>
    </row>
    <row r="6024" spans="1:5" x14ac:dyDescent="0.2">
      <c r="A6024" s="5">
        <v>5963</v>
      </c>
      <c r="B6024" s="138">
        <f>'Revenues 9-14'!G109</f>
        <v>98611</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17771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50441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265.7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207580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207580</v>
      </c>
      <c r="D6215" s="2" t="str">
        <f t="shared" si="96"/>
        <v>Error?</v>
      </c>
      <c r="E6215" s="2" t="s">
        <v>190</v>
      </c>
    </row>
    <row r="6216" spans="1:5" x14ac:dyDescent="0.2">
      <c r="A6216">
        <v>6155</v>
      </c>
      <c r="B6216" s="138">
        <f>'Assets-Liab 5-6'!J41</f>
        <v>207580</v>
      </c>
      <c r="D6216" s="2" t="str">
        <f t="shared" si="96"/>
        <v>Error?</v>
      </c>
      <c r="E6216" s="2" t="s">
        <v>190</v>
      </c>
    </row>
    <row r="6217" spans="1:5" x14ac:dyDescent="0.2">
      <c r="A6217">
        <v>6156</v>
      </c>
      <c r="B6217" s="138">
        <f>'Assets-Liab 5-6'!J4</f>
        <v>207580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86947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86947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86947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46258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46258</v>
      </c>
      <c r="D6229" s="2" t="str">
        <f t="shared" si="96"/>
        <v>Error?</v>
      </c>
      <c r="E6229" s="2" t="s">
        <v>190</v>
      </c>
    </row>
    <row r="6230" spans="1:5" x14ac:dyDescent="0.2">
      <c r="A6230">
        <v>6169</v>
      </c>
      <c r="B6230" s="138">
        <f>'Acct Summary 7-8'!J20</f>
        <v>40689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40689</v>
      </c>
      <c r="D6263" s="2" t="str">
        <f t="shared" si="96"/>
        <v>Error?</v>
      </c>
      <c r="E6263" s="2" t="s">
        <v>190</v>
      </c>
    </row>
    <row r="6264" spans="1:5" x14ac:dyDescent="0.2">
      <c r="A6264">
        <v>6203</v>
      </c>
      <c r="B6264" s="138">
        <f>'Acct Summary 7-8'!J79</f>
        <v>166891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207580</v>
      </c>
      <c r="D6266" s="2" t="str">
        <f t="shared" si="96"/>
        <v>Error?</v>
      </c>
      <c r="E6266" s="2" t="s">
        <v>190</v>
      </c>
    </row>
    <row r="6267" spans="1:5" x14ac:dyDescent="0.2">
      <c r="A6267">
        <v>6206</v>
      </c>
      <c r="B6267" s="138">
        <f>'Acct Summary 7-8'!C82</f>
        <v>223055</v>
      </c>
      <c r="D6267" s="2" t="str">
        <f t="shared" si="96"/>
        <v>Error?</v>
      </c>
      <c r="E6267" s="2" t="s">
        <v>190</v>
      </c>
    </row>
    <row r="6268" spans="1:5" x14ac:dyDescent="0.2">
      <c r="A6268">
        <v>6207</v>
      </c>
      <c r="B6268" s="138">
        <f>'Acct Summary 7-8'!D82</f>
        <v>43379</v>
      </c>
      <c r="D6268" s="2" t="str">
        <f t="shared" si="96"/>
        <v>Error?</v>
      </c>
      <c r="E6268" s="2" t="s">
        <v>190</v>
      </c>
    </row>
    <row r="6269" spans="1:5" x14ac:dyDescent="0.2">
      <c r="A6269">
        <v>6208</v>
      </c>
      <c r="B6269" s="138">
        <f>'Acct Summary 7-8'!E82</f>
        <v>-144</v>
      </c>
      <c r="D6269" s="2" t="str">
        <f t="shared" si="96"/>
        <v>Error?</v>
      </c>
      <c r="E6269" s="2" t="s">
        <v>190</v>
      </c>
    </row>
    <row r="6270" spans="1:5" x14ac:dyDescent="0.2">
      <c r="A6270">
        <v>6209</v>
      </c>
      <c r="B6270" s="138">
        <f>'Acct Summary 7-8'!F82</f>
        <v>43792</v>
      </c>
      <c r="D6270" s="2" t="str">
        <f t="shared" si="96"/>
        <v>Error?</v>
      </c>
      <c r="E6270" s="2" t="s">
        <v>190</v>
      </c>
    </row>
    <row r="6271" spans="1:5" x14ac:dyDescent="0.2">
      <c r="A6271">
        <v>6210</v>
      </c>
      <c r="B6271" s="138">
        <f>'Acct Summary 7-8'!G82</f>
        <v>30715</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-229</v>
      </c>
      <c r="D6273" s="2" t="str">
        <f t="shared" si="97"/>
        <v>Error?</v>
      </c>
      <c r="E6273" s="2" t="s">
        <v>190</v>
      </c>
    </row>
    <row r="6274" spans="1:5" x14ac:dyDescent="0.2">
      <c r="A6274">
        <v>6213</v>
      </c>
      <c r="B6274" s="138">
        <f>'Acct Summary 7-8'!J82</f>
        <v>40689</v>
      </c>
      <c r="D6274" s="2" t="str">
        <f t="shared" si="97"/>
        <v>Error?</v>
      </c>
      <c r="E6274" s="2" t="s">
        <v>190</v>
      </c>
    </row>
    <row r="6275" spans="1:5" x14ac:dyDescent="0.2">
      <c r="A6275">
        <v>6214</v>
      </c>
      <c r="B6275" s="138">
        <f>'Acct Summary 7-8'!K82</f>
        <v>-256206</v>
      </c>
      <c r="D6275" s="2" t="str">
        <f t="shared" si="97"/>
        <v>Error?</v>
      </c>
      <c r="E6275" s="2" t="s">
        <v>190</v>
      </c>
    </row>
    <row r="6276" spans="1:5" x14ac:dyDescent="0.2">
      <c r="A6276">
        <v>6215</v>
      </c>
      <c r="B6276" s="138">
        <f>'Acct Summary 7-8'!C83</f>
        <v>9.1801361206079457E-2</v>
      </c>
      <c r="D6276" s="2" t="str">
        <f t="shared" si="97"/>
        <v>Error?</v>
      </c>
      <c r="E6276" s="2" t="s">
        <v>190</v>
      </c>
    </row>
    <row r="6277" spans="1:5" x14ac:dyDescent="0.2">
      <c r="A6277">
        <v>6216</v>
      </c>
      <c r="B6277" s="138">
        <f>'Acct Summary 7-8'!D83</f>
        <v>9.8735393061505056E-2</v>
      </c>
      <c r="D6277" s="2" t="str">
        <f t="shared" si="97"/>
        <v>Error?</v>
      </c>
      <c r="E6277" s="2" t="s">
        <v>190</v>
      </c>
    </row>
    <row r="6278" spans="1:5" x14ac:dyDescent="0.2">
      <c r="A6278">
        <v>6217</v>
      </c>
      <c r="B6278" s="138">
        <f>'Acct Summary 7-8'!E83</f>
        <v>-0.10034843205574913</v>
      </c>
      <c r="D6278" s="2" t="str">
        <f t="shared" si="97"/>
        <v>Error?</v>
      </c>
      <c r="E6278" s="2" t="s">
        <v>190</v>
      </c>
    </row>
    <row r="6279" spans="1:5" x14ac:dyDescent="0.2">
      <c r="A6279">
        <v>6218</v>
      </c>
      <c r="B6279" s="138">
        <f>'Acct Summary 7-8'!F83</f>
        <v>0.21728581281228138</v>
      </c>
      <c r="D6279" s="2" t="str">
        <f t="shared" si="97"/>
        <v>Error?</v>
      </c>
      <c r="E6279" s="2" t="s">
        <v>190</v>
      </c>
    </row>
    <row r="6280" spans="1:5" x14ac:dyDescent="0.2">
      <c r="A6280">
        <v>6219</v>
      </c>
      <c r="B6280" s="138">
        <f>'Acct Summary 7-8'!G83</f>
        <v>0.16871645857479498</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-1.1927083333333333</v>
      </c>
      <c r="D6282" s="2" t="str">
        <f t="shared" si="97"/>
        <v>Error?</v>
      </c>
      <c r="E6282" s="2" t="s">
        <v>190</v>
      </c>
    </row>
    <row r="6283" spans="1:5" x14ac:dyDescent="0.2">
      <c r="A6283">
        <v>6222</v>
      </c>
      <c r="B6283" s="138">
        <f>'Acct Summary 7-8'!J83</f>
        <v>0.19601599383370266</v>
      </c>
      <c r="D6283" s="2" t="str">
        <f t="shared" si="97"/>
        <v>Error?</v>
      </c>
      <c r="E6283" s="2" t="s">
        <v>190</v>
      </c>
    </row>
    <row r="6284" spans="1:5" x14ac:dyDescent="0.2">
      <c r="A6284">
        <v>6223</v>
      </c>
      <c r="B6284" s="138">
        <f>'Acct Summary 7-8'!K83</f>
        <v>-1.2140393108284842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86248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86248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699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699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86947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22584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3498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173275</v>
      </c>
      <c r="D6983" s="2" t="str">
        <f t="shared" si="108"/>
        <v>Error?</v>
      </c>
    </row>
    <row r="6984" spans="1:4" x14ac:dyDescent="0.2">
      <c r="A6984">
        <v>6923</v>
      </c>
      <c r="B6984" s="138">
        <f>'Expenditures 15-22'!K86</f>
        <v>173275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470</v>
      </c>
      <c r="D6987" s="2" t="str">
        <f t="shared" si="108"/>
        <v>Error?</v>
      </c>
    </row>
    <row r="6988" spans="1:4" x14ac:dyDescent="0.2">
      <c r="A6988">
        <v>6927</v>
      </c>
      <c r="B6988" s="138">
        <f>'Expenditures 15-22'!K88</f>
        <v>470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173745</v>
      </c>
      <c r="D6995" s="2" t="str">
        <f t="shared" si="108"/>
        <v>Error?</v>
      </c>
    </row>
    <row r="6996" spans="1:4" x14ac:dyDescent="0.2">
      <c r="A6996">
        <v>6935</v>
      </c>
      <c r="B6996" s="138">
        <f>'Expenditures 15-22'!H93</f>
        <v>132</v>
      </c>
      <c r="D6996" s="2" t="str">
        <f t="shared" si="108"/>
        <v>Error?</v>
      </c>
    </row>
    <row r="6997" spans="1:4" x14ac:dyDescent="0.2">
      <c r="A6997">
        <v>6936</v>
      </c>
      <c r="B6997" s="138">
        <f>'Expenditures 15-22'!K93</f>
        <v>132</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132</v>
      </c>
      <c r="D7012" s="2" t="str">
        <f t="shared" si="108"/>
        <v>Error?</v>
      </c>
    </row>
    <row r="7013" spans="1:4" x14ac:dyDescent="0.2">
      <c r="A7013">
        <v>6952</v>
      </c>
      <c r="B7013" s="138">
        <f>'Expenditures 15-22'!K100</f>
        <v>132</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46258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86947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34291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34291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10728</v>
      </c>
      <c r="D7156" s="2" t="str">
        <f t="shared" si="110"/>
        <v>Error?</v>
      </c>
    </row>
    <row r="7157" spans="1:4" x14ac:dyDescent="0.2">
      <c r="A7157">
        <v>7096</v>
      </c>
      <c r="B7157" s="138">
        <f>'Expenditures 15-22'!F323</f>
        <v>176</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10904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1063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1063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46082</v>
      </c>
      <c r="D7201" s="2" t="str">
        <f t="shared" si="111"/>
        <v>Error?</v>
      </c>
    </row>
    <row r="7202" spans="1:4" x14ac:dyDescent="0.2">
      <c r="A7202">
        <v>7141</v>
      </c>
      <c r="B7202" s="138">
        <f>'Expenditures 15-22'!F330</f>
        <v>176</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46258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46082</v>
      </c>
      <c r="D7218" s="2" t="str">
        <f t="shared" si="111"/>
        <v>Error?</v>
      </c>
    </row>
    <row r="7219" spans="1:4" x14ac:dyDescent="0.2">
      <c r="A7219">
        <v>7158</v>
      </c>
      <c r="B7219" s="138">
        <f>'Expenditures 15-22'!F342</f>
        <v>176</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46258</v>
      </c>
      <c r="D7224" s="2" t="str">
        <f t="shared" si="111"/>
        <v>Error?</v>
      </c>
    </row>
    <row r="7225" spans="1:4" x14ac:dyDescent="0.2">
      <c r="A7225">
        <v>7164</v>
      </c>
      <c r="B7225" s="138">
        <f>'Expenditures 15-22'!K343</f>
        <v>40689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3222</v>
      </c>
      <c r="D7265" s="2" t="str">
        <f t="shared" si="112"/>
        <v>Error?</v>
      </c>
    </row>
    <row r="7266" spans="1:5" x14ac:dyDescent="0.2">
      <c r="A7266">
        <f t="shared" si="113"/>
        <v>7205</v>
      </c>
      <c r="B7266" s="138">
        <f>'Expenditures 15-22'!F17</f>
        <v>276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152761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3995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3995</v>
      </c>
      <c r="D7719" s="2" t="str">
        <f t="shared" si="126"/>
        <v>Error?</v>
      </c>
      <c r="E7719" s="2" t="s">
        <v>827</v>
      </c>
    </row>
    <row r="7720" spans="1:6" x14ac:dyDescent="0.2">
      <c r="A7720">
        <v>7659</v>
      </c>
      <c r="B7720" s="138">
        <f>'Rest Tax Levies-Tort Im 25'!H14</f>
        <v>14130</v>
      </c>
      <c r="D7720" s="2" t="str">
        <f t="shared" si="126"/>
        <v>Error?</v>
      </c>
      <c r="E7720" s="2" t="s">
        <v>827</v>
      </c>
    </row>
    <row r="7721" spans="1:6" x14ac:dyDescent="0.2">
      <c r="A7721">
        <v>7660</v>
      </c>
      <c r="B7721" s="138">
        <f>'Rest Tax Levies-Tort Im 25'!K14</f>
        <v>3995</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18000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1987</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Cissna Park CUSD 6</v>
      </c>
      <c r="B7" s="2387"/>
      <c r="C7" s="2387"/>
      <c r="D7" s="2424"/>
      <c r="E7" s="2425">
        <f>COVER!A13</f>
        <v>32038006026</v>
      </c>
      <c r="F7" s="2426"/>
      <c r="G7" s="2393" t="str">
        <f>COVER!T23</f>
        <v>065.018319</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RUSSELL LEIGH &amp; ASSOCIATES LLC</v>
      </c>
      <c r="H9" s="2400"/>
      <c r="I9" s="2400"/>
      <c r="J9" s="2400"/>
      <c r="K9" s="2400"/>
      <c r="L9" s="2401"/>
    </row>
    <row r="10" spans="1:29" ht="13.5" customHeight="1" x14ac:dyDescent="0.2">
      <c r="A10" s="2383" t="str">
        <f>COVER!A38</f>
        <v>Dr. Daniel Hylbert</v>
      </c>
      <c r="B10" s="2384"/>
      <c r="C10" s="2384"/>
      <c r="D10" s="2384"/>
      <c r="E10" s="2384"/>
      <c r="F10" s="2385"/>
      <c r="G10" s="2399" t="str">
        <f>COVER!T17</f>
        <v>228 E MAIN ST</v>
      </c>
      <c r="H10" s="2412"/>
      <c r="I10" s="2412"/>
      <c r="J10" s="2412"/>
      <c r="K10" s="2412"/>
      <c r="L10" s="2413"/>
    </row>
    <row r="11" spans="1:29" ht="13.5" customHeight="1" x14ac:dyDescent="0.2">
      <c r="A11" s="1184" t="s">
        <v>1519</v>
      </c>
      <c r="B11" s="1185"/>
      <c r="C11" s="1186"/>
      <c r="D11" s="1191"/>
      <c r="E11" s="1186"/>
      <c r="F11" s="1190"/>
      <c r="G11" s="2399" t="str">
        <f>COVER!T19</f>
        <v>HOOPESTON</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admin@russleigh.com</v>
      </c>
      <c r="J13" s="2421"/>
      <c r="K13" s="2421"/>
      <c r="L13" s="2422"/>
    </row>
    <row r="14" spans="1:29" ht="13.5" customHeight="1" x14ac:dyDescent="0.2">
      <c r="A14" s="2399" t="str">
        <f>COVER!A19</f>
        <v>PO BOX 1, 511 N SECOND ST</v>
      </c>
      <c r="B14" s="2412"/>
      <c r="C14" s="2412"/>
      <c r="D14" s="2412"/>
      <c r="E14" s="2412"/>
      <c r="F14" s="2413"/>
      <c r="G14" s="1195" t="s">
        <v>1185</v>
      </c>
      <c r="H14" s="1193"/>
      <c r="I14" s="1193"/>
      <c r="J14" s="1193"/>
      <c r="K14" s="1193"/>
      <c r="L14" s="1194"/>
    </row>
    <row r="15" spans="1:29" ht="13.5" customHeight="1" x14ac:dyDescent="0.2">
      <c r="A15" s="2399" t="str">
        <f>COVER!A21</f>
        <v>CISSNA PARK</v>
      </c>
      <c r="B15" s="2412"/>
      <c r="C15" s="2412"/>
      <c r="D15" s="2412"/>
      <c r="E15" s="2412"/>
      <c r="F15" s="2413"/>
      <c r="G15" s="2409" t="str">
        <f>COVER!T15</f>
        <v>RUSS LEIGH</v>
      </c>
      <c r="H15" s="2410"/>
      <c r="I15" s="2410"/>
      <c r="J15" s="2410"/>
      <c r="K15" s="2410"/>
      <c r="L15" s="2411"/>
    </row>
    <row r="16" spans="1:29" ht="12.2" customHeight="1" x14ac:dyDescent="0.2">
      <c r="A16" s="2389">
        <f>COVER!A25</f>
        <v>60924</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217-283-9336</v>
      </c>
      <c r="H18" s="2387"/>
      <c r="I18" s="2387"/>
      <c r="J18" s="2387"/>
      <c r="K18" s="2386" t="str">
        <f>COVER!X21</f>
        <v>217-283-9736</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Cissna Park CUSD 6</v>
      </c>
      <c r="B1" s="2423"/>
      <c r="C1" s="2423"/>
      <c r="D1" s="2423"/>
    </row>
    <row r="2" spans="1:11" s="1212" customFormat="1" ht="12.75" x14ac:dyDescent="0.2">
      <c r="A2" s="2428">
        <f>'Single Audit Cover'!E7</f>
        <v>32038006026</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Cissna Park CUSD 6</v>
      </c>
      <c r="B1" s="2431"/>
      <c r="C1" s="2431"/>
      <c r="D1" s="2431"/>
      <c r="E1" s="2431"/>
    </row>
    <row r="2" spans="1:5" x14ac:dyDescent="0.2">
      <c r="A2" s="2432">
        <f>'Single Audit Cover'!E7</f>
        <v>32038006026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134249</v>
      </c>
    </row>
    <row r="11" spans="1:5" ht="18" customHeight="1" x14ac:dyDescent="0.2">
      <c r="A11" s="1258" t="s">
        <v>1240</v>
      </c>
      <c r="B11" s="1259"/>
      <c r="C11" s="1259"/>
    </row>
    <row r="12" spans="1:5" x14ac:dyDescent="0.2">
      <c r="A12" s="1258" t="s">
        <v>1239</v>
      </c>
      <c r="B12" s="1259" t="s">
        <v>1238</v>
      </c>
      <c r="C12" s="1259"/>
      <c r="D12" s="1261">
        <f>SUM('Revenues 9-14'!C112:D112,'Revenues 9-14'!F112:G112)</f>
        <v>2612</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136861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136861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136861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Cissna Park CUSD 6</v>
      </c>
      <c r="C1" s="2435"/>
      <c r="D1" s="2435"/>
      <c r="E1" s="2435"/>
      <c r="F1" s="2435"/>
      <c r="G1" s="2435"/>
      <c r="H1" s="2435"/>
      <c r="I1" s="2435"/>
      <c r="J1" s="2435"/>
      <c r="K1" s="2435"/>
      <c r="L1" s="2435"/>
      <c r="M1" s="2435"/>
    </row>
    <row r="2" spans="2:14" ht="15" x14ac:dyDescent="0.2">
      <c r="B2" s="2436">
        <f>'Single Audit Cover'!E7</f>
        <v>32038006026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Cissna Park CUSD 6</v>
      </c>
      <c r="B1" s="2440"/>
      <c r="C1" s="2440"/>
      <c r="D1" s="2440"/>
      <c r="E1" s="2440"/>
      <c r="F1" s="2440"/>
    </row>
    <row r="2" spans="1:7" ht="13.5" customHeight="1" x14ac:dyDescent="0.2">
      <c r="A2" s="2436">
        <f>'Single Audit Cover'!E7</f>
        <v>32038006026</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1731</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1732</v>
      </c>
      <c r="B32" s="2447"/>
      <c r="C32" s="2447"/>
      <c r="D32" s="2447"/>
      <c r="E32" s="2447"/>
      <c r="F32" s="244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8">
        <f>+C33+C34</f>
        <v>0</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Cissna Park CUSD 6</v>
      </c>
      <c r="C1" s="2456"/>
      <c r="D1" s="2456"/>
      <c r="E1" s="2456"/>
      <c r="F1" s="2456"/>
      <c r="G1" s="2456"/>
      <c r="H1" s="2456"/>
      <c r="I1" s="2456"/>
      <c r="J1" s="1406"/>
    </row>
    <row r="2" spans="2:10" s="317" customFormat="1" ht="12.75" customHeight="1" x14ac:dyDescent="0.2">
      <c r="B2" s="2457">
        <f>'Single Audit Cover'!E7</f>
        <v>32038006026</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c r="E29" s="2462"/>
      <c r="F29" s="2462"/>
      <c r="G29" s="2462"/>
      <c r="H29" s="2462"/>
      <c r="I29" s="2462"/>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3" t="s">
        <v>1751</v>
      </c>
      <c r="D37" s="2464"/>
      <c r="E37" s="2464"/>
      <c r="F37" s="2465"/>
      <c r="G37" s="2463" t="s">
        <v>1592</v>
      </c>
      <c r="H37" s="2464"/>
      <c r="I37" s="2465"/>
    </row>
    <row r="38" spans="2:9" ht="16.5" customHeight="1" x14ac:dyDescent="0.2">
      <c r="B38" s="1428"/>
      <c r="C38" s="2451"/>
      <c r="D38" s="2452"/>
      <c r="E38" s="2452"/>
      <c r="F38" s="2453"/>
      <c r="G38" s="2466"/>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0</v>
      </c>
      <c r="H43" s="2472"/>
      <c r="I43" s="2472"/>
    </row>
    <row r="44" spans="2:9" ht="12.75" customHeight="1" x14ac:dyDescent="0.2"/>
    <row r="45" spans="2:9" ht="12.75" customHeight="1" x14ac:dyDescent="0.2">
      <c r="B45" s="1419" t="s">
        <v>2062</v>
      </c>
      <c r="D45" s="2473">
        <v>0</v>
      </c>
      <c r="E45" s="247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5"/>
      <c r="F49" s="2475"/>
      <c r="G49" s="247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Cissna Park CUSD 6</v>
      </c>
      <c r="C1" s="2455"/>
      <c r="D1" s="2455"/>
      <c r="E1" s="2455"/>
      <c r="F1" s="2455"/>
      <c r="G1" s="2455"/>
      <c r="H1" s="2455"/>
      <c r="I1" s="2455"/>
      <c r="J1" s="2455"/>
      <c r="K1" s="2455"/>
      <c r="L1" s="1371"/>
      <c r="M1" s="1371"/>
    </row>
    <row r="2" spans="1:13" ht="12" customHeight="1" x14ac:dyDescent="0.2">
      <c r="B2" s="2457">
        <f>'Single Audit Cover'!E7</f>
        <v>32038006026</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Cissna Park CUSD 6</v>
      </c>
      <c r="C1" s="2482"/>
      <c r="D1" s="2482"/>
      <c r="E1" s="2482"/>
      <c r="F1" s="2482"/>
      <c r="G1" s="2482"/>
      <c r="H1" s="2482"/>
      <c r="I1" s="2482"/>
      <c r="J1" s="2482"/>
      <c r="K1" s="2482"/>
      <c r="L1" s="1449"/>
    </row>
    <row r="2" spans="1:12" ht="12.75" customHeight="1" x14ac:dyDescent="0.2">
      <c r="B2" s="2483">
        <f>'Single Audit Cover'!E7</f>
        <v>32038006026</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Cissna Park CUSD 6</v>
      </c>
      <c r="C1" s="2455"/>
      <c r="D1" s="2455"/>
      <c r="E1" s="1469"/>
    </row>
    <row r="2" spans="2:5" s="1279" customFormat="1" ht="12.75" customHeight="1" x14ac:dyDescent="0.2">
      <c r="B2" s="2457">
        <f>'Single Audit Cover'!E7</f>
        <v>32038006026</v>
      </c>
      <c r="C2" s="2457"/>
      <c r="D2" s="2457"/>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schemas.microsoft.com/office/infopath/2007/PartnerControls"/>
    <ds:schemaRef ds:uri="http://purl.org/dc/elements/1.1/"/>
    <ds:schemaRef ds:uri="d21dc803-237d-4c68-8692-8d731fd29118"/>
    <ds:schemaRef ds:uri="http://schemas.microsoft.com/office/2006/metadata/properties"/>
    <ds:schemaRef ds:uri="http://purl.org/dc/dcmitype/"/>
    <ds:schemaRef ds:uri="4d435f69-8686-490b-bd6d-b153bf22ab50"/>
    <ds:schemaRef ds:uri="http://schemas.microsoft.com/sharepoint/v3"/>
    <ds:schemaRef ds:uri="http://schemas.openxmlformats.org/package/2006/metadata/core-properties"/>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2019-06-25T17:28:25Z</cp:lastPrinted>
  <dcterms:created xsi:type="dcterms:W3CDTF">2003-10-29T19:06:34Z</dcterms:created>
  <dcterms:modified xsi:type="dcterms:W3CDTF">2019-12-18T20:49:02Z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