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F1495D3-C00E-464A-B818-D44B525EF37F}"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G210" i="29" l="1"/>
  <c r="G15" i="145"/>
  <c r="E34" i="108"/>
  <c r="H28" i="118"/>
  <c r="F42" i="34"/>
  <c r="H342" i="29"/>
  <c r="F19" i="7"/>
  <c r="B1807" i="106" s="1"/>
  <c r="D1807" i="106" s="1"/>
  <c r="F77" i="4"/>
  <c r="B3255" i="106" s="1"/>
  <c r="D3255" i="106" s="1"/>
  <c r="C342" i="29"/>
  <c r="B7216" i="106" s="1"/>
  <c r="D7216" i="106" s="1"/>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41" i="108" s="1"/>
  <c r="G43" i="108" s="1"/>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G170" i="5" l="1"/>
  <c r="B5778" i="106" s="1"/>
  <c r="D5778" i="106" s="1"/>
  <c r="J151" i="29"/>
  <c r="B7052" i="106" s="1"/>
  <c r="D7052" i="106" s="1"/>
  <c r="B1365" i="106"/>
  <c r="D1365" i="106" s="1"/>
  <c r="F65" i="34"/>
  <c r="L16" i="11"/>
  <c r="B2061" i="106" s="1"/>
  <c r="D2061" i="106" s="1"/>
  <c r="N23" i="3"/>
  <c r="B284" i="106" s="1"/>
  <c r="D284" i="106" s="1"/>
  <c r="B5527" i="106"/>
  <c r="D5527"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<sst xmlns="http://schemas.openxmlformats.org/spreadsheetml/2006/main" count="5076" uniqueCount="2105">
  <si>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</si>
  <si>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</si>
  <si>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</si>
  <si>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</si>
  <si>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</si>
  <si>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</si>
  <si>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</si>
  <si>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</si>
  <si>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</si>
  <si>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</si>
  <si>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</si>
  <si>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</si>
  <si>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</si>
  <si>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</si>
  <si>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</si>
  <si>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</si>
  <si>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</si>
  <si>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</si>
  <si>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</si>
  <si>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</si>
  <si>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</si>
  <si>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</si>
  <si>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</si>
  <si>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</si>
  <si>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</si>
  <si>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</si>
  <si>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</si>
  <si>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</si>
  <si>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</si>
  <si>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</si>
  <si>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</si>
  <si>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</si>
  <si>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</si>
  <si>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</si>
  <si>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</si>
  <si>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</si>
  <si>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</si>
  <si>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</si>
  <si>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</si>
  <si>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</si>
  <si>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</si>
  <si>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</si>
  <si>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</si>
  <si>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</si>
  <si>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</si>
  <si>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</si>
  <si>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</si>
  <si>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</si>
  <si>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</si>
  <si>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</si>
  <si>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</si>
  <si>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</si>
  <si>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</si>
  <si>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</si>
  <si>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</si>
  <si>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</si>
  <si>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</si>
  <si>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</si>
  <si>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</si>
  <si>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</si>
  <si>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</si>
  <si>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</si>
  <si>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</si>
  <si>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</si>
  <si>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</si>
  <si>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</si>
  <si>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</si>
  <si>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</si>
  <si>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</si>
  <si>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</si>
  <si>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</si>
  <si>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</si>
  <si>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</si>
  <si>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</si>
  <si>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</si>
  <si>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</si>
  <si>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</si>
  <si>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</si>
  <si>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</si>
  <si>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</si>
  <si>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</si>
  <si>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</si>
  <si>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</si>
  <si>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</si>
  <si>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</si>
  <si>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</si>
  <si>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</si>
  <si>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</si>
  <si>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</si>
  <si>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</si>
  <si>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</si>
  <si>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</si>
  <si>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</si>
  <si>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</si>
  <si>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</si>
  <si>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</si>
  <si>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</si>
  <si>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</si>
  <si>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</si>
  <si>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</si>
  <si>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</si>
  <si>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</si>
  <si>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</si>
  <si>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</si>
  <si>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</si>
  <si>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</si>
  <si>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</si>
  <si>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</si>
  <si>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</si>
  <si>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</si>
  <si>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</si>
  <si>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</si>
  <si>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</si>
  <si>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</si>
  <si>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</si>
  <si>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</si>
  <si>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</si>
  <si>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</si>
  <si>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</si>
  <si>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</si>
  <si>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</si>
  <si>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</si>
  <si>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</si>
  <si>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</si>
  <si>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</si>
  <si>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</si>
  <si>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</si>
  <si>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</si>
  <si>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</si>
  <si>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</si>
  <si>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</si>
  <si>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</si>
  <si>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</si>
  <si>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</si>
  <si>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</si>
  <si>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</si>
  <si>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</si>
  <si>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</si>
  <si>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</si>
  <si>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</si>
  <si>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</si>
  <si>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</si>
  <si>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</si>
  <si>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</si>
  <si>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</si>
  <si>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</si>
  <si>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</si>
  <si>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</si>
  <si>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</si>
  <si>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</si>
  <si>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</si>
  <si>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</si>
  <si>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</si>
  <si>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</si>
  <si>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</si>
  <si>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</si>
  <si>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</si>
  <si>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</si>
  <si>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</si>
  <si>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</si>
  <si>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</si>
  <si>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</si>
  <si>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</si>
  <si>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</si>
  <si>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</si>
  <si>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</si>
  <si>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</si>
  <si>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</si>
  <si>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</si>
  <si>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</si>
  <si>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</si>
  <si>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</si>
  <si>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</si>
  <si>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</si>
  <si>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</si>
  <si>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</si>
  <si>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</si>
  <si>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</si>
  <si>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</si>
  <si>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</si>
  <si>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</si>
  <si>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</si>
  <si>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</si>
  <si>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</si>
  <si>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</si>
  <si>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</si>
  <si>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</si>
  <si>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</si>
  <si>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</si>
  <si>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</si>
  <si>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</si>
  <si>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</si>
  <si>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</si>
  <si>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</si>
  <si>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</si>
  <si>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</si>
  <si>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</si>
  <si>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</si>
  <si>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</si>
  <si>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</si>
  <si>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</si>
  <si>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</si>
  <si>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</si>
  <si>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</si>
  <si>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</si>
  <si>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</si>
  <si>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</si>
  <si>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</si>
  <si>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</si>
  <si>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</si>
  <si>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</si>
  <si>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</si>
  <si>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</si>
  <si>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</si>
  <si>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</si>
  <si>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</si>
  <si>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</si>
  <si>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</si>
  <si>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</si>
  <si>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</si>
  <si>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</si>
  <si>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</si>
  <si>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</si>
  <si>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</si>
  <si>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</si>
  <si>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</si>
  <si>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</si>
  <si>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</si>
  <si>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</si>
  <si>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</si>
  <si>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</si>
  <si>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</si>
  <si>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</si>
  <si>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</si>
  <si>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</si>
  <si>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</si>
  <si>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</si>
  <si>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</si>
  <si>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</si>
  <si>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</si>
  <si>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</si>
  <si>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</si>
  <si>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</si>
  <si>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</si>
  <si>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</si>
  <si>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</si>
  <si>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</si>
  <si>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</si>
  <si>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</si>
  <si>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</si>
  <si>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</si>
  <si>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</si>
  <si>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</si>
  <si>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</si>
  <si>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</si>
  <si>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</si>
  <si>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</si>
  <si>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</si>
  <si>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</si>
  <si>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</si>
  <si>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</si>
  <si>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</si>
  <si>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</si>
  <si>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</si>
  <si>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</si>
  <si>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</si>
  <si>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</si>
  <si>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</si>
  <si>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</si>
  <si>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</si>
  <si>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</si>
  <si>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</si>
  <si>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</si>
  <si>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</si>
  <si>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</si>
  <si>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</si>
  <si>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</si>
  <si>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</si>
  <si>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</si>
  <si>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</si>
  <si>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</si>
  <si>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</si>
  <si>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</si>
  <si>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</si>
  <si>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</si>
  <si>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</si>
  <si>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</si>
  <si>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</si>
  <si>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</si>
  <si>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</si>
  <si>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</si>
  <si>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</si>
  <si>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</si>
  <si>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</si>
  <si>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</si>
  <si>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</si>
  <si>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</si>
  <si>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</si>
  <si>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</si>
  <si>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</si>
  <si>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</si>
  <si>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</si>
  <si>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</si>
  <si>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</si>
  <si>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</si>
  <si>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</si>
  <si>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</si>
  <si>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</si>
  <si>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</si>
  <si>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</si>
  <si>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</si>
  <si>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</si>
  <si>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</si>
  <si>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</si>
  <si>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</si>
  <si>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</si>
  <si>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</si>
  <si>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</si>
  <si>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</si>
  <si>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</si>
  <si>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</si>
  <si>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</si>
  <si>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</si>
  <si>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</si>
  <si>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</si>
  <si>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</si>
  <si>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</si>
  <si>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</si>
  <si>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</si>
  <si>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</si>
  <si>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</si>
  <si>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</si>
  <si>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</si>
  <si>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</si>
  <si>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</si>
  <si>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</si>
  <si>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</si>
  <si>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</si>
  <si>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</si>
  <si>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</si>
  <si>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</si>
  <si>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</si>
  <si>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</si>
  <si>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</si>
  <si>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</si>
  <si>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</si>
  <si>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</si>
  <si>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</si>
  <si>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</si>
  <si>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</si>
  <si>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</si>
  <si>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</si>
  <si>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</si>
  <si>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</si>
  <si>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</si>
  <si>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</si>
  <si>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</si>
  <si>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</si>
  <si>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</si>
  <si>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</si>
  <si>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</si>
  <si>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</si>
  <si>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</si>
  <si>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</si>
  <si>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</si>
  <si>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</si>
  <si>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</si>
  <si>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</si>
  <si>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</si>
  <si>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</si>
  <si>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</si>
  <si>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</si>
  <si>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</si>
  <si>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</si>
  <si>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</si>
  <si>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</si>
  <si>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</si>
  <si>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</si>
  <si>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</si>
  <si>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</si>
  <si>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</si>
  <si>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</si>
  <si>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</si>
  <si>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</si>
  <si>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</si>
  <si>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</si>
  <si>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</si>
  <si>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</si>
  <si>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</si>
  <si>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</si>
  <si>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</si>
  <si>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</si>
  <si>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</si>
  <si>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</si>
  <si>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</si>
  <si>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</si>
  <si>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</si>
  <si>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</si>
  <si>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</si>
  <si>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</si>
  <si>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</si>
  <si>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</si>
  <si>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</si>
  <si>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</si>
  <si>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</si>
  <si>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</si>
  <si>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</si>
  <si>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</si>
  <si>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</si>
  <si>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</si>
  <si>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</si>
  <si>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</si>
  <si>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</si>
  <si>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</si>
  <si>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</si>
  <si>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</si>
  <si>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</si>
  <si>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</si>
  <si>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</si>
  <si>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</si>
  <si>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</si>
  <si>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</si>
  <si>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</si>
  <si>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</si>
  <si>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</si>
  <si>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</si>
  <si>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</si>
  <si>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</si>
  <si>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</si>
  <si>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</si>
  <si>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</si>
  <si>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</si>
  <si>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</si>
  <si>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</si>
  <si>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</si>
  <si>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</si>
  <si>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</si>
  <si>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</si>
  <si>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</si>
  <si>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</si>
  <si>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</si>
  <si>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</si>
  <si>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</si>
  <si>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</si>
  <si>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</si>
  <si>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</si>
  <si>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</si>
  <si>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</si>
  <si>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</si>
  <si>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</si>
  <si>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</si>
  <si>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</si>
  <si>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</si>
  <si>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</si>
  <si>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</si>
  <si>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</si>
  <si>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</si>
  <si>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</si>
  <si>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</si>
  <si>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</si>
  <si>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</si>
  <si>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</si>
  <si>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</si>
  <si>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</si>
  <si>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</si>
  <si>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</si>
  <si>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</si>
  <si>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</si>
  <si>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</si>
  <si>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</si>
  <si>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</si>
  <si>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</si>
  <si>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</si>
  <si>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</si>
  <si>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</si>
  <si>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</si>
  <si>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</si>
  <si>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</si>
  <si>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</si>
  <si>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</si>
  <si>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</si>
  <si>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</si>
  <si>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</si>
  <si>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</si>
  <si>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</si>
  <si>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</si>
  <si>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</si>
  <si>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</si>
  <si>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</si>
  <si>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</si>
  <si>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</si>
  <si>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</si>
  <si>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</si>
  <si>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</si>
  <si>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</si>
  <si>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</si>
  <si>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</si>
  <si>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</si>
  <si>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</si>
  <si>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</si>
  <si>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</si>
  <si>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</si>
  <si>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</si>
  <si>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</si>
  <si>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</si>
  <si>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</si>
  <si>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</si>
  <si>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</si>
  <si>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</si>
  <si>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</si>
  <si>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</si>
  <si>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</si>
  <si>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</si>
  <si>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</si>
  <si>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</si>
  <si>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</si>
  <si>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</si>
  <si>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</si>
  <si>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</si>
  <si>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</si>
  <si>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</si>
  <si>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</si>
  <si>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</si>
  <si>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</si>
  <si>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</si>
  <si>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</si>
  <si>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</si>
  <si>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</si>
  <si>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</si>
  <si>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</si>
  <si>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</si>
  <si>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</si>
  <si>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</si>
  <si>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</si>
  <si>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</si>
  <si>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</si>
  <si>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</si>
  <si>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</si>
  <si>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</si>
  <si>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</si>
  <si>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</si>
  <si>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</si>
  <si>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</si>
  <si>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</si>
  <si>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</si>
  <si>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</si>
  <si>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</si>
  <si>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</si>
  <si>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</si>
  <si>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</si>
  <si>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</si>
  <si>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</si>
  <si>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</si>
  <si>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</si>
  <si>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</si>
  <si>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</si>
  <si>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</si>
  <si>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</si>
  <si>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</si>
  <si>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</si>
  <si>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</si>
  <si>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</si>
  <si>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</si>
  <si>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</si>
  <si>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</si>
  <si>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</si>
  <si>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</si>
  <si>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</si>
  <si>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</si>
  <si>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</si>
  <si>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</si>
  <si>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</si>
  <si>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</si>
  <si>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</si>
  <si>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</si>
  <si>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</si>
  <si>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</si>
  <si>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</si>
  <si>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</si>
  <si>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</si>
  <si>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</si>
  <si>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</si>
  <si>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</si>
  <si>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</si>
  <si>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</si>
  <si>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</si>
  <si>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</si>
  <si>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</si>
  <si>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</si>
  <si>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</si>
  <si>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</si>
  <si>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</si>
  <si>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</si>
  <si>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</si>
  <si>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</si>
  <si>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</si>
  <si>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</si>
  <si>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</si>
  <si>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</si>
  <si>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</si>
  <si>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</si>
  <si>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</si>
  <si>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</si>
  <si>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</si>
  <si>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</si>
  <si>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</si>
  <si>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</si>
  <si>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</si>
  <si>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</si>
  <si>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</si>
  <si>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</si>
  <si>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</si>
  <si>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</si>
  <si>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</si>
  <si>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</si>
  <si>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</si>
  <si>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</si>
  <si>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</si>
  <si>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</si>
  <si>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</si>
  <si>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</si>
  <si>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</si>
  <si>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</si>
  <si>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</si>
  <si>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</si>
  <si>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</si>
  <si>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</si>
  <si>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</si>
  <si>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</si>
  <si>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</si>
  <si>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</si>
  <si>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</si>
  <si>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</si>
  <si>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</si>
  <si>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</si>
  <si>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</si>
  <si>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</si>
  <si>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</si>
  <si>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</si>
  <si>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</si>
  <si>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</si>
  <si>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</si>
  <si>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</si>
  <si>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</si>
  <si>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</si>
  <si>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</si>
  <si>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</si>
  <si>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</si>
  <si>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</si>
  <si>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</si>
  <si>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</si>
  <si>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</si>
  <si>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</si>
  <si>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</si>
  <si>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</si>
  <si>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</si>
  <si>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</si>
  <si>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</si>
  <si>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</si>
  <si>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</si>
  <si>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</si>
  <si>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</si>
  <si>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</si>
  <si>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</si>
  <si>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</si>
  <si>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</si>
  <si>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</si>
  <si>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</si>
  <si>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</si>
  <si>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</si>
  <si>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</si>
  <si>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</si>
  <si>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</si>
  <si>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</si>
  <si>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</si>
  <si>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</si>
  <si>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</si>
  <si>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</si>
  <si>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</si>
  <si>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</si>
  <si>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</si>
  <si>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</si>
  <si>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</si>
  <si>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</si>
  <si>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</si>
  <si>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</si>
  <si>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</si>
  <si>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</si>
  <si>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</si>
  <si>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</si>
  <si>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</si>
  <si>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</si>
  <si>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</si>
  <si>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</si>
  <si>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</si>
  <si>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</si>
  <si>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</si>
  <si>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</si>
  <si>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</si>
  <si>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</si>
  <si>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</si>
  <si>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</si>
  <si>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</si>
  <si>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</si>
  <si>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</si>
  <si>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</si>
  <si>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</si>
  <si>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</si>
  <si>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</si>
  <si>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</si>
  <si>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</si>
  <si>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</si>
  <si>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</si>
  <si>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</si>
  <si>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</si>
  <si>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</si>
  <si>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</si>
  <si>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</si>
  <si>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</si>
  <si>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</si>
  <si>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</si>
  <si>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</si>
  <si>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</si>
  <si>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</si>
  <si>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</si>
  <si>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</si>
  <si>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</si>
  <si>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</si>
  <si>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</si>
  <si>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</si>
  <si>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</si>
  <si>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</si>
  <si>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</si>
  <si>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</si>
  <si>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</si>
  <si>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</si>
  <si>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</si>
  <si>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</si>
  <si>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</si>
  <si>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</si>
  <si>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</si>
  <si>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</si>
  <si>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</si>
  <si>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</si>
  <si>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</si>
  <si>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</si>
  <si>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</si>
  <si>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</si>
  <si>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</si>
  <si>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</si>
  <si>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</si>
  <si>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</si>
  <si>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</si>
  <si>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</si>
  <si>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</si>
  <si>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</si>
  <si>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</si>
  <si>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</si>
  <si>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</si>
  <si>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</si>
  <si>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</si>
  <si>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</si>
  <si>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</si>
  <si>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</si>
  <si>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</si>
  <si>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</si>
  <si>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</si>
  <si>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</si>
  <si>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</si>
  <si>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</si>
  <si>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</si>
  <si>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</si>
  <si>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</si>
  <si>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</si>
  <si>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</si>
  <si>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</si>
  <si>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</si>
  <si>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</si>
  <si>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</si>
  <si>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</si>
  <si>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</si>
  <si>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</si>
  <si>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</si>
  <si>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</si>
  <si>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</si>
  <si>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</si>
  <si>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</si>
  <si>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</si>
  <si>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</si>
  <si>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</si>
  <si>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</si>
  <si>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</si>
  <si>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</si>
  <si>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</si>
  <si>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</si>
  <si>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</si>
  <si>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</si>
  <si>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</si>
  <si>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</si>
  <si>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</si>
  <si>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</si>
  <si>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</si>
  <si>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</si>
  <si>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</si>
  <si>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</si>
  <si>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</si>
  <si>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</si>
  <si>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</si>
  <si>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</si>
  <si>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</si>
  <si>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</si>
  <si>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</si>
  <si>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</si>
  <si>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</si>
  <si>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</si>
  <si>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</si>
  <si>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</si>
  <si>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</si>
  <si>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</si>
  <si>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</si>
  <si>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</si>
  <si>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</si>
  <si>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</si>
  <si>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</si>
  <si>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</si>
  <si>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</si>
  <si>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</si>
  <si>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</si>
  <si>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</si>
  <si>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</si>
  <si>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</si>
  <si>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</si>
  <si>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</si>
  <si>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</si>
  <si>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</si>
  <si>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</si>
  <si>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</si>
  <si>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</si>
  <si>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</si>
  <si>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</si>
  <si>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</si>
  <si>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</si>
  <si>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</si>
  <si>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</si>
  <si>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</si>
  <si>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</si>
  <si>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</si>
  <si>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</si>
  <si>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</si>
  <si>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</si>
  <si>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</si>
  <si>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</si>
  <si>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</si>
  <si>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</si>
  <si>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</si>
  <si>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</si>
  <si>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</si>
  <si>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</si>
  <si>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</si>
  <si>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</si>
  <si>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</si>
  <si>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</si>
  <si>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</si>
  <si>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</si>
  <si>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</si>
  <si>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</si>
  <si>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</si>
  <si>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</si>
  <si>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</si>
  <si>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</si>
  <si>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</si>
  <si>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</si>
  <si>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</si>
  <si>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</si>
  <si>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</si>
  <si>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</si>
  <si>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</si>
  <si>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</si>
  <si>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</si>
  <si>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</si>
  <si>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</si>
  <si>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</si>
  <si>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</si>
  <si>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</si>
  <si>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</si>
  <si>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</si>
  <si>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</si>
  <si>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</si>
  <si>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</si>
  <si>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</si>
  <si>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</si>
  <si>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</si>
  <si>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</si>
  <si>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</si>
  <si>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</si>
  <si>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</si>
  <si>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</si>
  <si>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</si>
  <si>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</si>
  <si>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</si>
  <si>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</si>
  <si>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</si>
  <si>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</si>
  <si>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</si>
  <si>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</si>
  <si>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</si>
  <si>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</si>
  <si>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</si>
  <si>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</si>
  <si>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</si>
  <si>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</si>
  <si>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</si>
  <si>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</si>
  <si>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</si>
  <si>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</si>
  <si>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</si>
  <si>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</si>
  <si>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</si>
  <si>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</si>
  <si>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</si>
  <si>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</si>
  <si>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</si>
  <si>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</si>
  <si>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</si>
  <si>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</si>
  <si>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</si>
  <si>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</si>
  <si>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</si>
  <si>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</si>
  <si>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</si>
  <si>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</si>
  <si>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</si>
  <si>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</si>
  <si>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</si>
  <si>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</si>
  <si>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</si>
  <si>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</si>
  <si>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</si>
  <si>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</si>
  <si>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</si>
  <si>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</si>
  <si>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</si>
  <si>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</si>
  <si>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</si>
  <si>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</si>
  <si>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</si>
  <si>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</si>
  <si>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</si>
  <si>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</si>
  <si>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</si>
  <si>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</si>
  <si>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</si>
  <si>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</si>
  <si>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</si>
  <si>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</si>
  <si>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</si>
  <si>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</si>
  <si>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</si>
  <si>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</si>
  <si>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</si>
  <si>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</si>
  <si>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</si>
  <si>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</si>
  <si>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</si>
  <si>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</si>
  <si>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</si>
  <si>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</si>
  <si>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</si>
  <si>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</si>
  <si>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</si>
  <si>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</si>
  <si>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</si>
  <si>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</si>
  <si>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</si>
  <si>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</si>
  <si>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</si>
  <si>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</si>
  <si>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</si>
  <si>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</si>
  <si>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</si>
  <si>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</si>
  <si>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</si>
  <si>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</si>
  <si>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</si>
  <si>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</si>
  <si>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</si>
  <si>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</si>
  <si>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</si>
  <si>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</si>
  <si>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</si>
  <si>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</si>
  <si>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</si>
  <si>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</si>
  <si>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</si>
  <si>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</si>
  <si>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</si>
  <si>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</si>
  <si>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</si>
  <si>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</si>
  <si>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</si>
  <si>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</si>
  <si>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</si>
  <si>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</si>
  <si>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</si>
  <si>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</si>
  <si>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</si>
  <si>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</si>
  <si>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</si>
  <si>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</si>
  <si>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</si>
  <si>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</si>
  <si>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</si>
  <si>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</si>
  <si>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</si>
  <si>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</si>
  <si>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</si>
  <si>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</si>
  <si>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</si>
  <si>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</si>
  <si>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</si>
  <si>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</si>
  <si>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</si>
  <si>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</si>
  <si>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</si>
  <si>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</si>
  <si>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</si>
  <si>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</si>
  <si>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</si>
  <si>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</si>
  <si>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</si>
  <si>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</si>
  <si>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</si>
  <si>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</si>
  <si>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</si>
  <si>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</si>
  <si>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</si>
  <si>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</si>
  <si>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</si>
  <si>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</si>
  <si>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</si>
  <si>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</si>
  <si>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</si>
  <si>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</si>
  <si>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</si>
  <si>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</si>
  <si>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</si>
  <si>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</si>
  <si>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</si>
  <si>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</si>
  <si>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</si>
  <si>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</si>
  <si>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</si>
  <si>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</si>
  <si>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</si>
  <si>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</si>
  <si>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</si>
  <si>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</si>
  <si>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</si>
  <si>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</si>
  <si>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</si>
  <si>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</si>
  <si>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</si>
  <si>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</si>
  <si>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</si>
  <si>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</si>
  <si>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</si>
  <si>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</si>
  <si>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</si>
  <si>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</si>
  <si>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</si>
  <si>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</si>
  <si>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</si>
  <si>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</si>
  <si>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</si>
  <si>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</si>
  <si>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</si>
  <si>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</si>
  <si>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</si>
  <si>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</si>
  <si>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</si>
  <si>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</si>
  <si>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</si>
  <si>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</si>
  <si>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</si>
  <si>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</si>
  <si>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</si>
  <si>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</si>
  <si>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</si>
  <si>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</si>
  <si>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</si>
  <si>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</si>
  <si>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</si>
  <si>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</si>
  <si>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</si>
  <si>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</si>
  <si>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</si>
  <si>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</si>
  <si>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</si>
  <si>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</si>
  <si>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</si>
  <si>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</si>
  <si>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</si>
  <si>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</si>
  <si>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</si>
  <si>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</si>
  <si>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</si>
  <si>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</si>
  <si>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</si>
  <si>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</si>
  <si>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</si>
  <si>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</si>
  <si>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</si>
  <si>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</si>
  <si>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</si>
  <si>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</si>
  <si>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</si>
  <si>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</si>
  <si>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</si>
  <si>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</si>
  <si>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</si>
  <si>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</si>
  <si>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</si>
  <si>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</si>
  <si>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</si>
  <si>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</si>
  <si>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</si>
  <si>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</si>
  <si>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</si>
  <si>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</si>
  <si>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</si>
  <si>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</si>
  <si>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</si>
  <si>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</si>
  <si>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</si>
  <si>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</si>
  <si>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</si>
  <si>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</si>
  <si>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</si>
  <si>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</si>
  <si>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</si>
  <si>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</si>
  <si>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</si>
  <si>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</si>
  <si>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</si>
  <si>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</si>
  <si>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</si>
  <si>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</si>
  <si>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</si>
  <si>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</si>
  <si>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</si>
  <si>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</si>
  <si>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</si>
  <si>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</si>
  <si>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</si>
  <si>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</si>
  <si>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</si>
  <si>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</si>
  <si>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</si>
  <si>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</si>
  <si>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</si>
  <si>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</si>
  <si>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</si>
  <si>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</si>
  <si>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</si>
  <si>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</si>
  <si>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</si>
  <si>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</si>
  <si>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</si>
  <si>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</si>
  <si>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</si>
  <si>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</si>
  <si>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</si>
  <si>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</si>
  <si>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</si>
  <si>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</si>
  <si>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</si>
  <si>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</si>
  <si>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</si>
  <si>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</si>
  <si>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</si>
  <si>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</si>
  <si>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</si>
  <si>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</si>
  <si>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</si>
  <si>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</si>
  <si>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</si>
  <si>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</si>
  <si>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</si>
  <si>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</si>
  <si>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</si>
  <si>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</si>
  <si>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</si>
  <si>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</si>
  <si>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</si>
  <si>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</si>
  <si>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</si>
  <si>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</si>
  <si>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</si>
  <si>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</si>
  <si>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</si>
  <si>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</si>
  <si>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</si>
  <si>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</si>
  <si>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</si>
  <si>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</si>
  <si>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</si>
  <si>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</si>
  <si>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</si>
  <si>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</si>
  <si>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</si>
  <si>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</si>
  <si>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</si>
  <si>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</si>
  <si>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</si>
  <si>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</si>
  <si>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</si>
  <si>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</si>
  <si>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</si>
  <si>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</si>
  <si>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</si>
  <si>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</si>
  <si>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</si>
  <si>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</si>
  <si>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</si>
  <si>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</si>
  <si>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</si>
  <si>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</si>
  <si>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</si>
  <si>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</si>
  <si>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</si>
  <si>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</si>
  <si>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</si>
  <si>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</si>
  <si>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</si>
  <si>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</si>
  <si>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</si>
  <si>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</si>
  <si>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</si>
  <si>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</si>
  <si>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</si>
  <si>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</si>
  <si>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</si>
  <si>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</si>
  <si>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</si>
  <si>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</si>
  <si>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</si>
  <si>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</si>
  <si>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</si>
  <si>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</si>
  <si>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</si>
  <si>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</si>
  <si>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</si>
  <si>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</si>
  <si>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</si>
  <si>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</si>
  <si>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</si>
  <si>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</si>
  <si>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</si>
  <si>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</si>
  <si>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</si>
  <si>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</si>
  <si>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</si>
  <si>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</si>
  <si>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</si>
  <si>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</si>
  <si>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</si>
  <si>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</si>
  <si>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</si>
  <si>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</si>
  <si>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</si>
  <si>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</si>
  <si>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</si>
  <si>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</si>
  <si>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</si>
  <si>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</si>
  <si>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</si>
  <si>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</si>
  <si>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</si>
  <si>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</si>
  <si>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</si>
  <si>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</si>
  <si>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</si>
  <si>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</si>
  <si>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</si>
  <si>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</si>
  <si>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</si>
  <si>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</si>
  <si>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</si>
  <si>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</si>
  <si>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</si>
  <si>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</si>
  <si>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</si>
  <si>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</si>
  <si>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</si>
  <si>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</si>
  <si>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</si>
  <si>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</si>
  <si>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</si>
  <si>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</si>
  <si>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</si>
  <si>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</si>
  <si>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</si>
  <si>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</si>
  <si>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</si>
  <si>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</si>
  <si>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</si>
  <si>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</si>
  <si>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</si>
  <si>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</si>
  <si>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</si>
  <si>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</si>
  <si>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</si>
  <si>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</si>
  <si>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</si>
  <si>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</si>
  <si>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</si>
  <si>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</si>
  <si>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</si>
  <si>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</si>
  <si>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</si>
  <si>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</si>
  <si>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</si>
  <si>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</si>
  <si>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</si>
  <si>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</si>
  <si>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</si>
  <si>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</si>
  <si>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</si>
  <si>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</si>
  <si>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</si>
  <si>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</si>
  <si>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</si>
  <si>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</si>
  <si>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</si>
  <si>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</si>
  <si>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</si>
  <si>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</si>
  <si>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</si>
  <si>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</si>
  <si>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</si>
  <si>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</si>
  <si>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</si>
  <si>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</si>
  <si>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</si>
  <si>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</si>
  <si>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</si>
  <si>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</si>
  <si>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</si>
  <si>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</si>
  <si>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</si>
  <si>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</si>
  <si>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</si>
  <si>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</si>
  <si>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</si>
  <si>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</si>
  <si>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</si>
  <si>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</si>
  <si>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</si>
  <si>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</si>
  <si>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</si>
  <si>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</si>
  <si>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</si>
  <si>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</si>
  <si>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</si>
  <si>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</si>
  <si>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</si>
  <si>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</si>
  <si>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</si>
  <si>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</si>
  <si>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</si>
  <si>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</si>
  <si>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</si>
  <si>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</si>
  <si>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</si>
  <si>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</si>
  <si>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</si>
  <si>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</si>
  <si>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</si>
  <si>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</si>
  <si>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</si>
  <si>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</si>
  <si>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</si>
  <si>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</si>
  <si>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</si>
  <si>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</si>
  <si>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</si>
  <si>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</si>
  <si>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</si>
  <si>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</si>
  <si>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</si>
  <si>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</si>
  <si>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</si>
  <si>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</si>
  <si>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</si>
  <si>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</si>
  <si>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</si>
  <si>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</si>
  <si>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</si>
  <si>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</si>
  <si>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</si>
  <si>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</si>
  <si>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</si>
  <si>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</si>
  <si>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</si>
  <si>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</si>
  <si>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</si>
  <si>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</si>
  <si>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</si>
  <si>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</si>
  <si>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</si>
  <si>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</si>
  <si>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</si>
  <si>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</si>
  <si>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</si>
  <si>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</si>
  <si>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</si>
  <si>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</si>
  <si>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</si>
  <si>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</si>
  <si>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</si>
  <si>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</si>
  <si>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</si>
  <si>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</si>
  <si>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</si>
  <si>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</si>
  <si>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</si>
  <si>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</si>
  <si>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</si>
  <si>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</si>
  <si>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</si>
  <si>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</si>
  <si>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</si>
  <si>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</si>
  <si>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</si>
  <si>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</si>
  <si>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</si>
  <si>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</si>
  <si>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</si>
  <si>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</si>
  <si>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</si>
  <si>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</si>
  <si>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</si>
  <si>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</si>
  <si>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</si>
  <si>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</si>
  <si>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</si>
  <si>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</si>
  <si>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</si>
  <si>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</si>
  <si>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</si>
  <si>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</si>
  <si>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</si>
  <si>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</si>
  <si>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</si>
  <si>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</si>
  <si>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</si>
  <si>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</si>
  <si>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</si>
  <si>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</si>
  <si>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</si>
  <si>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</si>
  <si>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</si>
  <si>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</si>
  <si>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</si>
  <si>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</si>
  <si>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</si>
  <si>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</si>
  <si>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</si>
  <si>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</si>
  <si>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</si>
  <si>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</si>
  <si>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</si>
  <si>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</si>
  <si>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</si>
  <si>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</si>
  <si>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</si>
  <si>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</si>
  <si>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</si>
  <si>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</si>
  <si>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</si>
  <si>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</si>
  <si>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</si>
  <si>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</si>
  <si>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</si>
  <si>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</si>
  <si>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</si>
  <si>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</si>
  <si>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</si>
  <si>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</si>
  <si>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</si>
  <si>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</si>
  <si>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</si>
  <si>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</si>
  <si>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</si>
  <si>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</si>
  <si>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</si>
  <si>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</si>
  <si>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</si>
  <si>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</si>
  <si>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</si>
  <si>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</si>
  <si>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</si>
  <si>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</si>
  <si>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</si>
  <si>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</si>
  <si>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</si>
  <si>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</si>
  <si>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</si>
  <si>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</si>
  <si>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</si>
  <si>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</si>
  <si>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</si>
  <si>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</si>
  <si>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</si>
  <si>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</si>
  <si>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</si>
  <si>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</si>
  <si>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</si>
  <si>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</si>
  <si>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</si>
  <si>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</si>
  <si>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</si>
  <si>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</si>
  <si>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</si>
  <si>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</si>
  <si>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</si>
  <si>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</si>
  <si>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</si>
  <si>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</si>
  <si>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</si>
  <si>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</si>
  <si>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</si>
  <si>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</si>
  <si>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</si>
  <si>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</si>
  <si>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</si>
  <si>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</si>
  <si>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</si>
  <si>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</si>
  <si>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</si>
  <si>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</si>
  <si>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</si>
  <si>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</si>
  <si>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</si>
  <si>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</si>
  <si>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</si>
  <si>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</si>
  <si>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</si>
  <si>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</si>
  <si>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</si>
  <si>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</si>
  <si>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</si>
  <si>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</si>
  <si>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</si>
  <si>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</si>
  <si>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</si>
  <si>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</si>
  <si>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</si>
  <si>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</si>
  <si>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</si>
  <si>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</si>
  <si>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</si>
  <si>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</si>
  <si>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</si>
  <si>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</si>
  <si>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</si>
  <si>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</si>
  <si>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</si>
  <si>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</si>
  <si>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</si>
  <si>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</si>
  <si>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</si>
  <si>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</si>
  <si>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</si>
  <si>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</si>
  <si>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</si>
  <si>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</si>
  <si>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</si>
  <si>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</si>
  <si>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</si>
  <si>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</si>
  <si>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</si>
  <si>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</si>
  <si>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</si>
  <si>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</si>
  <si>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</si>
  <si>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</si>
  <si>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</si>
  <si>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</si>
  <si>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</si>
  <si>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</si>
  <si>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</si>
  <si>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</si>
  <si>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</si>
  <si>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</si>
  <si>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</si>
  <si>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</si>
  <si>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</si>
  <si>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</si>
  <si>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</si>
  <si>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</si>
  <si>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</si>
  <si>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</si>
  <si>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</si>
  <si>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</si>
  <si>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</si>
  <si>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</si>
  <si>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</si>
  <si>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</si>
  <si>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</si>
  <si>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</si>
  <si>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</si>
  <si>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</si>
  <si>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</si>
  <si>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</si>
  <si>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</si>
  <si>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</si>
  <si>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</si>
  <si>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</si>
  <si>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</si>
  <si>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</si>
  <si>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</si>
  <si>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</si>
  <si>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</si>
  <si>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</si>
  <si>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</si>
  <si>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</si>
  <si>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</si>
  <si>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</si>
  <si>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</si>
  <si>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</si>
  <si>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</si>
  <si>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</si>
  <si>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</si>
  <si>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</si>
  <si>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</si>
  <si>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</si>
  <si>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</si>
  <si>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</si>
  <si>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</si>
  <si>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</si>
  <si>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</si>
  <si>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</si>
  <si>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</si>
  <si>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</si>
  <si>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</si>
  <si>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</si>
  <si>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</si>
  <si>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</si>
  <si>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</si>
  <si>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</si>
  <si>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</si>
  <si>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</si>
  <si>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</si>
  <si>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</si>
  <si>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</si>
  <si>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</si>
  <si>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</si>
  <si>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</si>
  <si>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</si>
  <si>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</si>
  <si>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</si>
  <si>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</si>
  <si>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</si>
  <si>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</si>
  <si>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</si>
  <si>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</si>
  <si>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</si>
  <si>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</si>
  <si>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</si>
  <si>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</si>
  <si>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</si>
  <si>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</si>
  <si>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</si>
  <si>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</si>
  <si>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</si>
  <si>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</si>
  <si>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</si>
  <si>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</si>
  <si>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</si>
  <si>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</si>
  <si>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</si>
  <si>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</si>
  <si>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</si>
  <si>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</si>
  <si>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</si>
  <si>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</si>
  <si>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</si>
  <si>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</si>
  <si>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</si>
  <si>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</si>
  <si>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</si>
  <si>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</si>
  <si>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</si>
  <si>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</si>
  <si>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</si>
  <si>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</si>
  <si>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</si>
  <si>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</si>
  <si>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</si>
  <si>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</si>
  <si>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</si>
  <si>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</si>
  <si>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</si>
  <si>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</si>
  <si>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</si>
  <si>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</si>
  <si>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</si>
  <si>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</si>
  <si>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</si>
  <si>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</si>
  <si>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</si>
  <si>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</si>
  <si>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</si>
  <si>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</si>
  <si>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</si>
  <si>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</si>
  <si>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</si>
  <si>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</si>
  <si>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</si>
  <si>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</si>
  <si>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</si>
  <si>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</si>
  <si>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</si>
  <si>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</si>
  <si>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</si>
  <si>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</si>
  <si>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</si>
  <si>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</si>
  <si>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</si>
  <si>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</si>
  <si>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</si>
  <si>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</si>
  <si>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</si>
  <si>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</si>
  <si>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</si>
  <si>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</si>
  <si>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</si>
  <si>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</si>
  <si>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</si>
  <si>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</si>
  <si>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</si>
  <si>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</si>
  <si>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</si>
  <si>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</si>
  <si>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</si>
  <si>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</si>
  <si>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</si>
  <si>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</si>
  <si>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</si>
  <si>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</si>
  <si>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</si>
  <si>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</si>
  <si>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</si>
  <si>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</si>
  <si>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</si>
  <si>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</si>
  <si>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</si>
  <si>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</si>
  <si>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</si>
  <si>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</si>
  <si>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</si>
  <si>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</si>
  <si>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</si>
  <si>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</si>
  <si>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</si>
  <si>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</si>
  <si>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</si>
  <si>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</si>
  <si>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</si>
  <si>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</si>
  <si>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</si>
  <si>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</si>
  <si>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</si>
  <si>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</si>
  <si>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</si>
  <si>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</si>
  <si>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</si>
  <si>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</si>
  <si>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</si>
  <si>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</si>
  <si>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</si>
  <si>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</si>
  <si>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</si>
  <si>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</si>
  <si>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</si>
  <si>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</si>
  <si>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</si>
  <si>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</si>
  <si>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</si>
  <si>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</si>
  <si>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</si>
  <si>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</si>
  <si>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</si>
  <si>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</si>
  <si>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</si>
  <si>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</si>
  <si>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</si>
  <si>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</si>
  <si>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</si>
  <si>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</si>
  <si>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</si>
  <si>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</si>
  <si>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</si>
  <si>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</si>
  <si>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</si>
  <si>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</si>
  <si>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</si>
  <si>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</si>
  <si>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</si>
  <si>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</si>
  <si>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</si>
  <si>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</si>
  <si>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</si>
  <si>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</si>
  <si>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</si>
  <si>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</si>
  <si>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</si>
  <si>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</si>
  <si>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</si>
  <si>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</si>
  <si>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</si>
  <si>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</si>
  <si>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</si>
  <si>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</si>
  <si>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</si>
  <si>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</si>
  <si>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</si>
  <si>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</si>
  <si>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</si>
  <si>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</si>
  <si>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</si>
  <si>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</si>
  <si>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</si>
  <si>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</si>
  <si>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</si>
  <si>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</si>
  <si>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</si>
  <si>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</si>
  <si>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</si>
  <si>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</si>
  <si>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</si>
  <si>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</si>
  <si>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</si>
  <si>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</si>
  <si>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</si>
  <si>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</si>
  <si>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</si>
  <si>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</si>
  <si>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</si>
  <si>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</si>
  <si>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</si>
  <si>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</si>
  <si>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</si>
  <si>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</si>
  <si>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</si>
  <si>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</si>
  <si>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</si>
  <si>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</si>
  <si>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</si>
  <si>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</si>
  <si>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</si>
  <si>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</si>
  <si>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</si>
  <si>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</si>
  <si>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</si>
  <si>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</si>
  <si>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</si>
  <si>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</si>
  <si>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</si>
  <si>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</si>
  <si>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</si>
  <si>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</si>
  <si>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</si>
  <si>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</si>
  <si>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</si>
  <si>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</si>
  <si>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</si>
  <si>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</si>
  <si>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</si>
  <si>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</si>
  <si>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</si>
  <si>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</si>
  <si>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</si>
  <si>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</si>
  <si>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</si>
  <si>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</si>
  <si>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</si>
  <si>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</si>
  <si>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</si>
  <si>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</si>
  <si>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</si>
  <si>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</si>
  <si>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</si>
  <si>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</si>
  <si>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</si>
  <si>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</si>
  <si>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</si>
  <si>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</si>
  <si>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</si>
  <si>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</si>
  <si>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</si>
  <si>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</si>
  <si>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</si>
  <si>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</si>
  <si>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</si>
  <si>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</si>
  <si>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</si>
  <si>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</si>
  <si>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</si>
  <si>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</si>
  <si>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</si>
  <si>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</si>
  <si>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</si>
  <si>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</si>
  <si>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</si>
  <si>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</si>
  <si>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</si>
  <si>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</si>
  <si>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</si>
  <si>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</si>
  <si>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</si>
  <si>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</si>
  <si>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</si>
  <si>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</si>
  <si>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</si>
  <si>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</si>
  <si>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</si>
  <si>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</si>
  <si>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</si>
  <si>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</si>
  <si>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</si>
  <si>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</si>
  <si>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</si>
  <si>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</si>
  <si>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</si>
  <si>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</si>
  <si>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</si>
  <si>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</si>
  <si>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</si>
  <si>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</si>
  <si>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</si>
  <si>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</si>
  <si>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</si>
  <si>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</si>
  <si>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</si>
  <si>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</si>
  <si>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</si>
  <si>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</si>
  <si>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</si>
  <si>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</si>
  <si>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</si>
  <si>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</si>
  <si>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</si>
  <si>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</si>
  <si>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</si>
  <si>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</si>
  <si>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</si>
  <si>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</si>
  <si>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</si>
  <si>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</si>
  <si>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</si>
  <si>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</si>
  <si>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</si>
  <si>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</si>
  <si>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</si>
  <si>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</si>
  <si>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</si>
  <si>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</si>
  <si>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</si>
  <si>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</si>
  <si>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</si>
  <si>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</si>
  <si>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</si>
  <si>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</si>
  <si>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</si>
  <si>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</si>
  <si>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</si>
  <si>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</si>
  <si>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</si>
  <si>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</si>
  <si>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</si>
  <si>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</si>
  <si>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</si>
  <si>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</si>
  <si>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</si>
  <si>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</si>
  <si>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</si>
  <si>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</si>
  <si>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</si>
  <si>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</si>
  <si>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</si>
  <si>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</si>
  <si>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</si>
  <si>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</si>
  <si>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</si>
  <si>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</si>
  <si>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</si>
  <si>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</si>
  <si>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</si>
  <si>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</si>
  <si>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</si>
  <si>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</si>
  <si>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</si>
  <si>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</si>
  <si>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</si>
  <si>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</si>
  <si>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</si>
  <si>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</si>
  <si>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</si>
  <si>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</si>
  <si>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</si>
  <si>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</si>
  <si>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</si>
  <si>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</si>
  <si>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</si>
  <si>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</si>
  <si>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</si>
  <si>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</si>
  <si>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</si>
  <si>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</si>
  <si>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</si>
  <si>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</si>
  <si>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</si>
  <si>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</si>
  <si>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</si>
  <si>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</si>
  <si>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</si>
  <si>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</si>
  <si>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</si>
  <si>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</si>
  <si>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</si>
  <si>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</si>
  <si>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</si>
  <si>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</si>
  <si>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</si>
  <si>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</si>
  <si>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</si>
  <si>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</si>
  <si>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</si>
  <si>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</si>
  <si>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</si>
  <si>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</si>
  <si>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</si>
  <si>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</si>
  <si>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</si>
  <si>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</si>
  <si>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</si>
  <si>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</si>
  <si>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</si>
  <si>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</si>
  <si>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</si>
  <si>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</si>
  <si>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</si>
  <si>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</si>
  <si>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</si>
  <si>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</si>
  <si>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</si>
  <si>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</si>
  <si>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</si>
  <si>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</si>
  <si>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</si>
  <si>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</si>
  <si>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</si>
  <si>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</si>
  <si>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</si>
  <si>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</si>
  <si>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</si>
  <si>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</si>
  <si>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</si>
  <si>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</si>
  <si>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</si>
  <si>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</si>
  <si>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</si>
  <si>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</si>
  <si>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</si>
  <si>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IROQUOIS</t>
  </si>
  <si>
    <t>600 NORTH ST, PO BOX 186</t>
  </si>
  <si>
    <t>DONOVAN</t>
  </si>
  <si>
    <t>815-486-7398</t>
  </si>
  <si>
    <t>815-426-7030</t>
  </si>
  <si>
    <t>Toby Coates</t>
  </si>
  <si>
    <t>coatest@donovanschools.org</t>
  </si>
  <si>
    <t>2017 Working Cash Bond</t>
  </si>
  <si>
    <t>2017 Health Life Safety Bond</t>
  </si>
  <si>
    <t>No applicable contracts paid in current year.</t>
  </si>
  <si>
    <t>Iroquois Special Education Association</t>
  </si>
  <si>
    <t>Page 2 - Auditor's Questionnaire</t>
  </si>
  <si>
    <t>Part A - Findings</t>
  </si>
  <si>
    <t>Box 4 - District funds were undercollateralized at June 30, 2019.</t>
  </si>
  <si>
    <t>Part C - Other Issues</t>
  </si>
  <si>
    <t>Box 20 - Other Issues</t>
  </si>
  <si>
    <t>Over budget in the Operations &amp; Maintenance Fund by over 10%</t>
  </si>
  <si>
    <t>Activity Funds Not Reconciled</t>
  </si>
  <si>
    <t>Revolving Fund not Reconciled</t>
  </si>
  <si>
    <t>Page 11 - Acct 1999 - Other Local Revenues</t>
  </si>
  <si>
    <t>Col 10 - Educational</t>
  </si>
  <si>
    <t>Refunds &amp; Reimbursements - $56,836</t>
  </si>
  <si>
    <t>Page 12 - Acct 3999 - Other Restricted Revenue from State Sources</t>
  </si>
  <si>
    <t>State Library Grant - $822</t>
  </si>
  <si>
    <t>Page 18 - Acct 5400 - Debt Services Other</t>
  </si>
  <si>
    <t>Bond Fees - $300</t>
  </si>
  <si>
    <t>AUDITCHECK Tab - #13 Contracts Paid Error</t>
  </si>
  <si>
    <t>No applicable contracts paid in the current year.</t>
  </si>
  <si>
    <t>Donovan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</si>
</sst>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679739</xdr:colOff>
          <xdr:row>4</xdr:row>
          <xdr:rowOff>134216</xdr:rowOff>
        </xdr:from>
        <xdr:to>
          <xdr:col>1</xdr:col>
          <xdr:colOff>1594139</xdr:colOff>
          <xdr:row>9</xdr:row>
          <xdr:rowOff>7793</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0" t="s">
        <v>405</v>
      </c>
      <c r="J1" s="2021"/>
      <c r="K1" s="2021"/>
      <c r="L1" s="2021"/>
      <c r="M1" s="2021"/>
      <c r="N1" s="2021"/>
      <c r="O1" s="2021"/>
      <c r="P1" s="2021"/>
      <c r="Q1" s="2021"/>
      <c r="R1" s="2021"/>
      <c r="S1" s="2021"/>
    </row>
    <row r="2" spans="1:28" ht="12" customHeight="1" x14ac:dyDescent="0.2">
      <c r="A2" s="47" t="s">
        <v>1991</v>
      </c>
      <c r="D2" s="48"/>
      <c r="I2" s="2022" t="s">
        <v>979</v>
      </c>
      <c r="J2" s="2021"/>
      <c r="K2" s="2021"/>
      <c r="L2" s="2021"/>
      <c r="M2" s="2021"/>
      <c r="N2" s="2021"/>
      <c r="O2" s="2021"/>
      <c r="P2" s="2021"/>
      <c r="Q2" s="2021"/>
      <c r="R2" s="2021"/>
      <c r="S2" s="2021"/>
    </row>
    <row r="3" spans="1:28" ht="12" customHeight="1" x14ac:dyDescent="0.2">
      <c r="A3" s="155" t="s">
        <v>1943</v>
      </c>
      <c r="B3" s="156"/>
      <c r="C3" s="156"/>
      <c r="D3" s="157"/>
      <c r="I3" s="2022" t="s">
        <v>52</v>
      </c>
      <c r="J3" s="2021"/>
      <c r="K3" s="2021"/>
      <c r="L3" s="2021"/>
      <c r="M3" s="2021"/>
      <c r="N3" s="2021"/>
      <c r="O3" s="2021"/>
      <c r="P3" s="2021"/>
      <c r="Q3" s="2021"/>
      <c r="R3" s="2021"/>
      <c r="S3" s="2021"/>
    </row>
    <row r="4" spans="1:28" ht="12" customHeight="1" x14ac:dyDescent="0.2">
      <c r="A4" s="37"/>
      <c r="I4" s="2022" t="s">
        <v>524</v>
      </c>
      <c r="J4" s="2021"/>
      <c r="K4" s="2021"/>
      <c r="L4" s="2021"/>
      <c r="M4" s="2021"/>
      <c r="N4" s="2021"/>
      <c r="O4" s="2021"/>
      <c r="P4" s="2021"/>
      <c r="Q4" s="2021"/>
      <c r="R4" s="2021"/>
      <c r="S4" s="2021"/>
    </row>
    <row r="5" spans="1:28" ht="14.1" customHeight="1" x14ac:dyDescent="0.2">
      <c r="B5" s="104" t="s">
        <v>2073</v>
      </c>
      <c r="C5" s="26" t="s">
        <v>910</v>
      </c>
      <c r="D5" s="84"/>
      <c r="E5" s="84"/>
      <c r="H5" s="38"/>
      <c r="I5" s="2029" t="s">
        <v>680</v>
      </c>
      <c r="J5" s="1973"/>
      <c r="K5" s="1973"/>
      <c r="L5" s="1973"/>
      <c r="M5" s="1973"/>
      <c r="N5" s="1973"/>
      <c r="O5" s="1973"/>
      <c r="P5" s="1973"/>
      <c r="Q5" s="1973"/>
      <c r="R5" s="1973"/>
      <c r="S5" s="1973"/>
    </row>
    <row r="6" spans="1:28" ht="14.1" customHeight="1" x14ac:dyDescent="0.2">
      <c r="B6" s="104"/>
      <c r="C6" s="26" t="s">
        <v>911</v>
      </c>
      <c r="D6" s="84"/>
      <c r="E6" s="84"/>
      <c r="I6" s="2028" t="s">
        <v>883</v>
      </c>
      <c r="J6" s="1973"/>
      <c r="K6" s="1973"/>
      <c r="L6" s="1973"/>
      <c r="M6" s="1973"/>
      <c r="N6" s="1973"/>
      <c r="O6" s="1973"/>
      <c r="P6" s="1973"/>
      <c r="Q6" s="1973"/>
      <c r="R6" s="1973"/>
      <c r="S6" s="1973"/>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674</v>
      </c>
      <c r="J9" s="2026"/>
      <c r="K9" s="2026"/>
      <c r="L9" s="2026"/>
      <c r="M9" s="2026"/>
      <c r="N9" s="2026"/>
      <c r="O9" s="2026"/>
      <c r="P9" s="2026"/>
      <c r="Q9" s="2026"/>
      <c r="R9" s="2026"/>
      <c r="S9" s="2027"/>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2073</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32038003026</v>
      </c>
      <c r="B13" s="1990"/>
      <c r="C13" s="1990"/>
      <c r="D13" s="1990"/>
      <c r="E13" s="1990"/>
      <c r="F13" s="1990"/>
      <c r="G13" s="1990"/>
      <c r="H13" s="1991"/>
      <c r="I13" s="31"/>
      <c r="J13" s="30"/>
      <c r="K13" s="28"/>
      <c r="L13" s="30"/>
      <c r="M13" s="30"/>
      <c r="N13" s="30"/>
      <c r="O13" s="30"/>
      <c r="P13" s="30"/>
      <c r="Q13" s="30"/>
      <c r="R13" s="30"/>
      <c r="S13" s="30"/>
      <c r="T13" s="1994" t="s">
        <v>2065</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2076</v>
      </c>
      <c r="B15" s="1992"/>
      <c r="C15" s="1992"/>
      <c r="D15" s="1992"/>
      <c r="E15" s="1992"/>
      <c r="F15" s="1992"/>
      <c r="G15" s="1992"/>
      <c r="H15" s="1993"/>
      <c r="T15" s="1955" t="s">
        <v>2066</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7" t="s">
        <v>2104</v>
      </c>
      <c r="B17" s="2018"/>
      <c r="C17" s="2018"/>
      <c r="D17" s="2018"/>
      <c r="E17" s="2018"/>
      <c r="F17" s="2018"/>
      <c r="G17" s="2018"/>
      <c r="H17" s="2019"/>
      <c r="T17" s="2004" t="s">
        <v>2067</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2077</v>
      </c>
      <c r="B19" s="1988"/>
      <c r="C19" s="1988"/>
      <c r="D19" s="1988"/>
      <c r="E19" s="1988"/>
      <c r="F19" s="1988"/>
      <c r="G19" s="1988"/>
      <c r="H19" s="1986"/>
      <c r="I19" s="30"/>
      <c r="J19" s="99"/>
      <c r="K19" s="40"/>
      <c r="L19" s="38"/>
      <c r="M19" s="112" t="s">
        <v>315</v>
      </c>
      <c r="P19" s="27"/>
      <c r="Q19" s="27"/>
      <c r="R19" s="27"/>
      <c r="S19" s="31"/>
      <c r="T19" s="1987" t="s">
        <v>2068</v>
      </c>
      <c r="U19" s="1985"/>
      <c r="V19" s="1985"/>
      <c r="W19" s="1986"/>
      <c r="X19" s="2002" t="s">
        <v>2069</v>
      </c>
      <c r="Y19" s="2003"/>
      <c r="Z19" s="2000">
        <v>60942</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2078</v>
      </c>
      <c r="B21" s="1985"/>
      <c r="C21" s="1985"/>
      <c r="D21" s="1985"/>
      <c r="E21" s="1985"/>
      <c r="F21" s="1985"/>
      <c r="G21" s="1985"/>
      <c r="H21" s="1986"/>
      <c r="I21" s="2010" t="s">
        <v>678</v>
      </c>
      <c r="J21" s="1973"/>
      <c r="K21" s="1973"/>
      <c r="L21" s="1973"/>
      <c r="M21" s="1973"/>
      <c r="N21" s="1973"/>
      <c r="O21" s="1973"/>
      <c r="P21" s="1973"/>
      <c r="Q21" s="1973"/>
      <c r="R21" s="1973"/>
      <c r="S21" s="1974"/>
      <c r="T21" s="1952" t="s">
        <v>2070</v>
      </c>
      <c r="U21" s="1953"/>
      <c r="V21" s="1953"/>
      <c r="W21" s="1953"/>
      <c r="X21" s="1966" t="s">
        <v>2071</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t="s">
        <v>2074</v>
      </c>
      <c r="U23" s="1948"/>
      <c r="V23" s="1948"/>
      <c r="W23" s="1948"/>
      <c r="X23" s="1963">
        <v>44469</v>
      </c>
      <c r="Y23" s="1964"/>
      <c r="Z23" s="1964"/>
      <c r="AA23" s="1965"/>
    </row>
    <row r="24" spans="1:27" ht="14.1" customHeight="1" x14ac:dyDescent="0.2">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x14ac:dyDescent="0.2">
      <c r="A25" s="1984">
        <v>60931</v>
      </c>
      <c r="B25" s="1985"/>
      <c r="C25" s="1985"/>
      <c r="D25" s="1985"/>
      <c r="E25" s="1985"/>
      <c r="F25" s="1985"/>
      <c r="G25" s="1985"/>
      <c r="H25" s="1986"/>
      <c r="I25" s="113"/>
      <c r="J25" s="2052"/>
      <c r="K25" s="2052"/>
      <c r="L25" s="2052"/>
      <c r="M25" s="2052"/>
      <c r="N25" s="2052"/>
      <c r="O25" s="2052"/>
      <c r="P25" s="2052"/>
      <c r="Q25" s="2052"/>
      <c r="R25" s="2052"/>
      <c r="S25" s="2053"/>
      <c r="T25" s="1944" t="s">
        <v>2072</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7" t="s">
        <v>2081</v>
      </c>
      <c r="B38" s="2018"/>
      <c r="C38" s="2018"/>
      <c r="D38" s="2018"/>
      <c r="E38" s="2018"/>
      <c r="F38" s="1985"/>
      <c r="G38" s="1985"/>
      <c r="H38" s="1986"/>
      <c r="I38" s="2037"/>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t="s">
        <v>2082</v>
      </c>
      <c r="B40" s="2045"/>
      <c r="C40" s="2046"/>
      <c r="D40" s="2046"/>
      <c r="E40" s="2046"/>
      <c r="F40" s="2047"/>
      <c r="G40" s="2047"/>
      <c r="H40" s="2048"/>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4" t="s">
        <v>2079</v>
      </c>
      <c r="B42" s="2035"/>
      <c r="C42" s="2036"/>
      <c r="D42" s="2049" t="s">
        <v>2080</v>
      </c>
      <c r="E42" s="2035"/>
      <c r="F42" s="2035"/>
      <c r="G42" s="2035"/>
      <c r="H42" s="2036"/>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t="s">
        <v>2073</v>
      </c>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2075</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8"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42399224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3.8282499999999997E-2</v>
      </c>
      <c r="E10" s="356" t="s">
        <v>1005</v>
      </c>
      <c r="F10" s="355">
        <v>4.9233000000000002E-3</v>
      </c>
      <c r="G10" s="356" t="s">
        <v>1005</v>
      </c>
      <c r="H10" s="355">
        <v>2E-3</v>
      </c>
      <c r="I10" s="356" t="s">
        <v>1006</v>
      </c>
      <c r="J10" s="1732">
        <f>ROUND(D10+F10+H10,5)</f>
        <v>4.521E-2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3718699</v>
      </c>
      <c r="E16" s="356"/>
      <c r="F16" s="1733">
        <f>SUM('Acct Summary 7-8'!C17,'Acct Summary 7-8'!D17,'Acct Summary 7-8'!F17)</f>
        <v>3145362</v>
      </c>
      <c r="G16" s="356"/>
      <c r="H16" s="1733">
        <f>SUM(D16-F16)</f>
        <v>573337</v>
      </c>
      <c r="I16" s="222"/>
      <c r="J16" s="1733">
        <f>SUM('Acct Summary 7-8'!C81,'Acct Summary 7-8'!D81,'Acct Summary 7-8'!F81,'Acct Summary 7-8'!I81)</f>
        <v>5148171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5851092.9120000005</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82000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Donovan CUSD 3</v>
      </c>
      <c r="E7" s="391"/>
      <c r="G7" s="252"/>
      <c r="H7" s="387"/>
      <c r="I7" s="387"/>
      <c r="J7" s="387"/>
      <c r="K7" s="387"/>
      <c r="L7" s="329"/>
      <c r="M7" s="329"/>
      <c r="N7" s="329"/>
      <c r="O7" s="329"/>
      <c r="P7" s="329"/>
    </row>
    <row r="8" spans="1:18" ht="12.75" x14ac:dyDescent="0.2">
      <c r="A8" s="329"/>
      <c r="B8" s="329"/>
      <c r="C8" s="389" t="s">
        <v>1125</v>
      </c>
      <c r="D8" s="392">
        <f>COVER!A13</f>
        <v>32038003026</v>
      </c>
      <c r="E8" s="393"/>
      <c r="G8" s="329"/>
      <c r="H8" s="329"/>
      <c r="I8" s="329"/>
      <c r="J8" s="329"/>
      <c r="K8" s="329"/>
      <c r="L8" s="329"/>
      <c r="M8" s="329"/>
      <c r="N8" s="329"/>
      <c r="O8" s="329"/>
      <c r="P8" s="329"/>
    </row>
    <row r="9" spans="1:18" ht="12.75" x14ac:dyDescent="0.2">
      <c r="A9" s="329"/>
      <c r="B9" s="329"/>
      <c r="C9" s="389" t="s">
        <v>713</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5148171</v>
      </c>
      <c r="I12" s="404"/>
      <c r="J12" s="404"/>
      <c r="K12" s="405">
        <f>TRUNC((H12/H13*100000),5)/100000</f>
        <v>1.3844011037000001</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3718699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3145362</v>
      </c>
      <c r="I17" s="404"/>
      <c r="J17" s="416"/>
      <c r="K17" s="405">
        <f>TRUNC((H17/H18*100000),5)/100000</f>
        <v>0.84582323009999993</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3718699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5147801</v>
      </c>
      <c r="I24" s="422"/>
      <c r="J24" s="422"/>
      <c r="K24" s="423">
        <f>TRUNC(((H24/H25*100000)/100000),2)</f>
        <v>589.17999999999995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8737.1166699999994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1629338.5794800001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82000</v>
      </c>
      <c r="I32" s="420"/>
      <c r="J32" s="420"/>
      <c r="K32" s="423">
        <f>TRUNC(100-((((H32/H33*100))*100)/100),2)</f>
        <v>98.59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5851092.9120000005</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1735267</v>
      </c>
      <c r="D4" s="466">
        <v>1426412</v>
      </c>
      <c r="E4" s="466">
        <v>8146</v>
      </c>
      <c r="F4" s="466">
        <v>719102</v>
      </c>
      <c r="G4" s="466">
        <v>167418</v>
      </c>
      <c r="H4" s="466"/>
      <c r="I4" s="466">
        <v>272006</v>
      </c>
      <c r="J4" s="467">
        <v>298592</v>
      </c>
      <c r="K4" s="466">
        <v>270521</v>
      </c>
      <c r="L4" s="466">
        <v>79262</v>
      </c>
      <c r="M4" s="468"/>
      <c r="N4" s="469"/>
    </row>
    <row r="5" spans="1:14" x14ac:dyDescent="0.2">
      <c r="A5" s="463" t="s">
        <v>992</v>
      </c>
      <c r="B5" s="470">
        <v>120</v>
      </c>
      <c r="C5" s="465">
        <v>425342</v>
      </c>
      <c r="D5" s="466"/>
      <c r="E5" s="466"/>
      <c r="F5" s="466"/>
      <c r="G5" s="466"/>
      <c r="H5" s="466"/>
      <c r="I5" s="466">
        <v>569672</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v>370</v>
      </c>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2160979</v>
      </c>
      <c r="D13" s="1737">
        <f t="shared" ref="D13:L13" si="0">SUM(D4:D12)</f>
        <v>1426412</v>
      </c>
      <c r="E13" s="1737">
        <f t="shared" si="0"/>
        <v>8146</v>
      </c>
      <c r="F13" s="1737">
        <f t="shared" si="0"/>
        <v>719102</v>
      </c>
      <c r="G13" s="1737">
        <f t="shared" si="0"/>
        <v>167418</v>
      </c>
      <c r="H13" s="1737">
        <f t="shared" si="0"/>
        <v>0</v>
      </c>
      <c r="I13" s="1737">
        <f t="shared" si="0"/>
        <v>841678</v>
      </c>
      <c r="J13" s="1737">
        <f t="shared" si="0"/>
        <v>298592</v>
      </c>
      <c r="K13" s="1737">
        <f t="shared" si="0"/>
        <v>270521</v>
      </c>
      <c r="L13" s="1737">
        <f t="shared" si="0"/>
        <v>79262</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5362</v>
      </c>
      <c r="N16" s="484"/>
    </row>
    <row r="17" spans="1:14" s="485" customFormat="1" ht="12.75" customHeight="1" x14ac:dyDescent="0.2">
      <c r="A17" s="482" t="s">
        <v>1403</v>
      </c>
      <c r="B17" s="483">
        <v>230</v>
      </c>
      <c r="C17" s="477"/>
      <c r="D17" s="477"/>
      <c r="E17" s="477"/>
      <c r="F17" s="477"/>
      <c r="G17" s="477"/>
      <c r="H17" s="477"/>
      <c r="I17" s="477"/>
      <c r="J17" s="477"/>
      <c r="K17" s="477"/>
      <c r="L17" s="477"/>
      <c r="M17" s="467">
        <v>3068594</v>
      </c>
      <c r="N17" s="484"/>
    </row>
    <row r="18" spans="1:14" s="485" customFormat="1" ht="12.75" customHeight="1" x14ac:dyDescent="0.2">
      <c r="A18" s="482" t="s">
        <v>1404</v>
      </c>
      <c r="B18" s="483">
        <v>240</v>
      </c>
      <c r="C18" s="477"/>
      <c r="D18" s="477"/>
      <c r="E18" s="477"/>
      <c r="F18" s="477"/>
      <c r="G18" s="477"/>
      <c r="H18" s="477"/>
      <c r="I18" s="477"/>
      <c r="J18" s="477"/>
      <c r="K18" s="477"/>
      <c r="L18" s="477"/>
      <c r="M18" s="467">
        <v>2075104</v>
      </c>
      <c r="N18" s="484"/>
    </row>
    <row r="19" spans="1:14" s="485" customFormat="1" ht="12.75" customHeight="1" x14ac:dyDescent="0.2">
      <c r="A19" s="482" t="s">
        <v>1405</v>
      </c>
      <c r="B19" s="483">
        <v>250</v>
      </c>
      <c r="C19" s="477"/>
      <c r="D19" s="477"/>
      <c r="E19" s="477"/>
      <c r="F19" s="477"/>
      <c r="G19" s="477"/>
      <c r="H19" s="477"/>
      <c r="I19" s="477"/>
      <c r="J19" s="477"/>
      <c r="K19" s="477"/>
      <c r="L19" s="477"/>
      <c r="M19" s="467">
        <v>2476150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8146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73854</v>
      </c>
    </row>
    <row r="23" spans="1:14" ht="13.5" customHeight="1" thickBot="1" x14ac:dyDescent="0.25">
      <c r="A23" s="1736" t="s">
        <v>643</v>
      </c>
      <c r="B23" s="1741"/>
      <c r="C23" s="468"/>
      <c r="D23" s="468"/>
      <c r="E23" s="468"/>
      <c r="F23" s="468"/>
      <c r="G23" s="468"/>
      <c r="H23" s="468"/>
      <c r="I23" s="468"/>
      <c r="J23" s="468"/>
      <c r="K23" s="468"/>
      <c r="L23" s="468"/>
      <c r="M23" s="1688">
        <f>SUM(M15:M22)</f>
        <v>7625210</v>
      </c>
      <c r="N23" s="1688">
        <f>SUM(N21:N22)</f>
        <v>82000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79262</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79262</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82000</v>
      </c>
    </row>
    <row r="37" spans="1:14" ht="13.5" thickBot="1" x14ac:dyDescent="0.25">
      <c r="A37" s="1736" t="s">
        <v>653</v>
      </c>
      <c r="B37" s="1741"/>
      <c r="C37" s="477"/>
      <c r="D37" s="477"/>
      <c r="E37" s="477"/>
      <c r="F37" s="477"/>
      <c r="G37" s="477"/>
      <c r="H37" s="477"/>
      <c r="I37" s="477"/>
      <c r="J37" s="477"/>
      <c r="K37" s="477"/>
      <c r="L37" s="480"/>
      <c r="M37" s="468"/>
      <c r="N37" s="1688">
        <f>SUM(N36:N36)</f>
        <v>82000</v>
      </c>
    </row>
    <row r="38" spans="1:14" s="329" customFormat="1" ht="13.5" customHeight="1" thickTop="1" x14ac:dyDescent="0.2">
      <c r="A38" s="496" t="s">
        <v>420</v>
      </c>
      <c r="B38" s="483">
        <v>714</v>
      </c>
      <c r="C38" s="466"/>
      <c r="D38" s="466"/>
      <c r="E38" s="466"/>
      <c r="F38" s="466"/>
      <c r="G38" s="466">
        <v>167418</v>
      </c>
      <c r="H38" s="466"/>
      <c r="I38" s="466"/>
      <c r="J38" s="467"/>
      <c r="K38" s="466"/>
      <c r="L38" s="481"/>
      <c r="M38" s="497"/>
      <c r="N38" s="497"/>
    </row>
    <row r="39" spans="1:14" s="329" customFormat="1" ht="13.5" customHeight="1" x14ac:dyDescent="0.2">
      <c r="A39" s="496" t="s">
        <v>342</v>
      </c>
      <c r="B39" s="483">
        <v>730</v>
      </c>
      <c r="C39" s="466">
        <v>2160979</v>
      </c>
      <c r="D39" s="466">
        <v>1426412</v>
      </c>
      <c r="E39" s="466">
        <v>8146</v>
      </c>
      <c r="F39" s="466">
        <v>719102</v>
      </c>
      <c r="G39" s="466"/>
      <c r="H39" s="466"/>
      <c r="I39" s="466">
        <v>841678</v>
      </c>
      <c r="J39" s="467">
        <v>298592</v>
      </c>
      <c r="K39" s="466">
        <v>270521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7625210</v>
      </c>
      <c r="N40" s="497"/>
    </row>
    <row r="41" spans="1:14" ht="13.5" customHeight="1" thickBot="1" x14ac:dyDescent="0.25">
      <c r="A41" s="1736" t="s">
        <v>655</v>
      </c>
      <c r="B41" s="1706"/>
      <c r="C41" s="1688">
        <f>(SUM(C34,C37,C38,C39))</f>
        <v>2160979</v>
      </c>
      <c r="D41" s="1688">
        <f t="shared" ref="D41:L41" si="2">SUM(D34,D37,D38:D39)</f>
        <v>1426412</v>
      </c>
      <c r="E41" s="1688">
        <f t="shared" si="2"/>
        <v>8146</v>
      </c>
      <c r="F41" s="1688">
        <f t="shared" si="2"/>
        <v>719102</v>
      </c>
      <c r="G41" s="1688">
        <f t="shared" si="2"/>
        <v>167418</v>
      </c>
      <c r="H41" s="1688">
        <f t="shared" si="2"/>
        <v>0</v>
      </c>
      <c r="I41" s="1688">
        <f t="shared" si="2"/>
        <v>841678</v>
      </c>
      <c r="J41" s="1688">
        <f t="shared" si="2"/>
        <v>298592</v>
      </c>
      <c r="K41" s="1688">
        <f t="shared" si="2"/>
        <v>270521</v>
      </c>
      <c r="L41" s="1688">
        <f t="shared" si="2"/>
        <v>79262</v>
      </c>
      <c r="M41" s="1688">
        <f>SUM(M40)</f>
        <v>7625210</v>
      </c>
      <c r="N41" s="1688">
        <f>SUM(N37)</f>
        <v>82000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1699041</v>
      </c>
      <c r="D4" s="1742">
        <f>'Revenues 9-14'!D109</f>
        <v>278604</v>
      </c>
      <c r="E4" s="1742">
        <f>'Revenues 9-14'!E109</f>
        <v>145491</v>
      </c>
      <c r="F4" s="1742">
        <f>'Revenues 9-14'!F109</f>
        <v>81451</v>
      </c>
      <c r="G4" s="1742">
        <f>'Revenues 9-14'!G109</f>
        <v>138064</v>
      </c>
      <c r="H4" s="1742">
        <f>'Revenues 9-14'!H109</f>
        <v>0</v>
      </c>
      <c r="I4" s="1742">
        <f>'Revenues 9-14'!I109</f>
        <v>24579</v>
      </c>
      <c r="J4" s="1742">
        <f>'Revenues 9-14'!J109</f>
        <v>245114</v>
      </c>
      <c r="K4" s="1742">
        <f>'Revenues 9-14'!K109</f>
        <v>252</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1202078</v>
      </c>
      <c r="D6" s="1743">
        <f>'Revenues 9-14'!D170</f>
        <v>0</v>
      </c>
      <c r="E6" s="1743">
        <f>'Revenues 9-14'!E170</f>
        <v>0</v>
      </c>
      <c r="F6" s="1743">
        <f>'Revenues 9-14'!F170</f>
        <v>179997</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252949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3154068</v>
      </c>
      <c r="D8" s="1688">
        <f t="shared" ref="D8:K8" si="0">SUM(D4:D7)</f>
        <v>278604</v>
      </c>
      <c r="E8" s="1688">
        <f t="shared" si="0"/>
        <v>145491</v>
      </c>
      <c r="F8" s="1688">
        <f t="shared" si="0"/>
        <v>261448</v>
      </c>
      <c r="G8" s="1688">
        <f t="shared" si="0"/>
        <v>138064</v>
      </c>
      <c r="H8" s="1688">
        <f t="shared" si="0"/>
        <v>0</v>
      </c>
      <c r="I8" s="1688">
        <f t="shared" si="0"/>
        <v>24579</v>
      </c>
      <c r="J8" s="1688">
        <f t="shared" si="0"/>
        <v>245114</v>
      </c>
      <c r="K8" s="1688">
        <f t="shared" si="0"/>
        <v>252</v>
      </c>
      <c r="L8" s="347"/>
    </row>
    <row r="9" spans="1:13" ht="15.75" thickTop="1" x14ac:dyDescent="0.2">
      <c r="A9" s="514" t="s">
        <v>1653</v>
      </c>
      <c r="B9" s="515">
        <v>3998</v>
      </c>
      <c r="C9" s="481">
        <v>388302</v>
      </c>
      <c r="D9" s="516"/>
      <c r="E9" s="481"/>
      <c r="F9" s="481"/>
      <c r="G9" s="517"/>
      <c r="H9" s="481"/>
      <c r="I9" s="509" t="s">
        <v>1169</v>
      </c>
      <c r="J9" s="478"/>
      <c r="K9" s="481"/>
      <c r="L9" s="347"/>
    </row>
    <row r="10" spans="1:13" s="519" customFormat="1" ht="13.5" thickBot="1" x14ac:dyDescent="0.25">
      <c r="A10" s="1736" t="s">
        <v>1173</v>
      </c>
      <c r="B10" s="1709"/>
      <c r="C10" s="1688">
        <f>SUM(C8:C9)</f>
        <v>3542370</v>
      </c>
      <c r="D10" s="1688">
        <f t="shared" ref="D10:K10" si="1">SUM(D8:D9)</f>
        <v>278604</v>
      </c>
      <c r="E10" s="1688">
        <f t="shared" si="1"/>
        <v>145491</v>
      </c>
      <c r="F10" s="1688">
        <f t="shared" si="1"/>
        <v>261448</v>
      </c>
      <c r="G10" s="1688">
        <f t="shared" si="1"/>
        <v>138064</v>
      </c>
      <c r="H10" s="1688">
        <f t="shared" si="1"/>
        <v>0</v>
      </c>
      <c r="I10" s="1688">
        <f t="shared" si="1"/>
        <v>24579</v>
      </c>
      <c r="J10" s="1688">
        <f t="shared" si="1"/>
        <v>245114</v>
      </c>
      <c r="K10" s="1688">
        <f t="shared" si="1"/>
        <v>252</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1466676</v>
      </c>
      <c r="D12" s="520" t="s">
        <v>1169</v>
      </c>
      <c r="E12" s="468" t="s">
        <v>1169</v>
      </c>
      <c r="F12" s="468" t="s">
        <v>1169</v>
      </c>
      <c r="G12" s="1742">
        <f>'Expenditures 15-22'!K229</f>
        <v>18376</v>
      </c>
      <c r="H12" s="521"/>
      <c r="I12" s="468" t="s">
        <v>1169</v>
      </c>
      <c r="J12" s="468" t="s">
        <v>1169</v>
      </c>
      <c r="K12" s="521" t="s">
        <v>1169</v>
      </c>
      <c r="L12" s="347"/>
    </row>
    <row r="13" spans="1:13" ht="15.75" customHeight="1" x14ac:dyDescent="0.2">
      <c r="A13" s="1576" t="s">
        <v>457</v>
      </c>
      <c r="B13" s="1578">
        <v>2000</v>
      </c>
      <c r="C13" s="1743">
        <f>'Expenditures 15-22'!K74</f>
        <v>967798</v>
      </c>
      <c r="D13" s="1743">
        <f>'Expenditures 15-22'!K129</f>
        <v>150717</v>
      </c>
      <c r="E13" s="469" t="s">
        <v>1169</v>
      </c>
      <c r="F13" s="1743">
        <f>'Expenditures 15-22'!K184</f>
        <v>222513</v>
      </c>
      <c r="G13" s="1743">
        <f>'Expenditures 15-22'!K279</f>
        <v>93301</v>
      </c>
      <c r="H13" s="1743">
        <f>'Expenditures 15-22'!K303</f>
        <v>0</v>
      </c>
      <c r="I13" s="468" t="s">
        <v>1169</v>
      </c>
      <c r="J13" s="1743">
        <f>'Expenditures 15-22'!K330</f>
        <v>181823</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295304</v>
      </c>
      <c r="D15" s="1743">
        <f>'Expenditures 15-22'!K139</f>
        <v>0</v>
      </c>
      <c r="E15" s="1743">
        <f>'Expenditures 15-22'!K160</f>
        <v>0</v>
      </c>
      <c r="F15" s="1743">
        <f>'Expenditures 15-22'!K196</f>
        <v>42354</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144449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2729778</v>
      </c>
      <c r="D17" s="1688">
        <f t="shared" si="2"/>
        <v>150717</v>
      </c>
      <c r="E17" s="1688">
        <f t="shared" si="2"/>
        <v>144449</v>
      </c>
      <c r="F17" s="1688">
        <f t="shared" si="2"/>
        <v>264867</v>
      </c>
      <c r="G17" s="1688">
        <f t="shared" si="2"/>
        <v>111677</v>
      </c>
      <c r="H17" s="1688">
        <f t="shared" si="2"/>
        <v>0</v>
      </c>
      <c r="I17" s="468"/>
      <c r="J17" s="1688">
        <f>SUM(J12:J16)</f>
        <v>181823</v>
      </c>
      <c r="K17" s="1688">
        <f>SUM(K12:K16)</f>
        <v>0</v>
      </c>
      <c r="L17" s="347"/>
    </row>
    <row r="18" spans="1:12" ht="15" customHeight="1" thickTop="1" x14ac:dyDescent="0.2">
      <c r="A18" s="1744" t="s">
        <v>1654</v>
      </c>
      <c r="B18" s="1745">
        <v>4180</v>
      </c>
      <c r="C18" s="1742">
        <f t="shared" ref="C18:H18" si="3">C9</f>
        <v>388302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3118080</v>
      </c>
      <c r="D19" s="1688">
        <f t="shared" si="4"/>
        <v>150717</v>
      </c>
      <c r="E19" s="1688">
        <f t="shared" si="4"/>
        <v>144449</v>
      </c>
      <c r="F19" s="1688">
        <f t="shared" si="4"/>
        <v>264867</v>
      </c>
      <c r="G19" s="1688">
        <f t="shared" si="4"/>
        <v>111677</v>
      </c>
      <c r="H19" s="1688">
        <f t="shared" si="4"/>
        <v>0</v>
      </c>
      <c r="I19" s="468"/>
      <c r="J19" s="1688">
        <f>SUM(J17:J18)</f>
        <v>181823</v>
      </c>
      <c r="K19" s="1688">
        <f>SUM(K17:K18)</f>
        <v>0</v>
      </c>
      <c r="L19" s="347"/>
    </row>
    <row r="20" spans="1:12" ht="16.5" thickTop="1" thickBot="1" x14ac:dyDescent="0.25">
      <c r="A20" s="2130" t="s">
        <v>1655</v>
      </c>
      <c r="B20" s="2131"/>
      <c r="C20" s="1746">
        <f>C8-C17</f>
        <v>424290</v>
      </c>
      <c r="D20" s="1746">
        <f t="shared" ref="D20:K20" si="5">D8-D17</f>
        <v>127887</v>
      </c>
      <c r="E20" s="1746">
        <f t="shared" si="5"/>
        <v>1042</v>
      </c>
      <c r="F20" s="1746">
        <f t="shared" si="5"/>
        <v>-3419</v>
      </c>
      <c r="G20" s="1746">
        <f t="shared" si="5"/>
        <v>26387</v>
      </c>
      <c r="H20" s="1746">
        <f t="shared" si="5"/>
        <v>0</v>
      </c>
      <c r="I20" s="1746">
        <f t="shared" si="5"/>
        <v>24579</v>
      </c>
      <c r="J20" s="1746">
        <f t="shared" si="5"/>
        <v>63291</v>
      </c>
      <c r="K20" s="1746">
        <f t="shared" si="5"/>
        <v>252</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2" t="s">
        <v>1177</v>
      </c>
      <c r="B77" s="2123"/>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6" t="s">
        <v>597</v>
      </c>
      <c r="B78" s="2127"/>
      <c r="C78" s="1702">
        <f t="shared" ref="C78:K78" si="9">C20+C77</f>
        <v>424290</v>
      </c>
      <c r="D78" s="1702">
        <f t="shared" si="9"/>
        <v>127887</v>
      </c>
      <c r="E78" s="1702">
        <f t="shared" si="9"/>
        <v>1042</v>
      </c>
      <c r="F78" s="1702">
        <f t="shared" si="9"/>
        <v>-3419</v>
      </c>
      <c r="G78" s="1702">
        <f t="shared" si="9"/>
        <v>26387</v>
      </c>
      <c r="H78" s="1702">
        <f t="shared" si="9"/>
        <v>0</v>
      </c>
      <c r="I78" s="1702">
        <f t="shared" si="9"/>
        <v>24579</v>
      </c>
      <c r="J78" s="1702">
        <f t="shared" si="9"/>
        <v>63291</v>
      </c>
      <c r="K78" s="1702">
        <f t="shared" si="9"/>
        <v>252</v>
      </c>
      <c r="L78" s="533"/>
    </row>
    <row r="79" spans="1:12" ht="13.5" thickTop="1" x14ac:dyDescent="0.2">
      <c r="A79" s="1494" t="s">
        <v>1947</v>
      </c>
      <c r="B79" s="534"/>
      <c r="C79" s="478">
        <v>1736689</v>
      </c>
      <c r="D79" s="535">
        <v>1298525</v>
      </c>
      <c r="E79" s="535">
        <v>7104</v>
      </c>
      <c r="F79" s="535">
        <v>722521</v>
      </c>
      <c r="G79" s="535">
        <v>141031</v>
      </c>
      <c r="H79" s="535">
        <v>0</v>
      </c>
      <c r="I79" s="535">
        <v>817099</v>
      </c>
      <c r="J79" s="535">
        <v>235301</v>
      </c>
      <c r="K79" s="535">
        <v>270269</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2160979</v>
      </c>
      <c r="D81" s="1688">
        <f>SUM(D78:D80)</f>
        <v>1426412</v>
      </c>
      <c r="E81" s="1688">
        <f t="shared" ref="E81:K81" si="10">SUM(E78:E80)</f>
        <v>8146</v>
      </c>
      <c r="F81" s="1688">
        <f t="shared" si="10"/>
        <v>719102</v>
      </c>
      <c r="G81" s="1688">
        <f t="shared" si="10"/>
        <v>167418</v>
      </c>
      <c r="H81" s="1688">
        <f t="shared" si="10"/>
        <v>0</v>
      </c>
      <c r="I81" s="1688">
        <f t="shared" si="10"/>
        <v>841678</v>
      </c>
      <c r="J81" s="1688">
        <f t="shared" si="10"/>
        <v>298592</v>
      </c>
      <c r="K81" s="1688">
        <f t="shared" si="10"/>
        <v>270521</v>
      </c>
      <c r="L81" s="347"/>
    </row>
    <row r="82" spans="1:12" ht="0.75" customHeight="1" thickTop="1" thickBot="1" x14ac:dyDescent="0.25">
      <c r="A82" s="536" t="s">
        <v>343</v>
      </c>
      <c r="B82" s="537"/>
      <c r="C82" s="538">
        <f>(C81-C79)</f>
        <v>424290</v>
      </c>
      <c r="D82" s="538">
        <f t="shared" ref="D82:K82" si="11">(D81-D79)</f>
        <v>127887</v>
      </c>
      <c r="E82" s="538">
        <f t="shared" si="11"/>
        <v>1042</v>
      </c>
      <c r="F82" s="538">
        <f t="shared" si="11"/>
        <v>-3419</v>
      </c>
      <c r="G82" s="538">
        <f t="shared" si="11"/>
        <v>26387</v>
      </c>
      <c r="H82" s="538">
        <f t="shared" si="11"/>
        <v>0</v>
      </c>
      <c r="I82" s="538">
        <f t="shared" si="11"/>
        <v>24579</v>
      </c>
      <c r="J82" s="538">
        <f t="shared" si="11"/>
        <v>63291</v>
      </c>
      <c r="K82" s="538">
        <f t="shared" si="11"/>
        <v>252</v>
      </c>
    </row>
    <row r="83" spans="1:12" ht="14.25" hidden="1" thickTop="1" thickBot="1" x14ac:dyDescent="0.25">
      <c r="A83" s="539" t="s">
        <v>344</v>
      </c>
      <c r="B83" s="464"/>
      <c r="C83" s="540">
        <f>C82/C81</f>
        <v>0.19634156555894342</v>
      </c>
      <c r="D83" s="540">
        <f t="shared" ref="D83:K83" si="12">D82/D81</f>
        <v>8.9656424651503211E-2</v>
      </c>
      <c r="E83" s="540">
        <f t="shared" si="12"/>
        <v>0.12791554136999755</v>
      </c>
      <c r="F83" s="540">
        <f t="shared" si="12"/>
        <v>-4.7545410804030585E-3</v>
      </c>
      <c r="G83" s="540">
        <f t="shared" si="12"/>
        <v>0.15761148741473438</v>
      </c>
      <c r="H83" s="540" t="e">
        <f t="shared" si="12"/>
        <v>#DIV/0!</v>
      </c>
      <c r="I83" s="540">
        <f t="shared" si="12"/>
        <v>2.9202379057074082E-2</v>
      </c>
      <c r="J83" s="540">
        <f t="shared" si="12"/>
        <v>0.21196482156253349</v>
      </c>
      <c r="K83" s="540">
        <f t="shared" si="12"/>
        <v>9.315358142251433E-4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1543412</v>
      </c>
      <c r="D5" s="481">
        <v>200444</v>
      </c>
      <c r="E5" s="466">
        <v>145457</v>
      </c>
      <c r="F5" s="548">
        <v>80177</v>
      </c>
      <c r="G5" s="466">
        <v>66939</v>
      </c>
      <c r="H5" s="466"/>
      <c r="I5" s="466">
        <v>20044</v>
      </c>
      <c r="J5" s="467">
        <v>244774</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16036</v>
      </c>
      <c r="D7" s="466"/>
      <c r="E7" s="468"/>
      <c r="F7" s="467"/>
      <c r="G7" s="467"/>
      <c r="H7" s="467"/>
      <c r="I7" s="468"/>
      <c r="J7" s="468"/>
      <c r="K7" s="468"/>
    </row>
    <row r="8" spans="1:12" x14ac:dyDescent="0.2">
      <c r="A8" s="463" t="s">
        <v>413</v>
      </c>
      <c r="B8" s="470">
        <v>1150</v>
      </c>
      <c r="C8" s="475"/>
      <c r="D8" s="475"/>
      <c r="E8" s="477"/>
      <c r="F8" s="477"/>
      <c r="G8" s="481">
        <v>66939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1559448</v>
      </c>
      <c r="D12" s="1707">
        <f t="shared" si="0"/>
        <v>200444</v>
      </c>
      <c r="E12" s="1707">
        <f t="shared" si="0"/>
        <v>145457</v>
      </c>
      <c r="F12" s="1707">
        <f t="shared" si="0"/>
        <v>80177</v>
      </c>
      <c r="G12" s="1707">
        <f t="shared" si="0"/>
        <v>133878</v>
      </c>
      <c r="H12" s="1707">
        <f t="shared" si="0"/>
        <v>0</v>
      </c>
      <c r="I12" s="1707">
        <f t="shared" si="0"/>
        <v>20044</v>
      </c>
      <c r="J12" s="1707">
        <f t="shared" si="0"/>
        <v>244774</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76554</v>
      </c>
      <c r="E16" s="466"/>
      <c r="F16" s="466"/>
      <c r="G16" s="466">
        <v>4000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76554</v>
      </c>
      <c r="E18" s="1710">
        <f t="shared" si="1"/>
        <v>0</v>
      </c>
      <c r="F18" s="1710">
        <f t="shared" si="1"/>
        <v>0</v>
      </c>
      <c r="G18" s="1710">
        <f t="shared" si="1"/>
        <v>4000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5653</v>
      </c>
      <c r="D65" s="466">
        <v>1606</v>
      </c>
      <c r="E65" s="466">
        <v>34</v>
      </c>
      <c r="F65" s="467">
        <v>675</v>
      </c>
      <c r="G65" s="466">
        <v>186</v>
      </c>
      <c r="H65" s="466"/>
      <c r="I65" s="466">
        <v>4535</v>
      </c>
      <c r="J65" s="467">
        <v>340</v>
      </c>
      <c r="K65" s="466">
        <v>252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5653</v>
      </c>
      <c r="D67" s="1688">
        <f t="shared" ref="D67:K67" si="2">SUM(D65:D66)</f>
        <v>1606</v>
      </c>
      <c r="E67" s="1688">
        <f t="shared" si="2"/>
        <v>34</v>
      </c>
      <c r="F67" s="1688">
        <f t="shared" si="2"/>
        <v>675</v>
      </c>
      <c r="G67" s="1688">
        <f t="shared" si="2"/>
        <v>186</v>
      </c>
      <c r="H67" s="1688">
        <f t="shared" si="2"/>
        <v>0</v>
      </c>
      <c r="I67" s="1688">
        <f t="shared" si="2"/>
        <v>4535</v>
      </c>
      <c r="J67" s="1688">
        <f t="shared" si="2"/>
        <v>340</v>
      </c>
      <c r="K67" s="1688">
        <f t="shared" si="2"/>
        <v>252</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31235</v>
      </c>
      <c r="D69" s="468"/>
      <c r="E69" s="468"/>
      <c r="F69" s="468"/>
      <c r="G69" s="468"/>
      <c r="H69" s="468"/>
      <c r="I69" s="468"/>
      <c r="J69" s="468"/>
      <c r="K69" s="468"/>
    </row>
    <row r="70" spans="1:11" ht="12.75" customHeight="1" x14ac:dyDescent="0.2">
      <c r="A70" s="463" t="s">
        <v>997</v>
      </c>
      <c r="B70" s="470">
        <v>1612</v>
      </c>
      <c r="C70" s="551">
        <v>2604</v>
      </c>
      <c r="D70" s="468"/>
      <c r="E70" s="468"/>
      <c r="F70" s="468"/>
      <c r="G70" s="468"/>
      <c r="H70" s="468"/>
      <c r="I70" s="468"/>
      <c r="J70" s="468"/>
      <c r="K70" s="468"/>
    </row>
    <row r="71" spans="1:11" ht="12.75" customHeight="1" x14ac:dyDescent="0.2">
      <c r="A71" s="463" t="s">
        <v>273</v>
      </c>
      <c r="B71" s="470">
        <v>1613</v>
      </c>
      <c r="C71" s="551">
        <v>1580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1562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36981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11137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15534</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26671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5572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5572</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7195</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v>599</v>
      </c>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685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56836</v>
      </c>
      <c r="D107" s="466"/>
      <c r="E107" s="466"/>
      <c r="F107" s="466"/>
      <c r="G107" s="466"/>
      <c r="H107" s="466"/>
      <c r="I107" s="466"/>
      <c r="J107" s="467"/>
      <c r="K107" s="466"/>
    </row>
    <row r="108" spans="1:12" ht="12.75" customHeight="1" thickBot="1" x14ac:dyDescent="0.25">
      <c r="A108" s="1708" t="s">
        <v>487</v>
      </c>
      <c r="B108" s="1712"/>
      <c r="C108" s="1707">
        <f>SUM(C95:C107)</f>
        <v>64716</v>
      </c>
      <c r="D108" s="1707">
        <f t="shared" ref="D108:K108" si="3">SUM(D95:D107)</f>
        <v>0</v>
      </c>
      <c r="E108" s="1707">
        <f t="shared" si="3"/>
        <v>0</v>
      </c>
      <c r="F108" s="1707">
        <f t="shared" si="3"/>
        <v>599</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1699041</v>
      </c>
      <c r="D109" s="1715">
        <f t="shared" si="4"/>
        <v>278604</v>
      </c>
      <c r="E109" s="1715">
        <f t="shared" si="4"/>
        <v>145491</v>
      </c>
      <c r="F109" s="1715">
        <f t="shared" si="4"/>
        <v>81451</v>
      </c>
      <c r="G109" s="1715">
        <f t="shared" si="4"/>
        <v>138064</v>
      </c>
      <c r="H109" s="1715">
        <f t="shared" si="4"/>
        <v>0</v>
      </c>
      <c r="I109" s="1715">
        <f t="shared" si="4"/>
        <v>24579</v>
      </c>
      <c r="J109" s="1715">
        <f t="shared" si="4"/>
        <v>245114</v>
      </c>
      <c r="K109" s="1702">
        <f t="shared" si="4"/>
        <v>252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1175522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1175522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8674</v>
      </c>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12958</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21632</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1564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2538</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132248</v>
      </c>
      <c r="G152" s="467"/>
      <c r="H152" s="468"/>
      <c r="I152" s="468"/>
      <c r="J152" s="468"/>
      <c r="K152" s="468"/>
    </row>
    <row r="153" spans="1:11" ht="12.75" customHeight="1" x14ac:dyDescent="0.2">
      <c r="A153" s="463" t="s">
        <v>1057</v>
      </c>
      <c r="B153" s="562">
        <v>3510</v>
      </c>
      <c r="C153" s="551"/>
      <c r="D153" s="466"/>
      <c r="E153" s="561"/>
      <c r="F153" s="466">
        <v>47749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179997</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822</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26556</v>
      </c>
      <c r="D169" s="1722">
        <f t="shared" si="6"/>
        <v>0</v>
      </c>
      <c r="E169" s="1722">
        <f t="shared" si="6"/>
        <v>0</v>
      </c>
      <c r="F169" s="1722">
        <f t="shared" si="6"/>
        <v>179997</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1202078</v>
      </c>
      <c r="D170" s="1715">
        <f t="shared" si="7"/>
        <v>0</v>
      </c>
      <c r="E170" s="1715">
        <f t="shared" si="7"/>
        <v>0</v>
      </c>
      <c r="F170" s="1715">
        <f t="shared" si="7"/>
        <v>179997</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61058</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14125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75183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110381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110381</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5620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5620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3338</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3338</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16398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42029</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252949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252949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3154068</v>
      </c>
      <c r="D268" s="1715">
        <f t="shared" si="12"/>
        <v>278604</v>
      </c>
      <c r="E268" s="1715">
        <f t="shared" si="12"/>
        <v>145491</v>
      </c>
      <c r="F268" s="1715">
        <f t="shared" si="12"/>
        <v>261448</v>
      </c>
      <c r="G268" s="1715">
        <f t="shared" si="12"/>
        <v>138064</v>
      </c>
      <c r="H268" s="1715">
        <f t="shared" si="12"/>
        <v>0</v>
      </c>
      <c r="I268" s="1715">
        <f t="shared" si="12"/>
        <v>24579</v>
      </c>
      <c r="J268" s="1715">
        <f t="shared" si="12"/>
        <v>245114</v>
      </c>
      <c r="K268" s="1702">
        <f t="shared" si="12"/>
        <v>252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1" activePane="bottomLeft" state="frozen"/>
      <selection pane="bottomLeft"/>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962794</v>
      </c>
      <c r="D5" s="466">
        <v>173612</v>
      </c>
      <c r="E5" s="466">
        <v>62024</v>
      </c>
      <c r="F5" s="466">
        <v>25043</v>
      </c>
      <c r="G5" s="466"/>
      <c r="H5" s="466"/>
      <c r="I5" s="467"/>
      <c r="J5" s="467"/>
      <c r="K5" s="1671">
        <f>SUM(C5:J5)</f>
        <v>1223473</v>
      </c>
      <c r="L5" s="466">
        <v>1188950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4531</v>
      </c>
      <c r="D7" s="467"/>
      <c r="E7" s="467"/>
      <c r="F7" s="467"/>
      <c r="G7" s="467"/>
      <c r="H7" s="467"/>
      <c r="I7" s="467"/>
      <c r="J7" s="467"/>
      <c r="K7" s="1671">
        <f t="shared" ref="K7:K32" si="0">SUM(C7:J7)</f>
        <v>4531</v>
      </c>
      <c r="L7" s="466">
        <v>5750</v>
      </c>
    </row>
    <row r="8" spans="1:14" x14ac:dyDescent="0.2">
      <c r="A8" s="1504" t="s">
        <v>164</v>
      </c>
      <c r="B8" s="614">
        <v>1200</v>
      </c>
      <c r="C8" s="466"/>
      <c r="D8" s="466"/>
      <c r="E8" s="466"/>
      <c r="F8" s="466"/>
      <c r="G8" s="466"/>
      <c r="H8" s="466"/>
      <c r="I8" s="467"/>
      <c r="J8" s="467"/>
      <c r="K8" s="1671">
        <f t="shared" si="0"/>
        <v>0</v>
      </c>
      <c r="L8" s="466">
        <v>450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54905</v>
      </c>
      <c r="D10" s="466">
        <v>15408</v>
      </c>
      <c r="E10" s="466">
        <v>9480</v>
      </c>
      <c r="F10" s="466">
        <v>12716</v>
      </c>
      <c r="G10" s="466"/>
      <c r="H10" s="466"/>
      <c r="I10" s="467"/>
      <c r="J10" s="467"/>
      <c r="K10" s="1671">
        <f t="shared" si="0"/>
        <v>92509</v>
      </c>
      <c r="L10" s="466">
        <v>90019</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v>19030</v>
      </c>
      <c r="F13" s="466">
        <v>7351</v>
      </c>
      <c r="G13" s="466"/>
      <c r="H13" s="466"/>
      <c r="I13" s="467"/>
      <c r="J13" s="467"/>
      <c r="K13" s="1671">
        <f t="shared" si="0"/>
        <v>26381</v>
      </c>
      <c r="L13" s="466">
        <v>17215</v>
      </c>
    </row>
    <row r="14" spans="1:14" x14ac:dyDescent="0.2">
      <c r="A14" s="1504" t="s">
        <v>963</v>
      </c>
      <c r="B14" s="614">
        <v>1500</v>
      </c>
      <c r="C14" s="466">
        <v>41850</v>
      </c>
      <c r="D14" s="466">
        <v>2707</v>
      </c>
      <c r="E14" s="466">
        <v>20851</v>
      </c>
      <c r="F14" s="466">
        <v>32822</v>
      </c>
      <c r="G14" s="466"/>
      <c r="H14" s="466">
        <v>6812</v>
      </c>
      <c r="I14" s="467"/>
      <c r="J14" s="467"/>
      <c r="K14" s="1671">
        <f t="shared" si="0"/>
        <v>105042</v>
      </c>
      <c r="L14" s="466">
        <v>99730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v>1320</v>
      </c>
      <c r="G16" s="466"/>
      <c r="H16" s="466"/>
      <c r="I16" s="467"/>
      <c r="J16" s="467"/>
      <c r="K16" s="1671">
        <f t="shared" si="0"/>
        <v>1320</v>
      </c>
      <c r="L16" s="466"/>
    </row>
    <row r="17" spans="1:12" x14ac:dyDescent="0.2">
      <c r="A17" s="1504" t="s">
        <v>724</v>
      </c>
      <c r="B17" s="614" t="s">
        <v>162</v>
      </c>
      <c r="C17" s="467">
        <v>7762</v>
      </c>
      <c r="D17" s="467">
        <v>910</v>
      </c>
      <c r="E17" s="467">
        <v>4748</v>
      </c>
      <c r="F17" s="467"/>
      <c r="G17" s="467"/>
      <c r="H17" s="467"/>
      <c r="I17" s="467"/>
      <c r="J17" s="467"/>
      <c r="K17" s="1671">
        <f t="shared" si="0"/>
        <v>13420</v>
      </c>
      <c r="L17" s="466">
        <v>13469</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1071842</v>
      </c>
      <c r="D33" s="1670">
        <f t="shared" ref="D33:L33" si="1">SUM(D5:D32)</f>
        <v>192637</v>
      </c>
      <c r="E33" s="1670">
        <f t="shared" si="1"/>
        <v>116133</v>
      </c>
      <c r="F33" s="1670">
        <f t="shared" si="1"/>
        <v>79252</v>
      </c>
      <c r="G33" s="1670">
        <f t="shared" si="1"/>
        <v>0</v>
      </c>
      <c r="H33" s="1670">
        <f t="shared" si="1"/>
        <v>6812</v>
      </c>
      <c r="I33" s="1670">
        <f t="shared" si="1"/>
        <v>0</v>
      </c>
      <c r="J33" s="1670">
        <f t="shared" si="1"/>
        <v>0</v>
      </c>
      <c r="K33" s="1670">
        <f t="shared" si="1"/>
        <v>1466676</v>
      </c>
      <c r="L33" s="1670">
        <f t="shared" si="1"/>
        <v>1415583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v>2068</v>
      </c>
      <c r="F36" s="481"/>
      <c r="G36" s="481"/>
      <c r="H36" s="481"/>
      <c r="I36" s="467"/>
      <c r="J36" s="467"/>
      <c r="K36" s="1671">
        <f t="shared" ref="K36:K41" si="2">SUM(C36:J36)</f>
        <v>2068</v>
      </c>
      <c r="L36" s="466">
        <v>1500</v>
      </c>
    </row>
    <row r="37" spans="1:14" x14ac:dyDescent="0.2">
      <c r="A37" s="1504" t="s">
        <v>1090</v>
      </c>
      <c r="B37" s="614">
        <v>2120</v>
      </c>
      <c r="C37" s="466">
        <v>40407</v>
      </c>
      <c r="D37" s="466">
        <v>8287</v>
      </c>
      <c r="E37" s="466">
        <v>1259</v>
      </c>
      <c r="F37" s="466">
        <v>255</v>
      </c>
      <c r="G37" s="466"/>
      <c r="H37" s="466"/>
      <c r="I37" s="467"/>
      <c r="J37" s="467"/>
      <c r="K37" s="1671">
        <f t="shared" si="2"/>
        <v>50208</v>
      </c>
      <c r="L37" s="466">
        <v>50092</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40407</v>
      </c>
      <c r="D42" s="1670">
        <f t="shared" ref="D42:L42" si="3">SUM(D36:D41)</f>
        <v>8287</v>
      </c>
      <c r="E42" s="1670">
        <f t="shared" si="3"/>
        <v>3327</v>
      </c>
      <c r="F42" s="1670">
        <f t="shared" si="3"/>
        <v>255</v>
      </c>
      <c r="G42" s="1670">
        <f t="shared" si="3"/>
        <v>0</v>
      </c>
      <c r="H42" s="1670">
        <f t="shared" si="3"/>
        <v>0</v>
      </c>
      <c r="I42" s="1670">
        <f t="shared" si="3"/>
        <v>0</v>
      </c>
      <c r="J42" s="1670">
        <f t="shared" si="3"/>
        <v>0</v>
      </c>
      <c r="K42" s="1670">
        <f t="shared" si="3"/>
        <v>52276</v>
      </c>
      <c r="L42" s="1670">
        <f t="shared" si="3"/>
        <v>51592</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v>6000</v>
      </c>
    </row>
    <row r="45" spans="1:14" x14ac:dyDescent="0.2">
      <c r="A45" s="1504" t="s">
        <v>815</v>
      </c>
      <c r="B45" s="614">
        <v>2220</v>
      </c>
      <c r="C45" s="466">
        <v>37976</v>
      </c>
      <c r="D45" s="466">
        <v>8002</v>
      </c>
      <c r="E45" s="466">
        <v>416</v>
      </c>
      <c r="F45" s="466">
        <v>4541</v>
      </c>
      <c r="G45" s="466"/>
      <c r="H45" s="466"/>
      <c r="I45" s="467"/>
      <c r="J45" s="467"/>
      <c r="K45" s="1672">
        <f>SUM(C45:J45)</f>
        <v>50935</v>
      </c>
      <c r="L45" s="466">
        <v>52182</v>
      </c>
    </row>
    <row r="46" spans="1:14" x14ac:dyDescent="0.2">
      <c r="A46" s="1504" t="s">
        <v>816</v>
      </c>
      <c r="B46" s="614">
        <v>2230</v>
      </c>
      <c r="C46" s="466"/>
      <c r="D46" s="466"/>
      <c r="E46" s="466">
        <v>3561</v>
      </c>
      <c r="F46" s="466"/>
      <c r="G46" s="466"/>
      <c r="H46" s="466"/>
      <c r="I46" s="467"/>
      <c r="J46" s="467"/>
      <c r="K46" s="1672">
        <f>SUM(C46:J46)</f>
        <v>3561</v>
      </c>
      <c r="L46" s="466">
        <v>3500</v>
      </c>
    </row>
    <row r="47" spans="1:14" ht="12.75" customHeight="1" thickBot="1" x14ac:dyDescent="0.25">
      <c r="A47" s="1668" t="s">
        <v>561</v>
      </c>
      <c r="B47" s="1669" t="s">
        <v>32</v>
      </c>
      <c r="C47" s="1670">
        <f>SUM(C44:C46)</f>
        <v>37976</v>
      </c>
      <c r="D47" s="1670">
        <f t="shared" ref="D47:K47" si="4">SUM(D44:D46)</f>
        <v>8002</v>
      </c>
      <c r="E47" s="1670">
        <f t="shared" si="4"/>
        <v>3977</v>
      </c>
      <c r="F47" s="1670">
        <f t="shared" si="4"/>
        <v>4541</v>
      </c>
      <c r="G47" s="1670">
        <f t="shared" si="4"/>
        <v>0</v>
      </c>
      <c r="H47" s="1670">
        <f t="shared" si="4"/>
        <v>0</v>
      </c>
      <c r="I47" s="1670">
        <f t="shared" si="4"/>
        <v>0</v>
      </c>
      <c r="J47" s="1670">
        <f t="shared" si="4"/>
        <v>0</v>
      </c>
      <c r="K47" s="1670">
        <f t="shared" si="4"/>
        <v>54496</v>
      </c>
      <c r="L47" s="1670">
        <f>SUM(L44:L46)</f>
        <v>61682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2055</v>
      </c>
      <c r="D49" s="481"/>
      <c r="E49" s="481">
        <v>14831</v>
      </c>
      <c r="F49" s="481">
        <v>2233</v>
      </c>
      <c r="G49" s="481"/>
      <c r="H49" s="481">
        <v>14134</v>
      </c>
      <c r="I49" s="467"/>
      <c r="J49" s="467"/>
      <c r="K49" s="1672">
        <f>SUM(C49:J49)</f>
        <v>33253</v>
      </c>
      <c r="L49" s="481">
        <v>34300</v>
      </c>
    </row>
    <row r="50" spans="1:14" x14ac:dyDescent="0.2">
      <c r="A50" s="1504" t="s">
        <v>818</v>
      </c>
      <c r="B50" s="614">
        <v>2320</v>
      </c>
      <c r="C50" s="466">
        <v>72495</v>
      </c>
      <c r="D50" s="466">
        <v>8504</v>
      </c>
      <c r="E50" s="466">
        <v>1468</v>
      </c>
      <c r="F50" s="466">
        <v>424</v>
      </c>
      <c r="G50" s="466"/>
      <c r="H50" s="466">
        <v>987</v>
      </c>
      <c r="I50" s="467"/>
      <c r="J50" s="467"/>
      <c r="K50" s="1672">
        <f>SUM(C50:J50)</f>
        <v>83878</v>
      </c>
      <c r="L50" s="466">
        <v>86668</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74550</v>
      </c>
      <c r="D53" s="1670">
        <f t="shared" ref="D53:L53" si="5">SUM(D49:D52)</f>
        <v>8504</v>
      </c>
      <c r="E53" s="1670">
        <f t="shared" si="5"/>
        <v>16299</v>
      </c>
      <c r="F53" s="1670">
        <f t="shared" si="5"/>
        <v>2657</v>
      </c>
      <c r="G53" s="1670">
        <f t="shared" si="5"/>
        <v>0</v>
      </c>
      <c r="H53" s="1670">
        <f t="shared" si="5"/>
        <v>15121</v>
      </c>
      <c r="I53" s="1670">
        <f t="shared" si="5"/>
        <v>0</v>
      </c>
      <c r="J53" s="1670">
        <f t="shared" si="5"/>
        <v>0</v>
      </c>
      <c r="K53" s="1670">
        <f t="shared" si="5"/>
        <v>117131</v>
      </c>
      <c r="L53" s="1670">
        <f t="shared" si="5"/>
        <v>120968</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180224</v>
      </c>
      <c r="D55" s="481">
        <v>8501</v>
      </c>
      <c r="E55" s="481">
        <v>1029</v>
      </c>
      <c r="F55" s="481">
        <v>5781</v>
      </c>
      <c r="G55" s="481"/>
      <c r="H55" s="481">
        <v>11649</v>
      </c>
      <c r="I55" s="467"/>
      <c r="J55" s="467"/>
      <c r="K55" s="1672">
        <f>SUM(C55:J55)</f>
        <v>207184</v>
      </c>
      <c r="L55" s="481">
        <v>104344</v>
      </c>
    </row>
    <row r="56" spans="1:14" ht="12.75" customHeight="1" x14ac:dyDescent="0.2">
      <c r="A56" s="1508" t="s">
        <v>376</v>
      </c>
      <c r="B56" s="628">
        <v>2490</v>
      </c>
      <c r="C56" s="466"/>
      <c r="D56" s="466"/>
      <c r="E56" s="466"/>
      <c r="F56" s="466"/>
      <c r="G56" s="466"/>
      <c r="H56" s="466"/>
      <c r="I56" s="467"/>
      <c r="J56" s="467"/>
      <c r="K56" s="1672">
        <f>SUM(C56:J56)</f>
        <v>0</v>
      </c>
      <c r="L56" s="466">
        <v>61800</v>
      </c>
    </row>
    <row r="57" spans="1:14" s="343" customFormat="1" ht="12.75" customHeight="1" thickBot="1" x14ac:dyDescent="0.25">
      <c r="A57" s="1668" t="s">
        <v>263</v>
      </c>
      <c r="B57" s="1673" t="s">
        <v>34</v>
      </c>
      <c r="C57" s="1674">
        <f>SUM(C55:C56)</f>
        <v>180224</v>
      </c>
      <c r="D57" s="1674">
        <f t="shared" ref="D57:K57" si="6">SUM(D55:D56)</f>
        <v>8501</v>
      </c>
      <c r="E57" s="1674">
        <f t="shared" si="6"/>
        <v>1029</v>
      </c>
      <c r="F57" s="1674">
        <f t="shared" si="6"/>
        <v>5781</v>
      </c>
      <c r="G57" s="1674">
        <f t="shared" si="6"/>
        <v>0</v>
      </c>
      <c r="H57" s="1674">
        <f t="shared" si="6"/>
        <v>11649</v>
      </c>
      <c r="I57" s="1674">
        <f t="shared" si="6"/>
        <v>0</v>
      </c>
      <c r="J57" s="1674">
        <f t="shared" si="6"/>
        <v>0</v>
      </c>
      <c r="K57" s="1674">
        <f t="shared" si="6"/>
        <v>207184</v>
      </c>
      <c r="L57" s="1670">
        <f>SUM(L55:L56)</f>
        <v>166144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27606</v>
      </c>
      <c r="D60" s="466">
        <v>3125</v>
      </c>
      <c r="E60" s="466">
        <v>1514</v>
      </c>
      <c r="F60" s="466">
        <v>4204</v>
      </c>
      <c r="G60" s="466"/>
      <c r="H60" s="466">
        <v>250</v>
      </c>
      <c r="I60" s="467"/>
      <c r="J60" s="467"/>
      <c r="K60" s="1672">
        <f t="shared" si="7"/>
        <v>36699</v>
      </c>
      <c r="L60" s="466">
        <v>31790</v>
      </c>
      <c r="M60" s="609"/>
      <c r="N60" s="609"/>
    </row>
    <row r="61" spans="1:14" s="343" customFormat="1" x14ac:dyDescent="0.2">
      <c r="A61" s="1504" t="s">
        <v>197</v>
      </c>
      <c r="B61" s="614">
        <v>2540</v>
      </c>
      <c r="C61" s="466">
        <v>173260</v>
      </c>
      <c r="D61" s="466">
        <v>11818</v>
      </c>
      <c r="E61" s="466">
        <v>1146</v>
      </c>
      <c r="F61" s="466"/>
      <c r="G61" s="466"/>
      <c r="H61" s="466"/>
      <c r="I61" s="467"/>
      <c r="J61" s="467"/>
      <c r="K61" s="1672">
        <f t="shared" si="7"/>
        <v>186224</v>
      </c>
      <c r="L61" s="466">
        <v>203500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74275</v>
      </c>
      <c r="D63" s="466">
        <v>2491</v>
      </c>
      <c r="E63" s="466">
        <v>1701</v>
      </c>
      <c r="F63" s="466">
        <v>71156</v>
      </c>
      <c r="G63" s="466"/>
      <c r="H63" s="466">
        <v>4485</v>
      </c>
      <c r="I63" s="467"/>
      <c r="J63" s="467"/>
      <c r="K63" s="1672">
        <f t="shared" si="7"/>
        <v>154108</v>
      </c>
      <c r="L63" s="466">
        <v>166400</v>
      </c>
    </row>
    <row r="64" spans="1:14" s="609" customFormat="1" x14ac:dyDescent="0.2">
      <c r="A64" s="1509" t="s">
        <v>101</v>
      </c>
      <c r="B64" s="630">
        <v>2570</v>
      </c>
      <c r="C64" s="481"/>
      <c r="D64" s="481"/>
      <c r="E64" s="481"/>
      <c r="F64" s="481"/>
      <c r="G64" s="481"/>
      <c r="H64" s="481"/>
      <c r="I64" s="467"/>
      <c r="J64" s="467"/>
      <c r="K64" s="1672">
        <f t="shared" si="7"/>
        <v>0</v>
      </c>
      <c r="L64" s="481">
        <v>4300</v>
      </c>
    </row>
    <row r="65" spans="1:14" s="343" customFormat="1" ht="12.75" customHeight="1" thickBot="1" x14ac:dyDescent="0.25">
      <c r="A65" s="1668" t="s">
        <v>719</v>
      </c>
      <c r="B65" s="1669" t="s">
        <v>35</v>
      </c>
      <c r="C65" s="1670">
        <f>SUM(C59:C64)</f>
        <v>275141</v>
      </c>
      <c r="D65" s="1670">
        <f t="shared" ref="D65:L65" si="8">SUM(D59:D64)</f>
        <v>17434</v>
      </c>
      <c r="E65" s="1670">
        <f t="shared" si="8"/>
        <v>4361</v>
      </c>
      <c r="F65" s="1670">
        <f t="shared" si="8"/>
        <v>75360</v>
      </c>
      <c r="G65" s="1670">
        <f t="shared" si="8"/>
        <v>0</v>
      </c>
      <c r="H65" s="1670">
        <f t="shared" si="8"/>
        <v>4735</v>
      </c>
      <c r="I65" s="1670">
        <f t="shared" si="8"/>
        <v>0</v>
      </c>
      <c r="J65" s="1670">
        <f t="shared" si="8"/>
        <v>0</v>
      </c>
      <c r="K65" s="1670">
        <f t="shared" si="8"/>
        <v>377031</v>
      </c>
      <c r="L65" s="1670">
        <f t="shared" si="8"/>
        <v>405990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v>42251</v>
      </c>
      <c r="D71" s="466"/>
      <c r="E71" s="466">
        <v>34683</v>
      </c>
      <c r="F71" s="466">
        <v>38870</v>
      </c>
      <c r="G71" s="466">
        <v>43876</v>
      </c>
      <c r="H71" s="466"/>
      <c r="I71" s="467"/>
      <c r="J71" s="467"/>
      <c r="K71" s="1672">
        <f>SUM(C71:J71)</f>
        <v>159680</v>
      </c>
      <c r="L71" s="466">
        <v>222000</v>
      </c>
      <c r="M71" s="609"/>
      <c r="N71" s="609"/>
    </row>
    <row r="72" spans="1:14" s="343" customFormat="1" ht="12.75" customHeight="1" thickBot="1" x14ac:dyDescent="0.25">
      <c r="A72" s="1668" t="s">
        <v>37</v>
      </c>
      <c r="B72" s="1675" t="s">
        <v>36</v>
      </c>
      <c r="C72" s="1670">
        <f>SUM(C67:C71)</f>
        <v>42251</v>
      </c>
      <c r="D72" s="1670">
        <f t="shared" ref="D72:K72" si="9">SUM(D67:D71)</f>
        <v>0</v>
      </c>
      <c r="E72" s="1670">
        <f t="shared" si="9"/>
        <v>34683</v>
      </c>
      <c r="F72" s="1670">
        <f t="shared" si="9"/>
        <v>38870</v>
      </c>
      <c r="G72" s="1670">
        <f t="shared" si="9"/>
        <v>43876</v>
      </c>
      <c r="H72" s="1670">
        <f t="shared" si="9"/>
        <v>0</v>
      </c>
      <c r="I72" s="1670">
        <f t="shared" si="9"/>
        <v>0</v>
      </c>
      <c r="J72" s="1670">
        <f t="shared" si="9"/>
        <v>0</v>
      </c>
      <c r="K72" s="1670">
        <f t="shared" si="9"/>
        <v>159680</v>
      </c>
      <c r="L72" s="1670">
        <f>SUM(L67:L71)</f>
        <v>222000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650549</v>
      </c>
      <c r="D74" s="1677">
        <f t="shared" ref="D74:K74" si="10">SUM(D42,D47,D53,D57,D65,D72,D73)</f>
        <v>50728</v>
      </c>
      <c r="E74" s="1677">
        <f t="shared" si="10"/>
        <v>63676</v>
      </c>
      <c r="F74" s="1677">
        <f t="shared" si="10"/>
        <v>127464</v>
      </c>
      <c r="G74" s="1677">
        <f t="shared" si="10"/>
        <v>43876</v>
      </c>
      <c r="H74" s="1677">
        <f t="shared" si="10"/>
        <v>31505</v>
      </c>
      <c r="I74" s="1677">
        <f t="shared" si="10"/>
        <v>0</v>
      </c>
      <c r="J74" s="1677">
        <f t="shared" si="10"/>
        <v>0</v>
      </c>
      <c r="K74" s="1677">
        <f t="shared" si="10"/>
        <v>967798</v>
      </c>
      <c r="L74" s="1677">
        <f>SUM(L42,L47,L53,L57,L65,L72,L73)</f>
        <v>1028376</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v>30000</v>
      </c>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30000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254854</v>
      </c>
      <c r="I86" s="477"/>
      <c r="J86" s="477"/>
      <c r="K86" s="1677">
        <f t="shared" ref="K86:K98" si="12">H86</f>
        <v>254854</v>
      </c>
      <c r="L86" s="530">
        <v>445000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29250</v>
      </c>
      <c r="I88" s="477"/>
      <c r="J88" s="477"/>
      <c r="K88" s="1677">
        <f t="shared" si="12"/>
        <v>29250</v>
      </c>
      <c r="L88" s="530">
        <v>30000</v>
      </c>
    </row>
    <row r="89" spans="1:12" ht="12.75" customHeight="1" thickTop="1" thickBot="1" x14ac:dyDescent="0.25">
      <c r="A89" s="1513" t="s">
        <v>701</v>
      </c>
      <c r="B89" s="639">
        <v>4270</v>
      </c>
      <c r="C89" s="616"/>
      <c r="D89" s="616"/>
      <c r="E89" s="638"/>
      <c r="F89" s="616"/>
      <c r="G89" s="616"/>
      <c r="H89" s="467">
        <v>11200</v>
      </c>
      <c r="I89" s="477"/>
      <c r="J89" s="477"/>
      <c r="K89" s="1677">
        <f t="shared" si="12"/>
        <v>11200</v>
      </c>
      <c r="L89" s="530">
        <v>12000</v>
      </c>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295304</v>
      </c>
      <c r="I92" s="477"/>
      <c r="J92" s="477"/>
      <c r="K92" s="1677">
        <f t="shared" si="12"/>
        <v>295304</v>
      </c>
      <c r="L92" s="1670">
        <f>SUM(L85:L91)</f>
        <v>487000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295304</v>
      </c>
      <c r="I102" s="477"/>
      <c r="J102" s="477"/>
      <c r="K102" s="1677">
        <f>SUM(K84,K92,K100,K101)</f>
        <v>295304</v>
      </c>
      <c r="L102" s="1677">
        <f>SUM(L84,L92,L100,L101)</f>
        <v>517000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1722391</v>
      </c>
      <c r="D114" s="1670">
        <f t="shared" ref="D114:K114" si="13">SUM(D33,D74,D75,D102,D112,D113)</f>
        <v>243365</v>
      </c>
      <c r="E114" s="1670">
        <f t="shared" si="13"/>
        <v>179809</v>
      </c>
      <c r="F114" s="1670">
        <f t="shared" si="13"/>
        <v>206716</v>
      </c>
      <c r="G114" s="1670">
        <f t="shared" si="13"/>
        <v>43876</v>
      </c>
      <c r="H114" s="1670">
        <f>SUM(H33,H74,H75,H102,H112,H113)</f>
        <v>333621</v>
      </c>
      <c r="I114" s="1670">
        <f t="shared" si="13"/>
        <v>0</v>
      </c>
      <c r="J114" s="1670">
        <f t="shared" si="13"/>
        <v>0</v>
      </c>
      <c r="K114" s="1670">
        <f t="shared" si="13"/>
        <v>2729778</v>
      </c>
      <c r="L114" s="1670">
        <f>SUM(L33,L74,L75,L102,L112,L113)</f>
        <v>2960959</v>
      </c>
    </row>
    <row r="115" spans="1:14" ht="13.5" thickTop="1" x14ac:dyDescent="0.2">
      <c r="A115" s="2185" t="s">
        <v>996</v>
      </c>
      <c r="B115" s="2186"/>
      <c r="C115" s="618"/>
      <c r="D115" s="618"/>
      <c r="E115" s="618"/>
      <c r="F115" s="618"/>
      <c r="G115" s="618"/>
      <c r="H115" s="618"/>
      <c r="I115" s="618"/>
      <c r="J115" s="618"/>
      <c r="K115" s="1684">
        <f>'Revenues 9-14'!C268-'Expenditures 15-22'!K114</f>
        <v>424290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v>9349</v>
      </c>
      <c r="F124" s="466">
        <v>141327</v>
      </c>
      <c r="G124" s="466"/>
      <c r="H124" s="466">
        <v>41</v>
      </c>
      <c r="I124" s="467"/>
      <c r="J124" s="467"/>
      <c r="K124" s="1670">
        <f>SUM(C124:J124)</f>
        <v>150717</v>
      </c>
      <c r="L124" s="466">
        <v>125300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9349</v>
      </c>
      <c r="F127" s="1670">
        <f t="shared" si="14"/>
        <v>141327</v>
      </c>
      <c r="G127" s="1670">
        <f t="shared" si="14"/>
        <v>0</v>
      </c>
      <c r="H127" s="1670">
        <f t="shared" si="14"/>
        <v>41</v>
      </c>
      <c r="I127" s="1670">
        <f t="shared" si="14"/>
        <v>0</v>
      </c>
      <c r="J127" s="1670">
        <f t="shared" si="14"/>
        <v>0</v>
      </c>
      <c r="K127" s="1670">
        <f t="shared" si="14"/>
        <v>150717</v>
      </c>
      <c r="L127" s="1670">
        <f t="shared" si="14"/>
        <v>125300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9349</v>
      </c>
      <c r="F129" s="1677">
        <f t="shared" si="15"/>
        <v>141327</v>
      </c>
      <c r="G129" s="1677">
        <f t="shared" si="15"/>
        <v>0</v>
      </c>
      <c r="H129" s="1677">
        <f t="shared" si="15"/>
        <v>41</v>
      </c>
      <c r="I129" s="1677">
        <f t="shared" si="15"/>
        <v>0</v>
      </c>
      <c r="J129" s="1677">
        <f t="shared" si="15"/>
        <v>0</v>
      </c>
      <c r="K129" s="1677">
        <f t="shared" si="15"/>
        <v>150717</v>
      </c>
      <c r="L129" s="1677">
        <f t="shared" si="15"/>
        <v>125300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7"/>
      <c r="C151" s="1670">
        <f>SUM(C129,C130,C139,C149,C150)</f>
        <v>0</v>
      </c>
      <c r="D151" s="1670">
        <f t="shared" ref="D151:K151" si="16">SUM(D129,D130,D139,D149,D150)</f>
        <v>0</v>
      </c>
      <c r="E151" s="1670">
        <f t="shared" si="16"/>
        <v>9349</v>
      </c>
      <c r="F151" s="1670">
        <f t="shared" si="16"/>
        <v>141327</v>
      </c>
      <c r="G151" s="1670">
        <f t="shared" si="16"/>
        <v>0</v>
      </c>
      <c r="H151" s="1670">
        <f t="shared" si="16"/>
        <v>41</v>
      </c>
      <c r="I151" s="1670">
        <f t="shared" si="16"/>
        <v>0</v>
      </c>
      <c r="J151" s="1670">
        <f t="shared" si="16"/>
        <v>0</v>
      </c>
      <c r="K151" s="1670">
        <f t="shared" si="16"/>
        <v>150717</v>
      </c>
      <c r="L151" s="1670">
        <f>SUM(L129,L130,L139,L149,L150)</f>
        <v>125300</v>
      </c>
    </row>
    <row r="152" spans="1:14" ht="12.75" customHeight="1" thickTop="1" x14ac:dyDescent="0.2">
      <c r="A152" s="2178" t="s">
        <v>1178</v>
      </c>
      <c r="B152" s="2179"/>
      <c r="C152" s="618"/>
      <c r="D152" s="618"/>
      <c r="E152" s="618"/>
      <c r="F152" s="618"/>
      <c r="G152" s="618"/>
      <c r="H152" s="618"/>
      <c r="I152" s="618"/>
      <c r="J152" s="616"/>
      <c r="K152" s="1684">
        <f>'Revenues 9-14'!D268-'Expenditures 15-22'!K151</f>
        <v>127887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7149</v>
      </c>
      <c r="I169" s="616"/>
      <c r="J169" s="616"/>
      <c r="K169" s="1671">
        <f>SUM(C169:H169)</f>
        <v>7149</v>
      </c>
      <c r="L169" s="656">
        <v>144624</v>
      </c>
    </row>
    <row r="170" spans="1:14" ht="33.75" customHeight="1" x14ac:dyDescent="0.2">
      <c r="A170" s="669" t="s">
        <v>1670</v>
      </c>
      <c r="B170" s="671" t="s">
        <v>31</v>
      </c>
      <c r="C170" s="616"/>
      <c r="D170" s="616"/>
      <c r="E170" s="616"/>
      <c r="F170" s="616"/>
      <c r="G170" s="616"/>
      <c r="H170" s="569">
        <v>137000</v>
      </c>
      <c r="I170" s="616"/>
      <c r="J170" s="616"/>
      <c r="K170" s="1671">
        <f>SUM(C170:J170)</f>
        <v>137000</v>
      </c>
      <c r="L170" s="569">
        <v>300</v>
      </c>
    </row>
    <row r="171" spans="1:14" ht="15.75" customHeight="1" x14ac:dyDescent="0.2">
      <c r="A171" s="621" t="s">
        <v>766</v>
      </c>
      <c r="B171" s="672" t="s">
        <v>84</v>
      </c>
      <c r="C171" s="616"/>
      <c r="D171" s="616"/>
      <c r="E171" s="466"/>
      <c r="F171" s="616"/>
      <c r="G171" s="616"/>
      <c r="H171" s="569">
        <v>300</v>
      </c>
      <c r="I171" s="477"/>
      <c r="J171" s="616"/>
      <c r="K171" s="1671">
        <f>SUM(C171:J171)</f>
        <v>300</v>
      </c>
      <c r="L171" s="569"/>
    </row>
    <row r="172" spans="1:14" ht="12.75" customHeight="1" thickBot="1" x14ac:dyDescent="0.25">
      <c r="A172" s="1668" t="s">
        <v>638</v>
      </c>
      <c r="B172" s="1669" t="s">
        <v>492</v>
      </c>
      <c r="C172" s="616"/>
      <c r="D172" s="616"/>
      <c r="E172" s="1677">
        <f>SUM(E168,E169,E170,E171)</f>
        <v>0</v>
      </c>
      <c r="F172" s="616"/>
      <c r="G172" s="616"/>
      <c r="H172" s="1677">
        <f>SUM(H168,H169,H170,H171)</f>
        <v>144449</v>
      </c>
      <c r="I172" s="638"/>
      <c r="J172" s="616"/>
      <c r="K172" s="1677">
        <f>SUM(K168,K169,K170,K171)</f>
        <v>144449</v>
      </c>
      <c r="L172" s="1677">
        <f>SUM(L168,L169,L170,L171)</f>
        <v>144924</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144449</v>
      </c>
      <c r="I174" s="638"/>
      <c r="J174" s="616"/>
      <c r="K174" s="1677">
        <f>SUM(K160,K172,K173)</f>
        <v>144449</v>
      </c>
      <c r="L174" s="1677">
        <f>SUM(L160,L172,L173)</f>
        <v>144924</v>
      </c>
    </row>
    <row r="175" spans="1:14" ht="13.5" thickTop="1" x14ac:dyDescent="0.2">
      <c r="A175" s="2185" t="s">
        <v>996</v>
      </c>
      <c r="B175" s="2186"/>
      <c r="C175" s="616"/>
      <c r="D175" s="616"/>
      <c r="E175" s="616"/>
      <c r="F175" s="616"/>
      <c r="G175" s="616"/>
      <c r="H175" s="618"/>
      <c r="I175" s="616"/>
      <c r="J175" s="616"/>
      <c r="K175" s="1684">
        <f>'Revenues 9-14'!E268-'Expenditures 15-22'!K174</f>
        <v>1042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65643</v>
      </c>
      <c r="D182" s="466">
        <v>7725</v>
      </c>
      <c r="E182" s="466">
        <v>100201</v>
      </c>
      <c r="F182" s="466">
        <v>48003</v>
      </c>
      <c r="G182" s="466"/>
      <c r="H182" s="466">
        <v>941</v>
      </c>
      <c r="I182" s="467"/>
      <c r="J182" s="467"/>
      <c r="K182" s="1671">
        <f>SUM(C182:J182)</f>
        <v>222513</v>
      </c>
      <c r="L182" s="466">
        <v>211503</v>
      </c>
    </row>
    <row r="183" spans="1:14" ht="12.75" customHeight="1" thickBot="1" x14ac:dyDescent="0.25">
      <c r="A183" s="1509" t="s">
        <v>980</v>
      </c>
      <c r="B183" s="677">
        <v>2900</v>
      </c>
      <c r="C183" s="573"/>
      <c r="D183" s="573"/>
      <c r="E183" s="573"/>
      <c r="F183" s="573"/>
      <c r="G183" s="573"/>
      <c r="H183" s="573"/>
      <c r="I183" s="532"/>
      <c r="J183" s="532"/>
      <c r="K183" s="1677">
        <f>SUM(C183:J183)</f>
        <v>0</v>
      </c>
      <c r="L183" s="573">
        <v>1000</v>
      </c>
    </row>
    <row r="184" spans="1:14" ht="12.75" customHeight="1" thickTop="1" thickBot="1" x14ac:dyDescent="0.25">
      <c r="A184" s="1691" t="s">
        <v>811</v>
      </c>
      <c r="B184" s="1669" t="s">
        <v>569</v>
      </c>
      <c r="C184" s="1677">
        <f>SUM(C180,C182,C183)</f>
        <v>65643</v>
      </c>
      <c r="D184" s="1677">
        <f t="shared" ref="D184:J184" si="17">SUM(D180,D182,D183)</f>
        <v>7725</v>
      </c>
      <c r="E184" s="1677">
        <f t="shared" si="17"/>
        <v>100201</v>
      </c>
      <c r="F184" s="1677">
        <f t="shared" si="17"/>
        <v>48003</v>
      </c>
      <c r="G184" s="1677">
        <f t="shared" si="17"/>
        <v>0</v>
      </c>
      <c r="H184" s="1677">
        <f t="shared" si="17"/>
        <v>941</v>
      </c>
      <c r="I184" s="1677">
        <f t="shared" si="17"/>
        <v>0</v>
      </c>
      <c r="J184" s="1677">
        <f t="shared" si="17"/>
        <v>0</v>
      </c>
      <c r="K184" s="1677">
        <f>SUM(K180,K182,K183)</f>
        <v>222513</v>
      </c>
      <c r="L184" s="1677">
        <f>SUM(L180, L182:L183)</f>
        <v>212503</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v>42354</v>
      </c>
      <c r="F189" s="616"/>
      <c r="G189" s="616"/>
      <c r="H189" s="466"/>
      <c r="I189" s="477"/>
      <c r="J189" s="616"/>
      <c r="K189" s="1671">
        <f t="shared" si="18"/>
        <v>42354</v>
      </c>
      <c r="L189" s="466">
        <v>65000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42354</v>
      </c>
      <c r="F194" s="616"/>
      <c r="G194" s="616"/>
      <c r="H194" s="1670">
        <f>SUM(H188:H193)</f>
        <v>0</v>
      </c>
      <c r="I194" s="477"/>
      <c r="J194" s="616"/>
      <c r="K194" s="1670">
        <f>SUM(K188:K193)</f>
        <v>42354</v>
      </c>
      <c r="L194" s="1670">
        <f>SUM(L188:L193)</f>
        <v>65000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42354</v>
      </c>
      <c r="F196" s="616"/>
      <c r="G196" s="616"/>
      <c r="H196" s="1677">
        <f>SUM(H194,H195)</f>
        <v>0</v>
      </c>
      <c r="I196" s="477"/>
      <c r="J196" s="616"/>
      <c r="K196" s="1677">
        <f>SUM(K194,K195)</f>
        <v>42354</v>
      </c>
      <c r="L196" s="1677">
        <f>SUM(L194,L195)</f>
        <v>65000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65643</v>
      </c>
      <c r="D210" s="1670">
        <f>SUM(D184,D185)</f>
        <v>7725</v>
      </c>
      <c r="E210" s="1670">
        <f>SUM(E184,E185,E196)</f>
        <v>142555</v>
      </c>
      <c r="F210" s="1670">
        <f>SUM(F184,F185)</f>
        <v>48003</v>
      </c>
      <c r="G210" s="1670">
        <f>SUM(G184,G185)</f>
        <v>0</v>
      </c>
      <c r="H210" s="1670">
        <f>SUM(H184,H185,H196,H208,H209)</f>
        <v>941</v>
      </c>
      <c r="I210" s="1670">
        <f>SUM(I184,I185)</f>
        <v>0</v>
      </c>
      <c r="J210" s="1670">
        <f>SUM(J184,J185)</f>
        <v>0</v>
      </c>
      <c r="K210" s="1671">
        <f>SUM(K184,K185,K196,K208,K209)</f>
        <v>264867</v>
      </c>
      <c r="L210" s="1670">
        <f>SUM(L184,L185,L196,L208,L209)</f>
        <v>277503</v>
      </c>
    </row>
    <row r="211" spans="1:14" ht="13.5" thickTop="1" x14ac:dyDescent="0.2">
      <c r="A211" s="2185" t="s">
        <v>996</v>
      </c>
      <c r="B211" s="2186"/>
      <c r="C211" s="618"/>
      <c r="D211" s="618"/>
      <c r="E211" s="618"/>
      <c r="F211" s="618"/>
      <c r="G211" s="618"/>
      <c r="H211" s="618"/>
      <c r="I211" s="616"/>
      <c r="J211" s="616"/>
      <c r="K211" s="1684">
        <f>'Revenues 9-14'!F268-'Expenditures 15-22'!K210</f>
        <v>-3419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14350</v>
      </c>
      <c r="E215" s="616"/>
      <c r="F215" s="616"/>
      <c r="G215" s="616"/>
      <c r="H215" s="616"/>
      <c r="I215" s="616"/>
      <c r="J215" s="616"/>
      <c r="K215" s="1671">
        <f>D215</f>
        <v>14350</v>
      </c>
      <c r="L215" s="466">
        <v>15750</v>
      </c>
    </row>
    <row r="216" spans="1:14" x14ac:dyDescent="0.2">
      <c r="A216" s="1504" t="s">
        <v>163</v>
      </c>
      <c r="B216" s="614" t="s">
        <v>967</v>
      </c>
      <c r="C216" s="616"/>
      <c r="D216" s="467">
        <v>828</v>
      </c>
      <c r="E216" s="616"/>
      <c r="F216" s="616"/>
      <c r="G216" s="616"/>
      <c r="H216" s="616"/>
      <c r="I216" s="616"/>
      <c r="J216" s="616"/>
      <c r="K216" s="1671">
        <f t="shared" ref="K216:K228" si="19">D216</f>
        <v>828</v>
      </c>
      <c r="L216" s="466">
        <v>1000</v>
      </c>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1145</v>
      </c>
      <c r="E219" s="616"/>
      <c r="F219" s="616"/>
      <c r="G219" s="616"/>
      <c r="H219" s="616"/>
      <c r="I219" s="616"/>
      <c r="J219" s="616"/>
      <c r="K219" s="1671">
        <f t="shared" si="19"/>
        <v>1145</v>
      </c>
      <c r="L219" s="466">
        <v>750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169</v>
      </c>
      <c r="E222" s="616"/>
      <c r="F222" s="616"/>
      <c r="G222" s="616"/>
      <c r="H222" s="616"/>
      <c r="I222" s="616"/>
      <c r="J222" s="616"/>
      <c r="K222" s="1671">
        <f t="shared" si="19"/>
        <v>169</v>
      </c>
      <c r="L222" s="466"/>
    </row>
    <row r="223" spans="1:14" x14ac:dyDescent="0.2">
      <c r="A223" s="1504" t="s">
        <v>963</v>
      </c>
      <c r="B223" s="614">
        <v>1500</v>
      </c>
      <c r="C223" s="616"/>
      <c r="D223" s="466">
        <v>1772</v>
      </c>
      <c r="E223" s="616"/>
      <c r="F223" s="616"/>
      <c r="G223" s="616"/>
      <c r="H223" s="616"/>
      <c r="I223" s="616"/>
      <c r="J223" s="616"/>
      <c r="K223" s="1671">
        <f t="shared" si="19"/>
        <v>1772</v>
      </c>
      <c r="L223" s="466">
        <v>1700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112</v>
      </c>
      <c r="E226" s="616"/>
      <c r="F226" s="616"/>
      <c r="G226" s="616"/>
      <c r="H226" s="616"/>
      <c r="I226" s="616"/>
      <c r="J226" s="616"/>
      <c r="K226" s="1671">
        <f t="shared" si="19"/>
        <v>112</v>
      </c>
      <c r="L226" s="466">
        <v>140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18376</v>
      </c>
      <c r="E229" s="616"/>
      <c r="F229" s="616"/>
      <c r="G229" s="616"/>
      <c r="H229" s="616"/>
      <c r="I229" s="616"/>
      <c r="J229" s="616"/>
      <c r="K229" s="1670">
        <f>SUM(K215:K228)</f>
        <v>18376</v>
      </c>
      <c r="L229" s="1670">
        <f>SUM(L215:L228)</f>
        <v>19340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586</v>
      </c>
      <c r="E232" s="616"/>
      <c r="F232" s="616"/>
      <c r="G232" s="616"/>
      <c r="H232" s="616"/>
      <c r="I232" s="616"/>
      <c r="J232" s="616"/>
      <c r="K232" s="1671">
        <f t="shared" ref="K232:K237" si="20">D232</f>
        <v>586</v>
      </c>
      <c r="L232" s="466"/>
    </row>
    <row r="233" spans="1:12" x14ac:dyDescent="0.2">
      <c r="A233" s="1504" t="s">
        <v>1090</v>
      </c>
      <c r="B233" s="614">
        <v>2120</v>
      </c>
      <c r="C233" s="616"/>
      <c r="D233" s="466"/>
      <c r="E233" s="616"/>
      <c r="F233" s="616"/>
      <c r="G233" s="616"/>
      <c r="H233" s="616"/>
      <c r="I233" s="616"/>
      <c r="J233" s="616"/>
      <c r="K233" s="1671">
        <f t="shared" si="20"/>
        <v>0</v>
      </c>
      <c r="L233" s="466">
        <v>625</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586</v>
      </c>
      <c r="E238" s="616"/>
      <c r="F238" s="616"/>
      <c r="G238" s="616"/>
      <c r="H238" s="616"/>
      <c r="I238" s="616"/>
      <c r="J238" s="616"/>
      <c r="K238" s="1670">
        <f>SUM(K232:K237)</f>
        <v>586</v>
      </c>
      <c r="L238" s="1670">
        <f>SUM(L232:L237)</f>
        <v>625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551</v>
      </c>
      <c r="E241" s="616"/>
      <c r="F241" s="616"/>
      <c r="G241" s="616"/>
      <c r="H241" s="616"/>
      <c r="I241" s="616"/>
      <c r="J241" s="616"/>
      <c r="K241" s="1672">
        <f>D241</f>
        <v>551</v>
      </c>
      <c r="L241" s="466">
        <v>600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551</v>
      </c>
      <c r="E243" s="616"/>
      <c r="F243" s="616"/>
      <c r="G243" s="616"/>
      <c r="H243" s="616"/>
      <c r="I243" s="616"/>
      <c r="J243" s="616"/>
      <c r="K243" s="1670">
        <f>SUM(K240:K242)</f>
        <v>551</v>
      </c>
      <c r="L243" s="1670">
        <f>SUM(L240:L242)</f>
        <v>600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79</v>
      </c>
      <c r="E245" s="616"/>
      <c r="F245" s="616"/>
      <c r="G245" s="616"/>
      <c r="H245" s="616"/>
      <c r="I245" s="616"/>
      <c r="J245" s="616"/>
      <c r="K245" s="1672">
        <f>D245</f>
        <v>79</v>
      </c>
      <c r="L245" s="481">
        <v>1300</v>
      </c>
    </row>
    <row r="246" spans="1:12" x14ac:dyDescent="0.2">
      <c r="A246" s="1504" t="s">
        <v>818</v>
      </c>
      <c r="B246" s="614">
        <v>2320</v>
      </c>
      <c r="C246" s="616"/>
      <c r="D246" s="466">
        <v>1051</v>
      </c>
      <c r="E246" s="616"/>
      <c r="F246" s="616"/>
      <c r="G246" s="616"/>
      <c r="H246" s="616"/>
      <c r="I246" s="616"/>
      <c r="J246" s="616"/>
      <c r="K246" s="1672">
        <f t="shared" ref="K246:K256" si="21">D246</f>
        <v>1051</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8411</v>
      </c>
      <c r="E254" s="616"/>
      <c r="F254" s="616"/>
      <c r="G254" s="616"/>
      <c r="H254" s="616"/>
      <c r="I254" s="616"/>
      <c r="J254" s="616"/>
      <c r="K254" s="1672">
        <f t="shared" si="21"/>
        <v>8411</v>
      </c>
      <c r="L254" s="466">
        <v>9000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9541</v>
      </c>
      <c r="E257" s="616"/>
      <c r="F257" s="616"/>
      <c r="G257" s="616"/>
      <c r="H257" s="616"/>
      <c r="I257" s="616"/>
      <c r="J257" s="616"/>
      <c r="K257" s="1670">
        <f>SUM(K245:K256)</f>
        <v>9541</v>
      </c>
      <c r="L257" s="1670">
        <f>SUM(L245:L256)</f>
        <v>10300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17631</v>
      </c>
      <c r="E259" s="616"/>
      <c r="F259" s="616"/>
      <c r="G259" s="616"/>
      <c r="H259" s="616"/>
      <c r="I259" s="616"/>
      <c r="J259" s="616"/>
      <c r="K259" s="1672">
        <f>D259</f>
        <v>17631</v>
      </c>
      <c r="L259" s="481">
        <v>16250</v>
      </c>
    </row>
    <row r="260" spans="1:14" s="597" customFormat="1" x14ac:dyDescent="0.2">
      <c r="A260" s="1522" t="s">
        <v>1804</v>
      </c>
      <c r="B260" s="628">
        <v>2490</v>
      </c>
      <c r="C260" s="616"/>
      <c r="D260" s="466"/>
      <c r="E260" s="616"/>
      <c r="F260" s="616"/>
      <c r="G260" s="616"/>
      <c r="H260" s="616"/>
      <c r="I260" s="616"/>
      <c r="J260" s="616"/>
      <c r="K260" s="1672">
        <f>D260</f>
        <v>0</v>
      </c>
      <c r="L260" s="466">
        <v>2000</v>
      </c>
      <c r="M260" s="210"/>
      <c r="N260" s="210"/>
    </row>
    <row r="261" spans="1:14" ht="12.75" customHeight="1" thickBot="1" x14ac:dyDescent="0.25">
      <c r="A261" s="1692" t="s">
        <v>263</v>
      </c>
      <c r="B261" s="1697" t="s">
        <v>34</v>
      </c>
      <c r="C261" s="616"/>
      <c r="D261" s="1670">
        <f>SUM(D259:D260)</f>
        <v>17631</v>
      </c>
      <c r="E261" s="616"/>
      <c r="F261" s="616"/>
      <c r="G261" s="616"/>
      <c r="H261" s="616"/>
      <c r="I261" s="616"/>
      <c r="J261" s="616"/>
      <c r="K261" s="1670">
        <f>SUM(K259:K260)</f>
        <v>17631</v>
      </c>
      <c r="L261" s="1670">
        <f>SUM(L259:L260)</f>
        <v>18250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5084</v>
      </c>
      <c r="E264" s="616"/>
      <c r="F264" s="616"/>
      <c r="G264" s="616"/>
      <c r="H264" s="616"/>
      <c r="I264" s="616"/>
      <c r="J264" s="616"/>
      <c r="K264" s="1672">
        <f t="shared" ref="K264:K269" si="22">D264</f>
        <v>5084</v>
      </c>
      <c r="L264" s="466">
        <v>5500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30044</v>
      </c>
      <c r="E266" s="616"/>
      <c r="F266" s="616"/>
      <c r="G266" s="616"/>
      <c r="H266" s="616"/>
      <c r="I266" s="616"/>
      <c r="J266" s="616"/>
      <c r="K266" s="1672">
        <f t="shared" si="22"/>
        <v>30044</v>
      </c>
      <c r="L266" s="466">
        <v>32500</v>
      </c>
    </row>
    <row r="267" spans="1:14" x14ac:dyDescent="0.2">
      <c r="A267" s="1504" t="s">
        <v>953</v>
      </c>
      <c r="B267" s="614">
        <v>2550</v>
      </c>
      <c r="C267" s="616"/>
      <c r="D267" s="466">
        <v>10090</v>
      </c>
      <c r="E267" s="616"/>
      <c r="F267" s="616"/>
      <c r="G267" s="616"/>
      <c r="H267" s="616"/>
      <c r="I267" s="616"/>
      <c r="J267" s="616"/>
      <c r="K267" s="1672">
        <f t="shared" si="22"/>
        <v>10090</v>
      </c>
      <c r="L267" s="466">
        <v>11000</v>
      </c>
    </row>
    <row r="268" spans="1:14" x14ac:dyDescent="0.2">
      <c r="A268" s="1504" t="s">
        <v>100</v>
      </c>
      <c r="B268" s="614">
        <v>2560</v>
      </c>
      <c r="C268" s="616"/>
      <c r="D268" s="466">
        <v>11994</v>
      </c>
      <c r="E268" s="616"/>
      <c r="F268" s="616"/>
      <c r="G268" s="616"/>
      <c r="H268" s="616"/>
      <c r="I268" s="616"/>
      <c r="J268" s="616"/>
      <c r="K268" s="1672">
        <f t="shared" si="22"/>
        <v>11994</v>
      </c>
      <c r="L268" s="466">
        <v>14000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57212</v>
      </c>
      <c r="E270" s="616"/>
      <c r="F270" s="616"/>
      <c r="G270" s="616"/>
      <c r="H270" s="616"/>
      <c r="I270" s="616"/>
      <c r="J270" s="616"/>
      <c r="K270" s="1670">
        <f>SUM(K263:K269)</f>
        <v>57212</v>
      </c>
      <c r="L270" s="1670">
        <f>SUM(L263:L269)</f>
        <v>63000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v>7780</v>
      </c>
      <c r="E276" s="616"/>
      <c r="F276" s="616"/>
      <c r="G276" s="616"/>
      <c r="H276" s="616"/>
      <c r="I276" s="616"/>
      <c r="J276" s="616"/>
      <c r="K276" s="1672">
        <f>D276</f>
        <v>7780</v>
      </c>
      <c r="L276" s="466">
        <v>9000</v>
      </c>
    </row>
    <row r="277" spans="1:12" ht="12.75" customHeight="1" thickBot="1" x14ac:dyDescent="0.25">
      <c r="A277" s="1691" t="s">
        <v>37</v>
      </c>
      <c r="B277" s="1669" t="s">
        <v>36</v>
      </c>
      <c r="C277" s="616"/>
      <c r="D277" s="1670">
        <f>SUM(D272:D276)</f>
        <v>7780</v>
      </c>
      <c r="E277" s="616"/>
      <c r="F277" s="616"/>
      <c r="G277" s="616"/>
      <c r="H277" s="616"/>
      <c r="I277" s="616"/>
      <c r="J277" s="616"/>
      <c r="K277" s="1670">
        <f>SUM(K272:K276)</f>
        <v>7780</v>
      </c>
      <c r="L277" s="1670">
        <f>SUM(L272:L276)</f>
        <v>9000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93301</v>
      </c>
      <c r="E279" s="616"/>
      <c r="F279" s="616"/>
      <c r="G279" s="616"/>
      <c r="H279" s="616"/>
      <c r="I279" s="616"/>
      <c r="J279" s="616"/>
      <c r="K279" s="1677">
        <f>SUM(K238,K243,K257,K261,K270,K277,K278)</f>
        <v>93301</v>
      </c>
      <c r="L279" s="1677">
        <f>SUM(L238,L243,L257,L261,L270,L277,L278)</f>
        <v>101775</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111677</v>
      </c>
      <c r="E295" s="616"/>
      <c r="F295" s="616"/>
      <c r="G295" s="616"/>
      <c r="H295" s="1670">
        <f>H293</f>
        <v>0</v>
      </c>
      <c r="I295" s="616"/>
      <c r="J295" s="616"/>
      <c r="K295" s="1670">
        <f>SUM(K229,K279,K280,K285,K293,K294)</f>
        <v>111677</v>
      </c>
      <c r="L295" s="1670">
        <f>SUM(L229,L279,L280,L285,L293,L294)</f>
        <v>121115</v>
      </c>
    </row>
    <row r="296" spans="1:14" ht="13.5" thickTop="1" x14ac:dyDescent="0.2">
      <c r="A296" s="2185" t="s">
        <v>996</v>
      </c>
      <c r="B296" s="2186"/>
      <c r="C296" s="616"/>
      <c r="D296" s="618"/>
      <c r="E296" s="616"/>
      <c r="F296" s="616"/>
      <c r="G296" s="616"/>
      <c r="H296" s="687"/>
      <c r="I296" s="616"/>
      <c r="J296" s="616"/>
      <c r="K296" s="1684">
        <f>'Revenues 9-14'!G268-'Expenditures 15-22'!K295</f>
        <v>26387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18792</v>
      </c>
      <c r="F320" s="467"/>
      <c r="G320" s="467"/>
      <c r="H320" s="467"/>
      <c r="I320" s="467"/>
      <c r="J320" s="467"/>
      <c r="K320" s="1671">
        <f t="shared" ref="K320:K327" si="24">SUM(C320:J320)</f>
        <v>18792</v>
      </c>
      <c r="L320" s="467">
        <v>19500</v>
      </c>
      <c r="M320" s="665"/>
      <c r="N320" s="665"/>
    </row>
    <row r="321" spans="1:14" s="674" customFormat="1" x14ac:dyDescent="0.2">
      <c r="A321" s="1519" t="s">
        <v>300</v>
      </c>
      <c r="B321" s="697" t="s">
        <v>283</v>
      </c>
      <c r="C321" s="467"/>
      <c r="D321" s="467"/>
      <c r="E321" s="467">
        <v>3879</v>
      </c>
      <c r="F321" s="467"/>
      <c r="G321" s="467"/>
      <c r="H321" s="467"/>
      <c r="I321" s="467"/>
      <c r="J321" s="467"/>
      <c r="K321" s="1671">
        <f t="shared" si="24"/>
        <v>3879</v>
      </c>
      <c r="L321" s="467">
        <v>3000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85392</v>
      </c>
      <c r="D325" s="467">
        <v>5051</v>
      </c>
      <c r="E325" s="467">
        <v>16098</v>
      </c>
      <c r="F325" s="467"/>
      <c r="G325" s="467"/>
      <c r="H325" s="467"/>
      <c r="I325" s="467"/>
      <c r="J325" s="467"/>
      <c r="K325" s="1671">
        <f t="shared" si="24"/>
        <v>106541</v>
      </c>
      <c r="L325" s="467">
        <v>115500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26474</v>
      </c>
      <c r="F327" s="467"/>
      <c r="G327" s="467"/>
      <c r="H327" s="467"/>
      <c r="I327" s="467"/>
      <c r="J327" s="467"/>
      <c r="K327" s="1671">
        <f t="shared" si="24"/>
        <v>26474</v>
      </c>
      <c r="L327" s="467">
        <v>25000</v>
      </c>
      <c r="M327" s="665"/>
      <c r="N327" s="665"/>
    </row>
    <row r="328" spans="1:14" s="674" customFormat="1" x14ac:dyDescent="0.2">
      <c r="A328" s="1520" t="s">
        <v>472</v>
      </c>
      <c r="B328" s="690" t="s">
        <v>1132</v>
      </c>
      <c r="C328" s="474"/>
      <c r="D328" s="474"/>
      <c r="E328" s="474">
        <v>26137</v>
      </c>
      <c r="F328" s="474"/>
      <c r="G328" s="474"/>
      <c r="H328" s="474"/>
      <c r="I328" s="474"/>
      <c r="J328" s="474"/>
      <c r="K328" s="1699">
        <f>SUM(C328:J328)</f>
        <v>26137</v>
      </c>
      <c r="L328" s="474">
        <v>25000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85392</v>
      </c>
      <c r="D330" s="1670">
        <f t="shared" ref="D330:J330" si="25">SUM(D319:D329)</f>
        <v>5051</v>
      </c>
      <c r="E330" s="1670">
        <f t="shared" si="25"/>
        <v>91380</v>
      </c>
      <c r="F330" s="1670">
        <f t="shared" si="25"/>
        <v>0</v>
      </c>
      <c r="G330" s="1670">
        <f t="shared" si="25"/>
        <v>0</v>
      </c>
      <c r="H330" s="1670">
        <f t="shared" si="25"/>
        <v>0</v>
      </c>
      <c r="I330" s="1670">
        <f t="shared" si="25"/>
        <v>0</v>
      </c>
      <c r="J330" s="1670">
        <f t="shared" si="25"/>
        <v>0</v>
      </c>
      <c r="K330" s="1670">
        <f>SUM(K319:K329)</f>
        <v>181823</v>
      </c>
      <c r="L330" s="1670">
        <f>SUM(L319:L329)</f>
        <v>188000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85392</v>
      </c>
      <c r="D342" s="1670">
        <f>SUM(D330)</f>
        <v>5051</v>
      </c>
      <c r="E342" s="1670">
        <f>SUM(E330)</f>
        <v>91380</v>
      </c>
      <c r="F342" s="1670">
        <f>SUM(F330)</f>
        <v>0</v>
      </c>
      <c r="G342" s="1670">
        <f>SUM(G330)</f>
        <v>0</v>
      </c>
      <c r="H342" s="1670">
        <f>SUM(H330,H334,H340)</f>
        <v>0</v>
      </c>
      <c r="I342" s="1670">
        <f>SUM(I330)</f>
        <v>0</v>
      </c>
      <c r="J342" s="1670">
        <f>SUM(J330)</f>
        <v>0</v>
      </c>
      <c r="K342" s="1670">
        <f>SUM(K330,K334,K340)</f>
        <v>181823</v>
      </c>
      <c r="L342" s="1677">
        <f>SUM(L330,L334,L340,L341)</f>
        <v>188000</v>
      </c>
    </row>
    <row r="343" spans="1:14" ht="12.75" customHeight="1" thickTop="1" x14ac:dyDescent="0.2">
      <c r="A343" s="2171" t="s">
        <v>996</v>
      </c>
      <c r="B343" s="2172"/>
      <c r="C343" s="616"/>
      <c r="D343" s="616"/>
      <c r="E343" s="616"/>
      <c r="F343" s="616"/>
      <c r="G343" s="616"/>
      <c r="H343" s="616"/>
      <c r="I343" s="616"/>
      <c r="J343" s="616"/>
      <c r="K343" s="1684">
        <f>'Revenues 9-14'!J268-'Expenditures 15-22'!K342</f>
        <v>63291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v>100000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100000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100000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100000</v>
      </c>
    </row>
    <row r="368" spans="1:14" ht="13.5" thickTop="1" x14ac:dyDescent="0.2">
      <c r="A368" s="2185" t="s">
        <v>996</v>
      </c>
      <c r="B368" s="2186"/>
      <c r="C368" s="654"/>
      <c r="D368" s="654"/>
      <c r="E368" s="626"/>
      <c r="F368" s="626"/>
      <c r="G368" s="626"/>
      <c r="H368" s="626"/>
      <c r="I368" s="626"/>
      <c r="J368" s="623"/>
      <c r="K368" s="1671">
        <f>'Revenues 9-14'!K268-'Expenditures 15-22'!K367</f>
        <v>252</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1543412</v>
      </c>
      <c r="C4" s="1524"/>
      <c r="D4" s="1752">
        <f>B4-C4</f>
        <v>1543412</v>
      </c>
      <c r="E4" s="1524">
        <v>1623148</v>
      </c>
      <c r="F4" s="1752">
        <f>E4-C4</f>
        <v>1623148</v>
      </c>
    </row>
    <row r="5" spans="1:6" ht="13.7" customHeight="1" x14ac:dyDescent="0.2">
      <c r="A5" s="715" t="s">
        <v>870</v>
      </c>
      <c r="B5" s="1750">
        <f>'Revenues 9-14'!D5</f>
        <v>200444</v>
      </c>
      <c r="C5" s="585"/>
      <c r="D5" s="1753">
        <f t="shared" ref="D5:D18" si="0">B5-C5</f>
        <v>200444</v>
      </c>
      <c r="E5" s="585">
        <v>208744</v>
      </c>
      <c r="F5" s="1753">
        <f>E5-C5</f>
        <v>208744</v>
      </c>
    </row>
    <row r="6" spans="1:6" ht="13.7" customHeight="1" x14ac:dyDescent="0.2">
      <c r="A6" s="715" t="s">
        <v>411</v>
      </c>
      <c r="B6" s="1750">
        <f>'Revenues 9-14'!E5</f>
        <v>145457</v>
      </c>
      <c r="C6" s="585"/>
      <c r="D6" s="1753">
        <f t="shared" si="0"/>
        <v>145457</v>
      </c>
      <c r="E6" s="585">
        <v>84790</v>
      </c>
      <c r="F6" s="1753">
        <f t="shared" ref="F6:F18" si="1">E6-C6</f>
        <v>84790</v>
      </c>
    </row>
    <row r="7" spans="1:6" ht="13.7" customHeight="1" x14ac:dyDescent="0.2">
      <c r="A7" s="715" t="s">
        <v>155</v>
      </c>
      <c r="B7" s="1750">
        <f>'Revenues 9-14'!F5</f>
        <v>80177</v>
      </c>
      <c r="C7" s="585"/>
      <c r="D7" s="1753">
        <f t="shared" si="0"/>
        <v>80177</v>
      </c>
      <c r="E7" s="585">
        <v>84798</v>
      </c>
      <c r="F7" s="1753">
        <f t="shared" si="1"/>
        <v>84798</v>
      </c>
    </row>
    <row r="8" spans="1:6" ht="13.7" customHeight="1" x14ac:dyDescent="0.2">
      <c r="A8" s="715" t="s">
        <v>1179</v>
      </c>
      <c r="B8" s="1750">
        <f>'Revenues 9-14'!G5</f>
        <v>66939</v>
      </c>
      <c r="C8" s="585"/>
      <c r="D8" s="1753">
        <f t="shared" si="0"/>
        <v>66939</v>
      </c>
      <c r="E8" s="585">
        <v>63785</v>
      </c>
      <c r="F8" s="1753">
        <f t="shared" si="1"/>
        <v>63785</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20044</v>
      </c>
      <c r="C10" s="585"/>
      <c r="D10" s="1753">
        <f t="shared" si="0"/>
        <v>20044</v>
      </c>
      <c r="E10" s="585">
        <v>21200</v>
      </c>
      <c r="F10" s="1753">
        <f t="shared" si="1"/>
        <v>21200</v>
      </c>
    </row>
    <row r="11" spans="1:6" x14ac:dyDescent="0.2">
      <c r="A11" s="715" t="s">
        <v>409</v>
      </c>
      <c r="B11" s="1750">
        <f>'Revenues 9-14'!J5</f>
        <v>244774</v>
      </c>
      <c r="C11" s="585"/>
      <c r="D11" s="1753">
        <f t="shared" si="0"/>
        <v>244774</v>
      </c>
      <c r="E11" s="585">
        <v>196567</v>
      </c>
      <c r="F11" s="1753">
        <f t="shared" si="1"/>
        <v>196567</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16036</v>
      </c>
      <c r="C14" s="585"/>
      <c r="D14" s="1753">
        <f t="shared" si="0"/>
        <v>16036</v>
      </c>
      <c r="E14" s="585">
        <v>16960</v>
      </c>
      <c r="F14" s="1753">
        <f t="shared" si="1"/>
        <v>16960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66939</v>
      </c>
      <c r="C16" s="585"/>
      <c r="D16" s="1753">
        <f t="shared" si="0"/>
        <v>66939</v>
      </c>
      <c r="E16" s="585">
        <v>63938</v>
      </c>
      <c r="F16" s="1753">
        <f t="shared" si="1"/>
        <v>63938</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2384222</v>
      </c>
      <c r="C19" s="1751">
        <f>SUM(C4:C18)</f>
        <v>0</v>
      </c>
      <c r="D19" s="1751">
        <f>SUM(D4:D18)</f>
        <v>2384222</v>
      </c>
      <c r="E19" s="1751">
        <f>SUM(E4:E18)</f>
        <v>2363930</v>
      </c>
      <c r="F19" s="1751">
        <f>SUM(F4:F18)</f>
        <v>2363930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4"/>
      <c r="C1" s="721"/>
    </row>
    <row r="2" spans="1:7" ht="33.75" x14ac:dyDescent="0.2">
      <c r="A2" s="2202" t="s">
        <v>1802</v>
      </c>
      <c r="B2" s="2203"/>
      <c r="C2" s="1884" t="s">
        <v>1954</v>
      </c>
      <c r="D2" s="723" t="s">
        <v>1955</v>
      </c>
      <c r="E2" s="723" t="s">
        <v>1956</v>
      </c>
      <c r="F2" s="1884" t="s">
        <v>1957</v>
      </c>
    </row>
    <row r="3" spans="1:7" ht="15.75" customHeight="1" x14ac:dyDescent="0.2">
      <c r="A3" s="2206" t="s">
        <v>1114</v>
      </c>
      <c r="B3" s="2207"/>
      <c r="C3" s="2195"/>
      <c r="D3" s="2196"/>
      <c r="E3" s="2196"/>
      <c r="F3" s="2197"/>
    </row>
    <row r="4" spans="1:7" ht="12.75" customHeight="1" thickBot="1" x14ac:dyDescent="0.25">
      <c r="A4" s="2204" t="s">
        <v>630</v>
      </c>
      <c r="B4" s="2205"/>
      <c r="C4" s="581"/>
      <c r="D4" s="581"/>
      <c r="E4" s="581"/>
      <c r="F4" s="1755">
        <f>SUM(C4+D4)-E4</f>
        <v>0</v>
      </c>
    </row>
    <row r="5" spans="1:7" ht="15.75" customHeight="1" thickTop="1" x14ac:dyDescent="0.2">
      <c r="A5" s="2189" t="s">
        <v>1110</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1" t="s">
        <v>631</v>
      </c>
      <c r="B15" s="2192"/>
      <c r="C15" s="1755">
        <f>SUM(C6:C14)</f>
        <v>0</v>
      </c>
      <c r="D15" s="1755">
        <f>SUM(D6:D14)</f>
        <v>0</v>
      </c>
      <c r="E15" s="1755">
        <f>SUM(E6:E14)</f>
        <v>0</v>
      </c>
      <c r="F15" s="1755">
        <f>SUM(F6:F14)</f>
        <v>0</v>
      </c>
      <c r="G15" s="552"/>
    </row>
    <row r="16" spans="1:7" s="202" customFormat="1" ht="15.75" customHeight="1" thickTop="1" x14ac:dyDescent="0.2">
      <c r="A16" s="2201" t="s">
        <v>1111</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388</v>
      </c>
      <c r="B19" s="2215"/>
      <c r="C19" s="726"/>
      <c r="D19" s="585"/>
      <c r="E19" s="726"/>
      <c r="F19" s="1755">
        <f>SUM(C19+D19)-E19</f>
        <v>0</v>
      </c>
    </row>
    <row r="20" spans="1:11" ht="12.75" customHeight="1" thickTop="1" thickBot="1" x14ac:dyDescent="0.25">
      <c r="A20" s="2214" t="s">
        <v>448</v>
      </c>
      <c r="B20" s="2215"/>
      <c r="C20" s="726"/>
      <c r="D20" s="585"/>
      <c r="E20" s="726"/>
      <c r="F20" s="1755">
        <f>SUM(C20+D20)-E20</f>
        <v>0</v>
      </c>
    </row>
    <row r="21" spans="1:11" ht="14.25" thickTop="1" thickBot="1" x14ac:dyDescent="0.25">
      <c r="A21" s="2191" t="s">
        <v>632</v>
      </c>
      <c r="B21" s="2192"/>
      <c r="C21" s="1755">
        <f>SUM(C17:C20)</f>
        <v>0</v>
      </c>
      <c r="D21" s="1755">
        <f>SUM(D17:D20)</f>
        <v>0</v>
      </c>
      <c r="E21" s="1755">
        <f>SUM(E17:E20)</f>
        <v>0</v>
      </c>
      <c r="F21" s="1755">
        <f>SUM(F17:F20)</f>
        <v>0</v>
      </c>
      <c r="G21" s="552"/>
    </row>
    <row r="22" spans="1:11" ht="15.75" customHeight="1" thickTop="1" x14ac:dyDescent="0.2">
      <c r="A22" s="2216" t="s">
        <v>1112</v>
      </c>
      <c r="B22" s="2190"/>
      <c r="C22" s="2198"/>
      <c r="D22" s="2199"/>
      <c r="E22" s="2199"/>
      <c r="F22" s="2200"/>
    </row>
    <row r="23" spans="1:11" ht="13.5" thickBot="1" x14ac:dyDescent="0.25">
      <c r="A23" s="2204" t="s">
        <v>633</v>
      </c>
      <c r="B23" s="2205"/>
      <c r="C23" s="581"/>
      <c r="D23" s="581"/>
      <c r="E23" s="581"/>
      <c r="F23" s="1755">
        <f>SUM(C23+D23)-E23</f>
        <v>0</v>
      </c>
      <c r="G23" s="552"/>
    </row>
    <row r="24" spans="1:11" ht="15.75" customHeight="1" thickTop="1" x14ac:dyDescent="0.2">
      <c r="A24" s="2216" t="s">
        <v>1113</v>
      </c>
      <c r="B24" s="2190"/>
      <c r="C24" s="2198"/>
      <c r="D24" s="2199"/>
      <c r="E24" s="2199"/>
      <c r="F24" s="2200"/>
    </row>
    <row r="25" spans="1:11" ht="13.5" thickBot="1" x14ac:dyDescent="0.25">
      <c r="A25" s="2204" t="s">
        <v>634</v>
      </c>
      <c r="B25" s="2205"/>
      <c r="C25" s="581"/>
      <c r="D25" s="581"/>
      <c r="E25" s="581"/>
      <c r="F25" s="1755">
        <f>SUM(C25+D25)-E25</f>
        <v>0</v>
      </c>
      <c r="G25" s="552"/>
    </row>
    <row r="26" spans="1:11" ht="15.75" customHeight="1" thickTop="1" x14ac:dyDescent="0.2">
      <c r="A26" s="2189" t="s">
        <v>657</v>
      </c>
      <c r="B26" s="2190"/>
      <c r="C26" s="727"/>
      <c r="D26" s="727"/>
      <c r="E26" s="727"/>
      <c r="F26" s="728"/>
    </row>
    <row r="27" spans="1:11" ht="13.5" thickBot="1" x14ac:dyDescent="0.25">
      <c r="A27" s="2191" t="s">
        <v>1070</v>
      </c>
      <c r="B27" s="2192"/>
      <c r="C27" s="585"/>
      <c r="D27" s="585"/>
      <c r="E27" s="585"/>
      <c r="F27" s="1755">
        <f>SUM(C27+D27)-E27</f>
        <v>0</v>
      </c>
      <c r="G27" s="552"/>
    </row>
    <row r="28" spans="1:11" ht="7.5" customHeight="1" thickTop="1" x14ac:dyDescent="0.2">
      <c r="A28" s="593"/>
    </row>
    <row r="29" spans="1:11" ht="23.25" customHeight="1" x14ac:dyDescent="0.2">
      <c r="A29" s="2217" t="s">
        <v>582</v>
      </c>
      <c r="B29" s="2194"/>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42803</v>
      </c>
      <c r="C31" s="734">
        <v>146000</v>
      </c>
      <c r="D31" s="735">
        <v>1</v>
      </c>
      <c r="E31" s="734">
        <v>137000</v>
      </c>
      <c r="F31" s="734"/>
      <c r="G31" s="734"/>
      <c r="H31" s="734">
        <v>137000</v>
      </c>
      <c r="I31" s="1756">
        <f>((E31+F31)-H31)+G31</f>
        <v>0</v>
      </c>
      <c r="J31" s="734"/>
      <c r="K31" s="736"/>
    </row>
    <row r="32" spans="1:11" ht="12" customHeight="1" x14ac:dyDescent="0.2">
      <c r="A32" s="732" t="s">
        <v>2084</v>
      </c>
      <c r="B32" s="733">
        <v>42803</v>
      </c>
      <c r="C32" s="734">
        <v>200000</v>
      </c>
      <c r="D32" s="735">
        <v>4</v>
      </c>
      <c r="E32" s="734">
        <v>82000</v>
      </c>
      <c r="F32" s="734"/>
      <c r="G32" s="734"/>
      <c r="H32" s="734"/>
      <c r="I32" s="1756">
        <f>((E32+F32)-H32)+G32</f>
        <v>82000</v>
      </c>
      <c r="J32" s="734">
        <v>73854</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346000</v>
      </c>
      <c r="D49" s="745"/>
      <c r="E49" s="1756">
        <f t="shared" ref="E49:J49" si="2">SUM(E31:E48)</f>
        <v>219000</v>
      </c>
      <c r="F49" s="1756">
        <f t="shared" si="2"/>
        <v>0</v>
      </c>
      <c r="G49" s="1756">
        <f t="shared" si="2"/>
        <v>0</v>
      </c>
      <c r="H49" s="1756">
        <f t="shared" si="2"/>
        <v>137000</v>
      </c>
      <c r="I49" s="1756">
        <f t="shared" si="2"/>
        <v>82000</v>
      </c>
      <c r="J49" s="1756">
        <f t="shared" si="2"/>
        <v>73854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8" t="s">
        <v>584</v>
      </c>
      <c r="C52" s="2209"/>
      <c r="D52" s="2209"/>
      <c r="E52" s="749" t="s">
        <v>845</v>
      </c>
      <c r="F52" s="2210"/>
      <c r="G52" s="2211"/>
      <c r="H52" s="736"/>
      <c r="I52" s="736"/>
      <c r="J52" s="746"/>
    </row>
    <row r="53" spans="1:11" ht="11.25" customHeight="1" x14ac:dyDescent="0.2">
      <c r="A53" s="750" t="s">
        <v>913</v>
      </c>
      <c r="B53" s="751" t="s">
        <v>951</v>
      </c>
      <c r="C53" s="746"/>
      <c r="D53" s="737"/>
      <c r="E53" s="749" t="s">
        <v>497</v>
      </c>
      <c r="F53" s="2212"/>
      <c r="G53" s="2213"/>
      <c r="H53" s="736"/>
      <c r="I53" s="736"/>
      <c r="J53" s="746"/>
    </row>
    <row r="54" spans="1:11" ht="11.25" customHeight="1" x14ac:dyDescent="0.2">
      <c r="A54" s="752" t="s">
        <v>914</v>
      </c>
      <c r="B54" s="747" t="s">
        <v>952</v>
      </c>
      <c r="C54" s="746"/>
      <c r="D54" s="737"/>
      <c r="E54" s="749" t="s">
        <v>498</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856</v>
      </c>
      <c r="B1" s="2243"/>
      <c r="C1" s="2243"/>
      <c r="D1" s="2243"/>
      <c r="E1" s="2243"/>
      <c r="F1" s="2243"/>
      <c r="G1" s="2244"/>
      <c r="H1" s="1530"/>
      <c r="I1" s="760"/>
      <c r="J1" s="433"/>
    </row>
    <row r="2" spans="1:11" ht="26.25" x14ac:dyDescent="0.2">
      <c r="A2" s="2221" t="s">
        <v>1677</v>
      </c>
      <c r="B2" s="2222"/>
      <c r="C2" s="2222"/>
      <c r="D2" s="2222"/>
      <c r="E2" s="2223"/>
      <c r="F2" s="761" t="s">
        <v>904</v>
      </c>
      <c r="G2" s="762" t="s">
        <v>1674</v>
      </c>
      <c r="H2" s="762" t="s">
        <v>410</v>
      </c>
      <c r="I2" s="762" t="s">
        <v>1158</v>
      </c>
      <c r="J2" s="762" t="s">
        <v>1812</v>
      </c>
      <c r="K2" s="762" t="s">
        <v>138</v>
      </c>
    </row>
    <row r="3" spans="1:11" x14ac:dyDescent="0.2">
      <c r="A3" s="2224" t="s">
        <v>1962</v>
      </c>
      <c r="B3" s="2225"/>
      <c r="C3" s="2225"/>
      <c r="D3" s="2225"/>
      <c r="E3" s="2226"/>
      <c r="F3" s="763"/>
      <c r="G3" s="764"/>
      <c r="H3" s="764"/>
      <c r="I3" s="764"/>
      <c r="J3" s="765"/>
      <c r="K3" s="765"/>
    </row>
    <row r="4" spans="1:11" x14ac:dyDescent="0.2">
      <c r="A4" s="2227" t="s">
        <v>369</v>
      </c>
      <c r="B4" s="2228"/>
      <c r="C4" s="2228"/>
      <c r="D4" s="2228"/>
      <c r="E4" s="2209"/>
      <c r="F4" s="766"/>
      <c r="G4" s="767"/>
      <c r="H4" s="768"/>
      <c r="I4" s="767"/>
      <c r="J4" s="769"/>
      <c r="K4" s="769"/>
    </row>
    <row r="5" spans="1:11" x14ac:dyDescent="0.2">
      <c r="A5" s="2245" t="s">
        <v>1069</v>
      </c>
      <c r="B5" s="2218"/>
      <c r="C5" s="2218"/>
      <c r="D5" s="2218"/>
      <c r="E5" s="2246"/>
      <c r="F5" s="770" t="s">
        <v>848</v>
      </c>
      <c r="G5" s="771"/>
      <c r="H5" s="764">
        <v>16036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685</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2538</v>
      </c>
    </row>
    <row r="10" spans="1:11" x14ac:dyDescent="0.2">
      <c r="A10" s="2245" t="s">
        <v>1813</v>
      </c>
      <c r="B10" s="2218"/>
      <c r="C10" s="2218"/>
      <c r="D10" s="2218"/>
      <c r="E10" s="2247"/>
      <c r="F10" s="783" t="s">
        <v>862</v>
      </c>
      <c r="G10" s="782"/>
      <c r="H10" s="784"/>
      <c r="I10" s="764"/>
      <c r="J10" s="765"/>
      <c r="K10" s="765"/>
    </row>
    <row r="11" spans="1:11" x14ac:dyDescent="0.2">
      <c r="A11" s="2245" t="s">
        <v>160</v>
      </c>
      <c r="B11" s="2218"/>
      <c r="C11" s="2218"/>
      <c r="D11" s="2218"/>
      <c r="E11" s="2246"/>
      <c r="F11" s="770" t="s">
        <v>852</v>
      </c>
      <c r="G11" s="771"/>
      <c r="H11" s="764"/>
      <c r="I11" s="764"/>
      <c r="J11" s="765"/>
      <c r="K11" s="773"/>
    </row>
    <row r="12" spans="1:11" ht="13.5" thickBot="1" x14ac:dyDescent="0.25">
      <c r="A12" s="2235" t="s">
        <v>905</v>
      </c>
      <c r="B12" s="2236"/>
      <c r="C12" s="2236"/>
      <c r="D12" s="2236"/>
      <c r="E12" s="2237"/>
      <c r="F12" s="1757"/>
      <c r="G12" s="1758">
        <f>SUM(G5:G11)</f>
        <v>0</v>
      </c>
      <c r="H12" s="1758">
        <f>SUM(H5:H11)</f>
        <v>16036</v>
      </c>
      <c r="I12" s="1758">
        <f>SUM(I5:I11)</f>
        <v>0</v>
      </c>
      <c r="J12" s="1758">
        <f>SUM(J5:J11)</f>
        <v>0</v>
      </c>
      <c r="K12" s="1758">
        <f>SUM(K5:K11)</f>
        <v>3223</v>
      </c>
    </row>
    <row r="13" spans="1:11" ht="13.5" thickTop="1" x14ac:dyDescent="0.2">
      <c r="A13" s="2229" t="s">
        <v>370</v>
      </c>
      <c r="B13" s="2230"/>
      <c r="C13" s="2230"/>
      <c r="D13" s="2230"/>
      <c r="E13" s="2231"/>
      <c r="F13" s="785"/>
      <c r="G13" s="786"/>
      <c r="H13" s="787"/>
      <c r="I13" s="788"/>
      <c r="J13" s="788"/>
      <c r="K13" s="788"/>
    </row>
    <row r="14" spans="1:11" x14ac:dyDescent="0.2">
      <c r="A14" s="2251" t="s">
        <v>456</v>
      </c>
      <c r="B14" s="2251"/>
      <c r="C14" s="2251"/>
      <c r="D14" s="2251"/>
      <c r="E14" s="2252"/>
      <c r="F14" s="789" t="s">
        <v>854</v>
      </c>
      <c r="G14" s="782"/>
      <c r="H14" s="764">
        <v>16036</v>
      </c>
      <c r="I14" s="771"/>
      <c r="J14" s="773"/>
      <c r="K14" s="765">
        <v>3223</v>
      </c>
    </row>
    <row r="15" spans="1:11" x14ac:dyDescent="0.2">
      <c r="A15" s="2218" t="s">
        <v>4</v>
      </c>
      <c r="B15" s="2218"/>
      <c r="C15" s="2218"/>
      <c r="D15" s="2218"/>
      <c r="E15" s="2246"/>
      <c r="F15" s="789" t="s">
        <v>855</v>
      </c>
      <c r="G15" s="771"/>
      <c r="H15" s="764"/>
      <c r="I15" s="764"/>
      <c r="J15" s="765"/>
      <c r="K15" s="765"/>
    </row>
    <row r="16" spans="1:11" x14ac:dyDescent="0.2">
      <c r="A16" s="2218" t="s">
        <v>298</v>
      </c>
      <c r="B16" s="2218"/>
      <c r="C16" s="2218"/>
      <c r="D16" s="2218"/>
      <c r="E16" s="2246"/>
      <c r="F16" s="789" t="s">
        <v>923</v>
      </c>
      <c r="G16" s="772"/>
      <c r="H16" s="767"/>
      <c r="I16" s="767"/>
      <c r="J16" s="769"/>
      <c r="K16" s="769"/>
    </row>
    <row r="17" spans="1:11" x14ac:dyDescent="0.2">
      <c r="A17" s="2240" t="s">
        <v>935</v>
      </c>
      <c r="B17" s="2240"/>
      <c r="C17" s="2240"/>
      <c r="D17" s="2240"/>
      <c r="E17" s="2241"/>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53" t="s">
        <v>1809</v>
      </c>
      <c r="B19" s="2253"/>
      <c r="C19" s="2253"/>
      <c r="D19" s="2253"/>
      <c r="E19" s="2254"/>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38" t="s">
        <v>638</v>
      </c>
      <c r="B21" s="2238"/>
      <c r="C21" s="2238"/>
      <c r="D21" s="2238"/>
      <c r="E21" s="2238"/>
      <c r="F21" s="1759"/>
      <c r="G21" s="792"/>
      <c r="H21" s="796"/>
      <c r="I21" s="796"/>
      <c r="J21" s="1760">
        <f>SUM(J18:J20)</f>
        <v>0</v>
      </c>
      <c r="K21" s="793"/>
    </row>
    <row r="22" spans="1:11" ht="13.5" thickTop="1" x14ac:dyDescent="0.2">
      <c r="A22" s="2218" t="s">
        <v>1815</v>
      </c>
      <c r="B22" s="2218"/>
      <c r="C22" s="2218"/>
      <c r="D22" s="2218"/>
      <c r="E22" s="2246"/>
      <c r="F22" s="789" t="s">
        <v>862</v>
      </c>
      <c r="G22" s="782"/>
      <c r="H22" s="764"/>
      <c r="I22" s="764"/>
      <c r="J22" s="797"/>
      <c r="K22" s="765"/>
    </row>
    <row r="23" spans="1:11" ht="13.5" thickBot="1" x14ac:dyDescent="0.25">
      <c r="A23" s="2239" t="s">
        <v>906</v>
      </c>
      <c r="B23" s="2238"/>
      <c r="C23" s="2238"/>
      <c r="D23" s="2238"/>
      <c r="E23" s="2238"/>
      <c r="F23" s="1761"/>
      <c r="G23" s="1758">
        <f>SUM(G14:G16,G21,G22)</f>
        <v>0</v>
      </c>
      <c r="H23" s="1758">
        <f>SUM(H14:H16,H21,H22)</f>
        <v>16036</v>
      </c>
      <c r="I23" s="1758">
        <f>SUM(I14:I16,I21,I22)</f>
        <v>0</v>
      </c>
      <c r="J23" s="1758">
        <f>SUM(J14:J16,J21,J22)</f>
        <v>0</v>
      </c>
      <c r="K23" s="1758">
        <f>SUM(K14:K16,K21,K22)</f>
        <v>3223</v>
      </c>
    </row>
    <row r="24" spans="1:11" ht="14.25" thickTop="1" thickBot="1" x14ac:dyDescent="0.25">
      <c r="A24" s="2239" t="s">
        <v>1963</v>
      </c>
      <c r="B24" s="2238"/>
      <c r="C24" s="2238"/>
      <c r="D24" s="2238"/>
      <c r="E24" s="2238"/>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19"/>
      <c r="C41" s="2219"/>
      <c r="D41" s="2219"/>
      <c r="E41" s="2219"/>
      <c r="F41" s="222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K32" sqref="K3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5362</v>
      </c>
      <c r="D5" s="841"/>
      <c r="E5" s="841"/>
      <c r="F5" s="1760">
        <f>(C5+D5)-E5</f>
        <v>5362</v>
      </c>
      <c r="G5" s="837"/>
      <c r="H5" s="842"/>
      <c r="I5" s="842"/>
      <c r="J5" s="842"/>
      <c r="K5" s="793"/>
      <c r="L5" s="1769">
        <f>F5-K5</f>
        <v>5362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3068594</v>
      </c>
      <c r="D8" s="844"/>
      <c r="E8" s="844"/>
      <c r="F8" s="1760">
        <f>(C8+D8)-E8</f>
        <v>3068594</v>
      </c>
      <c r="G8" s="843">
        <v>50</v>
      </c>
      <c r="H8" s="765">
        <v>1900542</v>
      </c>
      <c r="I8" s="765">
        <v>38314</v>
      </c>
      <c r="J8" s="765"/>
      <c r="K8" s="1769">
        <f>(H8+I8)-J8</f>
        <v>1938856</v>
      </c>
      <c r="L8" s="1769">
        <f>F8-K8</f>
        <v>1129738</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2075104</v>
      </c>
      <c r="D10" s="846"/>
      <c r="E10" s="846"/>
      <c r="F10" s="1764">
        <f>(C10+D10)-E10</f>
        <v>2075104</v>
      </c>
      <c r="G10" s="843">
        <v>20</v>
      </c>
      <c r="H10" s="847">
        <v>1438140</v>
      </c>
      <c r="I10" s="847">
        <v>98183</v>
      </c>
      <c r="J10" s="847"/>
      <c r="K10" s="1769">
        <f>(H10+I10)-J10</f>
        <v>1536323</v>
      </c>
      <c r="L10" s="1769">
        <f>F10-K10</f>
        <v>538781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1794864</v>
      </c>
      <c r="D12" s="844">
        <v>43876</v>
      </c>
      <c r="E12" s="844"/>
      <c r="F12" s="1760">
        <f>(C12+D12)-E12</f>
        <v>1838740</v>
      </c>
      <c r="G12" s="843">
        <v>10</v>
      </c>
      <c r="H12" s="765">
        <v>1439952</v>
      </c>
      <c r="I12" s="765">
        <v>67821</v>
      </c>
      <c r="J12" s="765"/>
      <c r="K12" s="1769">
        <f>(H12+I12)-J12</f>
        <v>1507773</v>
      </c>
      <c r="L12" s="1769">
        <f>F12-K12</f>
        <v>330967</v>
      </c>
    </row>
    <row r="13" spans="1:14" ht="14.25" thickTop="1" thickBot="1" x14ac:dyDescent="0.25">
      <c r="A13" s="848" t="s">
        <v>1122</v>
      </c>
      <c r="B13" s="840">
        <v>252</v>
      </c>
      <c r="C13" s="844">
        <v>513268</v>
      </c>
      <c r="D13" s="844"/>
      <c r="E13" s="844"/>
      <c r="F13" s="1760">
        <f>(C13+D13)-E13</f>
        <v>513268</v>
      </c>
      <c r="G13" s="843">
        <v>5</v>
      </c>
      <c r="H13" s="765">
        <v>287081</v>
      </c>
      <c r="I13" s="765">
        <v>82152</v>
      </c>
      <c r="J13" s="765"/>
      <c r="K13" s="1769">
        <f>(H13+I13)-J13</f>
        <v>369233</v>
      </c>
      <c r="L13" s="1769">
        <f>F13-K13</f>
        <v>144035</v>
      </c>
    </row>
    <row r="14" spans="1:14" ht="14.25" thickTop="1" thickBot="1" x14ac:dyDescent="0.25">
      <c r="A14" s="848" t="s">
        <v>1123</v>
      </c>
      <c r="B14" s="840">
        <v>253</v>
      </c>
      <c r="C14" s="765">
        <v>124142</v>
      </c>
      <c r="D14" s="765"/>
      <c r="E14" s="765"/>
      <c r="F14" s="1760">
        <f>(C14+D14)-E14</f>
        <v>124142</v>
      </c>
      <c r="G14" s="843">
        <v>3</v>
      </c>
      <c r="H14" s="765">
        <v>124142</v>
      </c>
      <c r="I14" s="765"/>
      <c r="J14" s="765"/>
      <c r="K14" s="1769">
        <f>(H14+I14)-J14</f>
        <v>124142</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7581334</v>
      </c>
      <c r="D16" s="1760">
        <f>SUM(D3,D5:D6,D8:D10,D12:D15)</f>
        <v>43876</v>
      </c>
      <c r="E16" s="1760">
        <f>SUM(E3,E5:E6,E8:E10,E12:E15)</f>
        <v>0</v>
      </c>
      <c r="F16" s="1760">
        <f>SUM(F3,F5:F6,F8:F10,F12:F15)</f>
        <v>7625210</v>
      </c>
      <c r="G16" s="843"/>
      <c r="H16" s="1760">
        <f>SUM(H3,H6,H8:H10,H12:H14,)</f>
        <v>5189857</v>
      </c>
      <c r="I16" s="1760">
        <f>SUM(I3,I6,I8:I10,I12:I14,)</f>
        <v>286470</v>
      </c>
      <c r="J16" s="1760">
        <f>SUM(J3,J6,J8:J10,J12:J14,)</f>
        <v>0</v>
      </c>
      <c r="K16" s="1760">
        <f>(H16+I16)-J16</f>
        <v>5476327</v>
      </c>
      <c r="L16" s="1760">
        <f>F16-K16</f>
        <v>2148883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286470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pane="bottomLeft"/>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2729778</v>
      </c>
      <c r="G8" s="865"/>
    </row>
    <row r="9" spans="1:7" x14ac:dyDescent="0.2">
      <c r="A9" s="869" t="s">
        <v>460</v>
      </c>
      <c r="B9" s="870" t="s">
        <v>1876</v>
      </c>
      <c r="C9" s="871"/>
      <c r="D9" s="869" t="s">
        <v>501</v>
      </c>
      <c r="E9" s="868"/>
      <c r="F9" s="1909">
        <f>'Expenditures 15-22'!K151</f>
        <v>150717</v>
      </c>
      <c r="G9" s="872"/>
    </row>
    <row r="10" spans="1:7" x14ac:dyDescent="0.2">
      <c r="A10" s="869" t="s">
        <v>499</v>
      </c>
      <c r="B10" s="870" t="s">
        <v>1877</v>
      </c>
      <c r="C10" s="871"/>
      <c r="D10" s="869" t="s">
        <v>501</v>
      </c>
      <c r="E10" s="868"/>
      <c r="F10" s="1909">
        <f>'Expenditures 15-22'!K174</f>
        <v>144449</v>
      </c>
      <c r="G10" s="872"/>
    </row>
    <row r="11" spans="1:7" x14ac:dyDescent="0.2">
      <c r="A11" s="869" t="s">
        <v>461</v>
      </c>
      <c r="B11" s="870" t="s">
        <v>1878</v>
      </c>
      <c r="C11" s="871"/>
      <c r="D11" s="869" t="s">
        <v>501</v>
      </c>
      <c r="E11" s="868"/>
      <c r="F11" s="1909">
        <f>'Expenditures 15-22'!K210</f>
        <v>264867</v>
      </c>
      <c r="G11" s="872"/>
    </row>
    <row r="12" spans="1:7" x14ac:dyDescent="0.2">
      <c r="A12" s="869" t="s">
        <v>462</v>
      </c>
      <c r="B12" s="870" t="s">
        <v>1879</v>
      </c>
      <c r="C12" s="871"/>
      <c r="D12" s="869" t="s">
        <v>501</v>
      </c>
      <c r="E12" s="868"/>
      <c r="F12" s="1909">
        <f>'Expenditures 15-22'!K295</f>
        <v>111677</v>
      </c>
      <c r="G12" s="872"/>
    </row>
    <row r="13" spans="1:7" x14ac:dyDescent="0.2">
      <c r="A13" s="869" t="s">
        <v>106</v>
      </c>
      <c r="B13" s="870" t="s">
        <v>1880</v>
      </c>
      <c r="C13" s="871"/>
      <c r="D13" s="869" t="s">
        <v>501</v>
      </c>
      <c r="E13" s="868"/>
      <c r="F13" s="1909">
        <f>'Expenditures 15-22'!K342</f>
        <v>181823</v>
      </c>
      <c r="G13" s="873"/>
    </row>
    <row r="14" spans="1:7" ht="12" customHeight="1" thickBot="1" x14ac:dyDescent="0.25">
      <c r="A14" s="1770"/>
      <c r="B14" s="1771"/>
      <c r="C14" s="1772"/>
      <c r="D14" s="1773" t="s">
        <v>501</v>
      </c>
      <c r="E14" s="1774" t="s">
        <v>958</v>
      </c>
      <c r="F14" s="1775">
        <f>SUM(F8:F13)</f>
        <v>3583311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4531</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295304</v>
      </c>
      <c r="G53" s="865"/>
    </row>
    <row r="54" spans="1:7" x14ac:dyDescent="0.2">
      <c r="A54" s="869" t="s">
        <v>459</v>
      </c>
      <c r="B54" s="869" t="s">
        <v>1476</v>
      </c>
      <c r="C54" s="889" t="s">
        <v>982</v>
      </c>
      <c r="D54" s="885" t="s">
        <v>1095</v>
      </c>
      <c r="E54" s="868"/>
      <c r="F54" s="1913">
        <f>'Expenditures 15-22'!G114</f>
        <v>43876</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137000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42354</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828</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523893</v>
      </c>
      <c r="G76" s="865"/>
    </row>
    <row r="77" spans="1:8" s="893" customFormat="1" ht="12" customHeight="1" thickTop="1" thickBot="1" x14ac:dyDescent="0.25">
      <c r="A77" s="1779"/>
      <c r="B77" s="1776"/>
      <c r="C77" s="1772"/>
      <c r="D77" s="1777" t="s">
        <v>1899</v>
      </c>
      <c r="E77" s="1774"/>
      <c r="F77" s="1780">
        <f>(F14-F76)</f>
        <v>3059418</v>
      </c>
      <c r="G77" s="869"/>
    </row>
    <row r="78" spans="1:8" s="893" customFormat="1" ht="12" customHeight="1" thickTop="1" x14ac:dyDescent="0.2">
      <c r="A78" s="1781"/>
      <c r="B78" s="1776"/>
      <c r="C78" s="1772"/>
      <c r="D78" s="1777" t="s">
        <v>2060</v>
      </c>
      <c r="E78" s="1774"/>
      <c r="F78" s="898">
        <v>257.3</v>
      </c>
      <c r="G78" s="899"/>
      <c r="H78" s="869"/>
    </row>
    <row r="79" spans="1:8" s="893" customFormat="1" ht="12" customHeight="1" thickBot="1" x14ac:dyDescent="0.25">
      <c r="A79" s="1782"/>
      <c r="B79" s="1776"/>
      <c r="C79" s="1772"/>
      <c r="D79" s="1777" t="s">
        <v>1900</v>
      </c>
      <c r="E79" s="1774" t="s">
        <v>958</v>
      </c>
      <c r="F79" s="1783">
        <f>IF(F78&gt;0,F77/F78," Complete Line 78")</f>
        <v>11890.470268169451</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36981</v>
      </c>
      <c r="G94" s="912"/>
    </row>
    <row r="95" spans="1:7" x14ac:dyDescent="0.2">
      <c r="A95" s="908" t="s">
        <v>140</v>
      </c>
      <c r="B95" s="908" t="s">
        <v>175</v>
      </c>
      <c r="C95" s="910">
        <v>1700</v>
      </c>
      <c r="D95" s="918" t="str">
        <f>'Revenues 9-14'!A82</f>
        <v>Total District/School Activity Income</v>
      </c>
      <c r="E95" s="906"/>
      <c r="F95" s="1789">
        <f>SUM('Revenues 9-14'!C82,'Revenues 9-14'!D82)</f>
        <v>26671</v>
      </c>
      <c r="G95" s="912"/>
    </row>
    <row r="96" spans="1:7" x14ac:dyDescent="0.2">
      <c r="A96" s="908" t="s">
        <v>459</v>
      </c>
      <c r="B96" s="908" t="s">
        <v>176</v>
      </c>
      <c r="C96" s="910">
        <f>'Revenues 9-14'!B84</f>
        <v>1811</v>
      </c>
      <c r="D96" s="911" t="str">
        <f>'Revenues 9-14'!A84</f>
        <v>Rentals - Regular Textbooks</v>
      </c>
      <c r="E96" s="906"/>
      <c r="F96" s="1789">
        <f>'Revenues 9-14'!C84</f>
        <v>5572</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21632</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1564</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2538</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179997</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822</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75183</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110381</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5620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3338</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16398</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42029</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528726</v>
      </c>
    </row>
    <row r="175" spans="1:7" ht="12" customHeight="1" x14ac:dyDescent="0.2">
      <c r="A175" s="1770"/>
      <c r="B175" s="1784"/>
      <c r="C175" s="1785"/>
      <c r="D175" s="1786" t="s">
        <v>2055</v>
      </c>
      <c r="E175" s="1787"/>
      <c r="F175" s="1789">
        <f>'PCTC-OEPP 27-28'!F77-F174</f>
        <v>2530692</v>
      </c>
    </row>
    <row r="176" spans="1:7" ht="12" customHeight="1" x14ac:dyDescent="0.2">
      <c r="A176" s="1770"/>
      <c r="B176" s="1784"/>
      <c r="C176" s="1785"/>
      <c r="D176" s="1786" t="s">
        <v>1817</v>
      </c>
      <c r="E176" s="1787"/>
      <c r="F176" s="1789">
        <f>'Cap Outlay Deprec 26'!I18</f>
        <v>286470</v>
      </c>
    </row>
    <row r="177" spans="1:7" ht="12" customHeight="1" x14ac:dyDescent="0.2">
      <c r="A177" s="1770"/>
      <c r="B177" s="1784"/>
      <c r="C177" s="1785"/>
      <c r="D177" s="1786" t="s">
        <v>2056</v>
      </c>
      <c r="E177" s="1787"/>
      <c r="F177" s="1789">
        <f>F175+F176</f>
        <v>2817162</v>
      </c>
    </row>
    <row r="178" spans="1:7" ht="12" customHeight="1" x14ac:dyDescent="0.2">
      <c r="A178" s="1770"/>
      <c r="B178" s="1790"/>
      <c r="C178" s="1785"/>
      <c r="D178" s="1786" t="str">
        <f>D78</f>
        <v>9 Month ADA from District Average Daily Attendance/Prior General State Aid Inquiry 2018-2019</v>
      </c>
      <c r="E178" s="1787"/>
      <c r="F178" s="1791">
        <f>'PCTC-OEPP 27-28'!F78</f>
        <v>257.3</v>
      </c>
      <c r="G178" s="930"/>
    </row>
    <row r="179" spans="1:7" ht="12" customHeight="1" thickBot="1" x14ac:dyDescent="0.25">
      <c r="A179" s="1770"/>
      <c r="B179" s="1790"/>
      <c r="C179" s="1785"/>
      <c r="D179" s="1786" t="s">
        <v>2057</v>
      </c>
      <c r="E179" s="1787" t="s">
        <v>1545</v>
      </c>
      <c r="F179" s="1792">
        <f>F177/F178</f>
        <v>10948.938981733385</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2085</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72857</v>
      </c>
      <c r="F10" s="974"/>
      <c r="G10" s="975"/>
      <c r="H10" s="162"/>
      <c r="I10" s="162"/>
    </row>
    <row r="11" spans="1:9" s="668" customFormat="1" ht="22.5" customHeight="1" x14ac:dyDescent="0.2">
      <c r="A11" s="2291" t="s">
        <v>1975</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1485052</v>
      </c>
      <c r="F19" s="1799"/>
      <c r="G19" s="1801">
        <f>'Expenditures 15-22'!K33-SUM('Expenditures 15-22'!G33,'Expenditures 15-22'!I33)+'Expenditures 15-22'!D229</f>
        <v>1485052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52862</v>
      </c>
      <c r="F21" s="1802"/>
      <c r="G21" s="1805">
        <f>'Expenditures 15-22'!K42-SUM('Expenditures 15-22'!G42,'Expenditures 15-22'!I42)+'Expenditures 15-22'!K120-SUM('Expenditures 15-22'!G120,'Expenditures 15-22'!I120)+'Expenditures 15-22'!K180-SUM('Expenditures 15-22'!G180,'Expenditures 15-22'!I180)+'Expenditures 15-22'!D238</f>
        <v>52862</v>
      </c>
      <c r="H21" s="987"/>
      <c r="I21" s="162"/>
    </row>
    <row r="22" spans="1:9" s="668" customFormat="1" ht="12" customHeight="1" x14ac:dyDescent="0.2">
      <c r="A22" s="994" t="s">
        <v>564</v>
      </c>
      <c r="B22" s="995"/>
      <c r="C22" s="993">
        <v>2200</v>
      </c>
      <c r="D22" s="1802"/>
      <c r="E22" s="1804">
        <f>'Expenditures 15-22'!K47-SUM('Expenditures 15-22'!G47,'Expenditures 15-22'!I47)+'Expenditures 15-22'!D243</f>
        <v>55047</v>
      </c>
      <c r="F22" s="1802"/>
      <c r="G22" s="1805">
        <f>'Expenditures 15-22'!K47-SUM('Expenditures 15-22'!G47,'Expenditures 15-22'!I47)+'Expenditures 15-22'!D243</f>
        <v>55047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308495</v>
      </c>
      <c r="F23" s="1802"/>
      <c r="G23" s="1804">
        <f>'Expenditures 15-22'!K53-SUM('Expenditures 15-22'!G53,'Expenditures 15-22'!I53)+'Expenditures 15-22'!D257+'Expenditures 15-22'!K330-SUM('Expenditures 15-22'!G330,'Expenditures 15-22'!I330)</f>
        <v>308495</v>
      </c>
      <c r="H23" s="987"/>
      <c r="I23" s="162"/>
    </row>
    <row r="24" spans="1:9" s="668" customFormat="1" ht="12" customHeight="1" x14ac:dyDescent="0.2">
      <c r="A24" s="994" t="s">
        <v>566</v>
      </c>
      <c r="B24" s="995"/>
      <c r="C24" s="993">
        <v>2400</v>
      </c>
      <c r="D24" s="1802"/>
      <c r="E24" s="1804">
        <f>'Expenditures 15-22'!K57-SUM('Expenditures 15-22'!G57,'Expenditures 15-22'!I57)+'Expenditures 15-22'!D261</f>
        <v>224815</v>
      </c>
      <c r="F24" s="1802"/>
      <c r="G24" s="1805">
        <f>'Expenditures 15-22'!K57-SUM('Expenditures 15-22'!G57,'Expenditures 15-22'!I57)+'Expenditures 15-22'!D261</f>
        <v>224815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41783</v>
      </c>
      <c r="E27" s="1804">
        <f>E8</f>
        <v>0</v>
      </c>
      <c r="F27" s="1804">
        <f>'Expenditures 15-22'!K60-SUM('Expenditures 15-22'!G60,'Expenditures 15-22'!I60)+'Expenditures 15-22'!D264-E8</f>
        <v>41783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366985</v>
      </c>
      <c r="F28" s="1806">
        <f>'Expenditures 15-22'!K61-SUM('Expenditures 15-22'!G61,'Expenditures 15-22'!I61)+'Expenditures 15-22'!K124-SUM('Expenditures 15-22'!G124,'Expenditures 15-22'!I124)+'Expenditures 15-22'!D266-E9</f>
        <v>366985</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232603</v>
      </c>
      <c r="F29" s="1802"/>
      <c r="G29" s="1805">
        <f>'Expenditures 15-22'!K62-SUM('Expenditures 15-22'!G62,'Expenditures 15-22'!I62)+'Expenditures 15-22'!K125-SUM('Expenditures 15-22'!G125,'Expenditures 15-22'!I125)+'Expenditures 15-22'!K182-SUM('Expenditures 15-22'!G182,'Expenditures 15-22'!I182)+'Expenditures 15-22'!D267</f>
        <v>232603</v>
      </c>
      <c r="H29" s="985"/>
    </row>
    <row r="30" spans="1:9" ht="12" customHeight="1" x14ac:dyDescent="0.2">
      <c r="A30" s="994" t="s">
        <v>100</v>
      </c>
      <c r="B30" s="997"/>
      <c r="C30" s="993">
        <v>2560</v>
      </c>
      <c r="D30" s="1802"/>
      <c r="E30" s="1804">
        <f>'Expenditures 15-22'!K63-SUM('Expenditures 15-22'!G63,'Expenditures 15-22'!I63)+'Expenditures 15-22'!D268-E10</f>
        <v>93245</v>
      </c>
      <c r="F30" s="1802"/>
      <c r="G30" s="1804">
        <f>'Expenditures 15-22'!K63-SUM('Expenditures 15-22'!G63,'Expenditures 15-22'!I63)+'Expenditures 15-22'!D268-E10</f>
        <v>93245</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123584</v>
      </c>
      <c r="E37" s="1804">
        <f>E14</f>
        <v>0</v>
      </c>
      <c r="F37" s="1804">
        <f>'Expenditures 15-22'!K71-SUM('Expenditures 15-22'!G71,'Expenditures 15-22'!I71)+'Expenditures 15-22'!D276-E14</f>
        <v>123584</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165367</v>
      </c>
      <c r="E41" s="1806">
        <f>SUM(E19:E40)</f>
        <v>2819104</v>
      </c>
      <c r="F41" s="1806">
        <f>SUM(F19:F39)</f>
        <v>532352</v>
      </c>
      <c r="G41" s="1806">
        <f>SUM(G19:G40)</f>
        <v>2452119</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165367</v>
      </c>
      <c r="F43" s="1807" t="s">
        <v>473</v>
      </c>
      <c r="G43" s="1808">
        <f>F41</f>
        <v>532352</v>
      </c>
    </row>
    <row r="44" spans="1:7" ht="12" customHeight="1" x14ac:dyDescent="0.2">
      <c r="A44" s="987"/>
      <c r="B44" s="162"/>
      <c r="C44" s="1001"/>
      <c r="D44" s="1807" t="s">
        <v>474</v>
      </c>
      <c r="E44" s="1808">
        <f>E41</f>
        <v>2819104</v>
      </c>
      <c r="F44" s="1807" t="s">
        <v>474</v>
      </c>
      <c r="G44" s="1808">
        <f>G41</f>
        <v>2452119</v>
      </c>
    </row>
    <row r="45" spans="1:7" ht="12" customHeight="1" x14ac:dyDescent="0.2">
      <c r="A45" s="987"/>
      <c r="B45" s="162"/>
      <c r="C45" s="162"/>
      <c r="D45" s="1809" t="s">
        <v>1006</v>
      </c>
      <c r="E45" s="1810">
        <f>(E43/E44)</f>
        <v>5.865941802785566E-2</v>
      </c>
      <c r="F45" s="1809" t="s">
        <v>1006</v>
      </c>
      <c r="G45" s="1810">
        <f>(G43/G44)</f>
        <v>0.21709876233575939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1379</v>
      </c>
      <c r="B1" s="2297"/>
      <c r="C1" s="2297"/>
      <c r="D1" s="2297"/>
      <c r="E1" s="2297"/>
      <c r="F1" s="2297"/>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8" t="s">
        <v>1546</v>
      </c>
      <c r="B5" s="2299"/>
      <c r="C5" s="2300"/>
      <c r="D5" s="2300"/>
      <c r="E5" s="2300"/>
      <c r="F5" s="2300"/>
    </row>
    <row r="6" spans="1:10" ht="12" customHeight="1" x14ac:dyDescent="0.25">
      <c r="A6" s="1850"/>
      <c r="B6" s="1851"/>
      <c r="C6" s="2301" t="str">
        <f>COVER!A17</f>
        <v>Donovan CUSD 3</v>
      </c>
      <c r="D6" s="2301"/>
      <c r="E6" s="2301"/>
      <c r="F6" s="1852"/>
    </row>
    <row r="7" spans="1:10" ht="11.25" customHeight="1" thickBot="1" x14ac:dyDescent="0.3">
      <c r="A7" s="1850"/>
      <c r="B7" s="1851"/>
      <c r="C7" s="2302">
        <f>COVER!A13</f>
        <v>32038003026</v>
      </c>
      <c r="D7" s="2302"/>
      <c r="E7" s="2302"/>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2086</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1391</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Donovan CUSD 3</v>
      </c>
      <c r="J6" s="2322"/>
      <c r="Q6" s="1664"/>
    </row>
    <row r="7" spans="1:17" x14ac:dyDescent="0.2">
      <c r="A7" s="2323" t="s">
        <v>869</v>
      </c>
      <c r="B7" s="2324"/>
      <c r="C7" s="2324"/>
      <c r="D7" s="2324"/>
      <c r="E7" s="2325"/>
      <c r="F7" s="1017"/>
      <c r="G7" s="1009"/>
      <c r="H7" s="1016" t="s">
        <v>372</v>
      </c>
      <c r="I7" s="2326">
        <f>COVER!A13</f>
        <v>32038003026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83878</v>
      </c>
      <c r="F12" s="1039"/>
      <c r="G12" s="1811">
        <f t="shared" ref="G12:G18" si="0">SUM(E12:F12)</f>
        <v>83878</v>
      </c>
      <c r="H12" s="1040">
        <v>84000</v>
      </c>
      <c r="I12" s="1039"/>
      <c r="J12" s="1811">
        <f t="shared" ref="J12:J18" si="1">SUM(H12:I12)</f>
        <v>84000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83878</v>
      </c>
      <c r="F19" s="1813">
        <f t="shared" si="2"/>
        <v>0</v>
      </c>
      <c r="G19" s="1813">
        <f t="shared" si="2"/>
        <v>83878</v>
      </c>
      <c r="H19" s="1813">
        <f t="shared" si="2"/>
        <v>84000</v>
      </c>
      <c r="I19" s="1813">
        <f t="shared" si="2"/>
        <v>0</v>
      </c>
      <c r="J19" s="1813">
        <f t="shared" si="2"/>
        <v>84000</v>
      </c>
    </row>
    <row r="20" spans="1:10" ht="13.5" thickTop="1" x14ac:dyDescent="0.2">
      <c r="A20" s="1035">
        <v>9</v>
      </c>
      <c r="B20" s="2333" t="s">
        <v>1979</v>
      </c>
      <c r="C20" s="2333"/>
      <c r="D20" s="2334"/>
      <c r="E20" s="1046"/>
      <c r="F20" s="1046"/>
      <c r="G20" s="1046"/>
      <c r="H20" s="1046"/>
      <c r="I20" s="1046"/>
      <c r="J20" s="1814">
        <f>IF(AND(G19&gt;0,J19&gt;0),(((J19-G19)/G19)),"Enter Budget Data")</f>
        <v>1.4544934309354061E-3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2087</v>
      </c>
    </row>
    <row r="6" spans="1:2" x14ac:dyDescent="0.2">
      <c r="A6" s="1068"/>
      <c r="B6" s="1943" t="s">
        <v>2088</v>
      </c>
    </row>
    <row r="7" spans="1:2" x14ac:dyDescent="0.2">
      <c r="A7" s="1068"/>
      <c r="B7" s="329" t="s">
        <v>2089</v>
      </c>
    </row>
    <row r="8" spans="1:2" x14ac:dyDescent="0.2">
      <c r="A8" s="1068"/>
      <c r="B8" s="1943" t="s">
        <v>2090</v>
      </c>
    </row>
    <row r="9" spans="1:2" x14ac:dyDescent="0.2">
      <c r="A9" s="1069"/>
      <c r="B9" s="1943" t="s">
        <v>2091</v>
      </c>
    </row>
    <row r="10" spans="1:2" x14ac:dyDescent="0.2">
      <c r="A10" s="1069"/>
      <c r="B10" s="329" t="s">
        <v>2092</v>
      </c>
    </row>
    <row r="11" spans="1:2" x14ac:dyDescent="0.2">
      <c r="A11" s="1069"/>
      <c r="B11" s="329" t="s">
        <v>2093</v>
      </c>
    </row>
    <row r="12" spans="1:2" x14ac:dyDescent="0.2">
      <c r="A12" s="1069"/>
      <c r="B12" s="329" t="s">
        <v>2094</v>
      </c>
    </row>
    <row r="13" spans="1:2" x14ac:dyDescent="0.2">
      <c r="A13" s="1069"/>
    </row>
    <row r="14" spans="1:2" x14ac:dyDescent="0.2">
      <c r="A14" s="1069">
        <v>2</v>
      </c>
      <c r="B14" s="1942" t="s">
        <v>2095</v>
      </c>
    </row>
    <row r="15" spans="1:2" x14ac:dyDescent="0.2">
      <c r="A15" s="1069"/>
      <c r="B15" s="1943" t="s">
        <v>2096</v>
      </c>
    </row>
    <row r="16" spans="1:2" x14ac:dyDescent="0.2">
      <c r="A16" s="1069"/>
      <c r="B16" s="329" t="s">
        <v>2097</v>
      </c>
    </row>
    <row r="17" spans="1:2" x14ac:dyDescent="0.2">
      <c r="A17" s="1069"/>
    </row>
    <row r="18" spans="1:2" x14ac:dyDescent="0.2">
      <c r="A18" s="1069">
        <v>3</v>
      </c>
      <c r="B18" s="1942" t="s">
        <v>2098</v>
      </c>
    </row>
    <row r="19" spans="1:2" x14ac:dyDescent="0.2">
      <c r="A19" s="1069"/>
      <c r="B19" s="1943" t="s">
        <v>2096</v>
      </c>
    </row>
    <row r="20" spans="1:2" x14ac:dyDescent="0.2">
      <c r="A20" s="1069"/>
      <c r="B20" s="329" t="s">
        <v>2099</v>
      </c>
    </row>
    <row r="21" spans="1:2" x14ac:dyDescent="0.2">
      <c r="A21" s="1069"/>
    </row>
    <row r="22" spans="1:2" x14ac:dyDescent="0.2">
      <c r="A22" s="1069">
        <v>4</v>
      </c>
      <c r="B22" s="1942" t="s">
        <v>2100</v>
      </c>
    </row>
    <row r="23" spans="1:2" x14ac:dyDescent="0.2">
      <c r="A23" s="1069"/>
      <c r="B23" s="329" t="s">
        <v>2101</v>
      </c>
    </row>
    <row r="24" spans="1:2" x14ac:dyDescent="0.2">
      <c r="A24" s="1069"/>
    </row>
    <row r="25" spans="1:2" x14ac:dyDescent="0.2">
      <c r="A25" s="1069">
        <v>5</v>
      </c>
      <c r="B25" s="1942" t="s">
        <v>2102</v>
      </c>
    </row>
    <row r="26" spans="1:2" x14ac:dyDescent="0.2">
      <c r="A26" s="1069"/>
      <c r="B26" s="329" t="s">
        <v>2103</v>
      </c>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Donovan CUSD 3</v>
      </c>
    </row>
    <row r="65" spans="2:2" x14ac:dyDescent="0.2">
      <c r="B65" s="1070">
        <f>COVER!A13</f>
        <v>32038003026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676275</xdr:colOff>
                <xdr:row>4</xdr:row>
                <xdr:rowOff>133350</xdr:rowOff>
              </from>
              <to>
                <xdr:col>1</xdr:col>
                <xdr:colOff>1590675</xdr:colOff>
                <xdr:row>9</xdr:row>
                <xdr:rowOff>9525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3154068</v>
      </c>
      <c r="C8" s="1815">
        <f>'Acct Summary 7-8'!D8</f>
        <v>278604</v>
      </c>
      <c r="D8" s="1815">
        <f>'Acct Summary 7-8'!F8</f>
        <v>261448</v>
      </c>
      <c r="E8" s="1815">
        <f>'Acct Summary 7-8'!I8</f>
        <v>24579</v>
      </c>
      <c r="F8" s="1815">
        <f>SUM(B8:E8)</f>
        <v>3718699</v>
      </c>
    </row>
    <row r="9" spans="1:8" s="1079" customFormat="1" ht="14.25" customHeight="1" thickBot="1" x14ac:dyDescent="0.25">
      <c r="A9" s="1078" t="s">
        <v>1369</v>
      </c>
      <c r="B9" s="1816">
        <f>'Acct Summary 7-8'!C17</f>
        <v>2729778</v>
      </c>
      <c r="C9" s="1816">
        <f>'Acct Summary 7-8'!D17</f>
        <v>150717</v>
      </c>
      <c r="D9" s="1816">
        <f>'Acct Summary 7-8'!F17</f>
        <v>264867</v>
      </c>
      <c r="E9" s="1815"/>
      <c r="F9" s="1815">
        <f>SUM(B9:E9)</f>
        <v>3145362</v>
      </c>
    </row>
    <row r="10" spans="1:8" s="1079" customFormat="1" ht="14.25" thickTop="1" thickBot="1" x14ac:dyDescent="0.25">
      <c r="A10" s="1080" t="s">
        <v>1370</v>
      </c>
      <c r="B10" s="1817">
        <f>(B8-B9)</f>
        <v>424290</v>
      </c>
      <c r="C10" s="1817">
        <f>(C8-C9)</f>
        <v>127887</v>
      </c>
      <c r="D10" s="1817">
        <f>(D8-D9)</f>
        <v>-3419</v>
      </c>
      <c r="E10" s="1816">
        <f>(E8-E9)</f>
        <v>24579</v>
      </c>
      <c r="F10" s="1818">
        <f>SUM(F8-F9)</f>
        <v>573337</v>
      </c>
    </row>
    <row r="11" spans="1:8" s="1079" customFormat="1" ht="14.25" thickTop="1" thickBot="1" x14ac:dyDescent="0.25">
      <c r="A11" s="1081" t="s">
        <v>1983</v>
      </c>
      <c r="B11" s="1819">
        <f>'Acct Summary 7-8'!C81</f>
        <v>2160979</v>
      </c>
      <c r="C11" s="1819">
        <f>'Acct Summary 7-8'!D81</f>
        <v>1426412</v>
      </c>
      <c r="D11" s="1819">
        <f>'Acct Summary 7-8'!F81</f>
        <v>719102</v>
      </c>
      <c r="E11" s="1819">
        <f>'Acct Summary 7-8'!I81</f>
        <v>841678</v>
      </c>
      <c r="F11" s="1820">
        <f>SUM(B11:E11)</f>
        <v>5148171</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7"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32038003026</v>
      </c>
    </row>
    <row r="3" spans="1:2" x14ac:dyDescent="0.2">
      <c r="A3" t="s">
        <v>956</v>
      </c>
      <c r="B3" s="138" t="str">
        <f>COVER!A15</f>
        <v>IROQUOIS</v>
      </c>
    </row>
    <row r="4" spans="1:2" x14ac:dyDescent="0.2">
      <c r="A4" t="s">
        <v>1007</v>
      </c>
      <c r="B4" s="138" t="str">
        <f>COVER!A17</f>
        <v>Donovan CUSD 3</v>
      </c>
    </row>
    <row r="5" spans="1:2" x14ac:dyDescent="0.2">
      <c r="A5" t="s">
        <v>704</v>
      </c>
      <c r="B5" s="138" t="str">
        <f>COVER!A38</f>
        <v>Toby Coates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Yes</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425342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2160979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2160979</v>
      </c>
      <c r="D92" s="2" t="str">
        <f t="shared" si="0"/>
        <v>Error?</v>
      </c>
    </row>
    <row r="93" spans="1:4" x14ac:dyDescent="0.2">
      <c r="A93" s="5">
        <v>32</v>
      </c>
      <c r="B93" s="138">
        <f>'Assets-Liab 5-6'!C41</f>
        <v>2160979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1426412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1426412</v>
      </c>
      <c r="D123" s="2" t="str">
        <f t="shared" si="0"/>
        <v>Error?</v>
      </c>
    </row>
    <row r="124" spans="1:4" x14ac:dyDescent="0.2">
      <c r="A124" s="5">
        <v>63</v>
      </c>
      <c r="B124" s="138">
        <f>'Assets-Liab 5-6'!D41</f>
        <v>1426412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8146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8146</v>
      </c>
      <c r="D140" s="2" t="str">
        <f t="shared" si="1"/>
        <v>Error?</v>
      </c>
    </row>
    <row r="141" spans="1:4" x14ac:dyDescent="0.2">
      <c r="A141" s="5">
        <v>80</v>
      </c>
      <c r="B141" s="138">
        <f>'Assets-Liab 5-6'!E41</f>
        <v>8146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719102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719102</v>
      </c>
      <c r="D170" s="2" t="str">
        <f t="shared" si="1"/>
        <v>Error?</v>
      </c>
    </row>
    <row r="171" spans="1:4" x14ac:dyDescent="0.2">
      <c r="A171" s="5">
        <v>110</v>
      </c>
      <c r="B171" s="138">
        <f>'Assets-Liab 5-6'!F41</f>
        <v>719102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167418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167418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5362</v>
      </c>
      <c r="D273" s="2" t="str">
        <f t="shared" si="3"/>
        <v>Error?</v>
      </c>
    </row>
    <row r="274" spans="1:4" x14ac:dyDescent="0.2">
      <c r="A274" s="5">
        <v>213</v>
      </c>
      <c r="B274" s="138">
        <f>'Assets-Liab 5-6'!M17</f>
        <v>3068594</v>
      </c>
      <c r="D274" s="2" t="str">
        <f t="shared" si="3"/>
        <v>Error?</v>
      </c>
    </row>
    <row r="275" spans="1:4" x14ac:dyDescent="0.2">
      <c r="A275" s="5">
        <v>214</v>
      </c>
      <c r="B275" s="138">
        <f>'Assets-Liab 5-6'!M18</f>
        <v>2075104</v>
      </c>
      <c r="D275" s="2" t="str">
        <f t="shared" si="3"/>
        <v>Error?</v>
      </c>
    </row>
    <row r="276" spans="1:4" x14ac:dyDescent="0.2">
      <c r="A276" s="5">
        <v>215</v>
      </c>
      <c r="B276" s="138">
        <f>'Assets-Liab 5-6'!M19</f>
        <v>2476150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7625210</v>
      </c>
      <c r="C279" s="2" t="s">
        <v>573</v>
      </c>
      <c r="D279" s="2" t="str">
        <f t="shared" si="3"/>
        <v>Error?</v>
      </c>
    </row>
    <row r="280" spans="1:4" x14ac:dyDescent="0.2">
      <c r="A280" s="5">
        <v>219</v>
      </c>
      <c r="B280" s="138">
        <f>'Assets-Liab 5-6'!M40</f>
        <v>7625210</v>
      </c>
      <c r="D280" s="2" t="str">
        <f t="shared" si="3"/>
        <v>Error?</v>
      </c>
    </row>
    <row r="281" spans="1:4" x14ac:dyDescent="0.2">
      <c r="A281" s="5">
        <v>220</v>
      </c>
      <c r="B281" s="138">
        <f>'Assets-Liab 5-6'!M41</f>
        <v>7625210</v>
      </c>
      <c r="C281" s="2" t="s">
        <v>573</v>
      </c>
      <c r="D281" s="2" t="str">
        <f t="shared" si="3"/>
        <v>Error?</v>
      </c>
    </row>
    <row r="282" spans="1:4" x14ac:dyDescent="0.2">
      <c r="A282" s="5">
        <v>221</v>
      </c>
      <c r="B282" s="138">
        <f>'Assets-Liab 5-6'!N21</f>
        <v>8146</v>
      </c>
      <c r="D282" s="2" t="str">
        <f t="shared" si="3"/>
        <v>Error?</v>
      </c>
    </row>
    <row r="283" spans="1:4" x14ac:dyDescent="0.2">
      <c r="A283" s="5">
        <v>222</v>
      </c>
      <c r="B283" s="138">
        <f>'Assets-Liab 5-6'!N22</f>
        <v>73854</v>
      </c>
      <c r="D283" s="2" t="str">
        <f t="shared" si="3"/>
        <v>Error?</v>
      </c>
    </row>
    <row r="284" spans="1:4" x14ac:dyDescent="0.2">
      <c r="A284" s="5">
        <v>223</v>
      </c>
      <c r="B284" s="138">
        <f>'Assets-Liab 5-6'!N23</f>
        <v>82000</v>
      </c>
      <c r="C284" s="2" t="s">
        <v>573</v>
      </c>
      <c r="D284" s="2" t="str">
        <f t="shared" si="3"/>
        <v>Error?</v>
      </c>
    </row>
    <row r="285" spans="1:4" x14ac:dyDescent="0.2">
      <c r="A285" s="5">
        <v>224</v>
      </c>
      <c r="B285" s="138">
        <f>'Assets-Liab 5-6'!N36</f>
        <v>82000</v>
      </c>
      <c r="D285" s="2" t="str">
        <f t="shared" si="3"/>
        <v>Error?</v>
      </c>
    </row>
    <row r="286" spans="1:4" x14ac:dyDescent="0.2">
      <c r="A286" s="10">
        <v>225</v>
      </c>
      <c r="D286" s="2" t="str">
        <f t="shared" si="3"/>
        <v>OK</v>
      </c>
    </row>
    <row r="287" spans="1:4" x14ac:dyDescent="0.2">
      <c r="A287" s="5">
        <v>226</v>
      </c>
      <c r="B287" s="138">
        <f>'Assets-Liab 5-6'!N37</f>
        <v>82000</v>
      </c>
      <c r="C287" s="2" t="s">
        <v>573</v>
      </c>
      <c r="D287" s="2" t="str">
        <f t="shared" si="3"/>
        <v>Error?</v>
      </c>
    </row>
    <row r="288" spans="1:4" x14ac:dyDescent="0.2">
      <c r="A288" s="5">
        <v>227</v>
      </c>
      <c r="B288" s="138">
        <f>'Assets-Liab 5-6'!N41</f>
        <v>82000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962794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41850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1071842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40407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40407</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37976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37976</v>
      </c>
      <c r="C731" s="2" t="s">
        <v>573</v>
      </c>
      <c r="D731" s="2" t="str">
        <f t="shared" si="10"/>
        <v>Error?</v>
      </c>
    </row>
    <row r="732" spans="1:4" x14ac:dyDescent="0.2">
      <c r="A732" s="5">
        <v>671</v>
      </c>
      <c r="B732" s="138">
        <f>'Expenditures 15-22'!C49</f>
        <v>2055</v>
      </c>
      <c r="D732" s="2" t="str">
        <f t="shared" si="10"/>
        <v>Error?</v>
      </c>
    </row>
    <row r="733" spans="1:4" x14ac:dyDescent="0.2">
      <c r="A733" s="5">
        <v>672</v>
      </c>
      <c r="B733" s="138">
        <f>'Expenditures 15-22'!C50</f>
        <v>72495</v>
      </c>
      <c r="D733" s="2" t="str">
        <f t="shared" si="10"/>
        <v>Error?</v>
      </c>
    </row>
    <row r="734" spans="1:4" x14ac:dyDescent="0.2">
      <c r="A734" s="5">
        <v>673</v>
      </c>
      <c r="B734" s="138">
        <f>'Expenditures 15-22'!C53</f>
        <v>74550</v>
      </c>
      <c r="C734" s="2" t="s">
        <v>573</v>
      </c>
      <c r="D734" s="2" t="str">
        <f t="shared" si="10"/>
        <v>Error?</v>
      </c>
    </row>
    <row r="735" spans="1:4" x14ac:dyDescent="0.2">
      <c r="A735" s="5">
        <v>674</v>
      </c>
      <c r="B735" s="138">
        <f>'Expenditures 15-22'!C55</f>
        <v>180224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180224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27606</v>
      </c>
      <c r="D739" s="2" t="str">
        <f t="shared" si="10"/>
        <v>Error?</v>
      </c>
    </row>
    <row r="740" spans="1:4" x14ac:dyDescent="0.2">
      <c r="A740" s="5">
        <v>679</v>
      </c>
      <c r="B740" s="138">
        <f>'Expenditures 15-22'!C61</f>
        <v>173260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74275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275141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42251</v>
      </c>
      <c r="D751" s="2" t="str">
        <f t="shared" si="10"/>
        <v>Error?</v>
      </c>
    </row>
    <row r="752" spans="1:4" x14ac:dyDescent="0.2">
      <c r="A752" s="10">
        <v>691</v>
      </c>
      <c r="D752" s="2" t="str">
        <f t="shared" si="10"/>
        <v>OK</v>
      </c>
    </row>
    <row r="753" spans="1:4" x14ac:dyDescent="0.2">
      <c r="A753" s="5">
        <v>692</v>
      </c>
      <c r="B753" s="138">
        <f>'Expenditures 15-22'!C72</f>
        <v>42251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650549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1722391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173612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2707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192637</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8287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8287</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8002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8002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8504</v>
      </c>
      <c r="D791" s="2" t="str">
        <f t="shared" si="11"/>
        <v>Error?</v>
      </c>
    </row>
    <row r="792" spans="1:4" x14ac:dyDescent="0.2">
      <c r="A792" s="5">
        <v>731</v>
      </c>
      <c r="B792" s="138">
        <f>'Expenditures 15-22'!D53</f>
        <v>8504</v>
      </c>
      <c r="C792" s="2" t="s">
        <v>573</v>
      </c>
      <c r="D792" s="2" t="str">
        <f t="shared" si="11"/>
        <v>Error?</v>
      </c>
    </row>
    <row r="793" spans="1:4" x14ac:dyDescent="0.2">
      <c r="A793" s="5">
        <v>732</v>
      </c>
      <c r="B793" s="138">
        <f>'Expenditures 15-22'!D55</f>
        <v>8501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8501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3125</v>
      </c>
      <c r="D797" s="2" t="str">
        <f t="shared" si="11"/>
        <v>Error?</v>
      </c>
    </row>
    <row r="798" spans="1:4" x14ac:dyDescent="0.2">
      <c r="A798" s="5">
        <v>737</v>
      </c>
      <c r="B798" s="138">
        <f>'Expenditures 15-22'!D61</f>
        <v>11818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2491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17434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50728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243365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62024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19030</v>
      </c>
      <c r="D833" s="2" t="str">
        <f t="shared" si="12"/>
        <v>Error?</v>
      </c>
    </row>
    <row r="834" spans="1:4" x14ac:dyDescent="0.2">
      <c r="A834" s="5">
        <v>773</v>
      </c>
      <c r="B834" s="138">
        <f>'Expenditures 15-22'!E14</f>
        <v>20851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116133</v>
      </c>
      <c r="C836" s="2" t="s">
        <v>573</v>
      </c>
      <c r="D836" s="2" t="str">
        <f t="shared" si="12"/>
        <v>Error?</v>
      </c>
    </row>
    <row r="837" spans="1:4" x14ac:dyDescent="0.2">
      <c r="A837" s="5">
        <v>776</v>
      </c>
      <c r="B837" s="138">
        <f>'Expenditures 15-22'!E36</f>
        <v>2068</v>
      </c>
      <c r="D837" s="2" t="str">
        <f t="shared" si="12"/>
        <v>Error?</v>
      </c>
    </row>
    <row r="838" spans="1:4" x14ac:dyDescent="0.2">
      <c r="A838" s="5">
        <v>777</v>
      </c>
      <c r="B838" s="138">
        <f>'Expenditures 15-22'!E37</f>
        <v>1259</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3327</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416</v>
      </c>
      <c r="D845" s="2" t="str">
        <f t="shared" si="12"/>
        <v>Error?</v>
      </c>
    </row>
    <row r="846" spans="1:4" x14ac:dyDescent="0.2">
      <c r="A846" s="5">
        <v>785</v>
      </c>
      <c r="B846" s="138">
        <f>'Expenditures 15-22'!E46</f>
        <v>3561</v>
      </c>
      <c r="D846" s="2" t="str">
        <f t="shared" si="12"/>
        <v>Error?</v>
      </c>
    </row>
    <row r="847" spans="1:4" x14ac:dyDescent="0.2">
      <c r="A847" s="5">
        <v>786</v>
      </c>
      <c r="B847" s="138">
        <f>'Expenditures 15-22'!E47</f>
        <v>3977</v>
      </c>
      <c r="C847" s="2" t="s">
        <v>573</v>
      </c>
      <c r="D847" s="2" t="str">
        <f t="shared" si="12"/>
        <v>Error?</v>
      </c>
    </row>
    <row r="848" spans="1:4" x14ac:dyDescent="0.2">
      <c r="A848" s="5">
        <v>787</v>
      </c>
      <c r="B848" s="138">
        <f>'Expenditures 15-22'!E49</f>
        <v>14831</v>
      </c>
      <c r="D848" s="2" t="str">
        <f t="shared" si="12"/>
        <v>Error?</v>
      </c>
    </row>
    <row r="849" spans="1:4" x14ac:dyDescent="0.2">
      <c r="A849" s="5">
        <v>788</v>
      </c>
      <c r="B849" s="138">
        <f>'Expenditures 15-22'!E50</f>
        <v>1468</v>
      </c>
      <c r="D849" s="2" t="str">
        <f t="shared" si="12"/>
        <v>Error?</v>
      </c>
    </row>
    <row r="850" spans="1:4" x14ac:dyDescent="0.2">
      <c r="A850" s="5">
        <v>789</v>
      </c>
      <c r="B850" s="138">
        <f>'Expenditures 15-22'!E53</f>
        <v>16299</v>
      </c>
      <c r="C850" s="2" t="s">
        <v>573</v>
      </c>
      <c r="D850" s="2" t="str">
        <f t="shared" si="12"/>
        <v>Error?</v>
      </c>
    </row>
    <row r="851" spans="1:4" x14ac:dyDescent="0.2">
      <c r="A851" s="5">
        <v>790</v>
      </c>
      <c r="B851" s="138">
        <f>'Expenditures 15-22'!E55</f>
        <v>1029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1029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1514</v>
      </c>
      <c r="D855" s="2" t="str">
        <f t="shared" si="12"/>
        <v>Error?</v>
      </c>
    </row>
    <row r="856" spans="1:4" x14ac:dyDescent="0.2">
      <c r="A856" s="5">
        <v>795</v>
      </c>
      <c r="B856" s="138">
        <f>'Expenditures 15-22'!E61</f>
        <v>1146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1701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4361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34683</v>
      </c>
      <c r="D867" s="2" t="str">
        <f t="shared" si="12"/>
        <v>Error?</v>
      </c>
    </row>
    <row r="868" spans="1:4" x14ac:dyDescent="0.2">
      <c r="A868" s="10">
        <v>807</v>
      </c>
      <c r="D868" s="2" t="str">
        <f t="shared" si="12"/>
        <v>OK</v>
      </c>
    </row>
    <row r="869" spans="1:4" x14ac:dyDescent="0.2">
      <c r="A869" s="5">
        <v>808</v>
      </c>
      <c r="B869" s="138">
        <f>'Expenditures 15-22'!E72</f>
        <v>34683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63676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179809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25043</v>
      </c>
      <c r="D879" s="2" t="str">
        <f t="shared" si="12"/>
        <v>Error?</v>
      </c>
    </row>
    <row r="880" spans="1:4" x14ac:dyDescent="0.2">
      <c r="A880" s="5">
        <v>819</v>
      </c>
      <c r="B880" s="138">
        <f>'Expenditures 15-22'!F16</f>
        <v>1320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7351</v>
      </c>
      <c r="D891" s="2" t="str">
        <f t="shared" si="12"/>
        <v>Error?</v>
      </c>
    </row>
    <row r="892" spans="1:4" x14ac:dyDescent="0.2">
      <c r="A892" s="5">
        <v>831</v>
      </c>
      <c r="B892" s="138">
        <f>'Expenditures 15-22'!F14</f>
        <v>32822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79252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255</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255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4541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4541</v>
      </c>
      <c r="C905" s="2" t="s">
        <v>573</v>
      </c>
      <c r="D905" s="2" t="str">
        <f t="shared" si="13"/>
        <v>Error?</v>
      </c>
    </row>
    <row r="906" spans="1:4" x14ac:dyDescent="0.2">
      <c r="A906" s="5">
        <v>845</v>
      </c>
      <c r="B906" s="138">
        <f>'Expenditures 15-22'!F49</f>
        <v>2233</v>
      </c>
      <c r="D906" s="2" t="str">
        <f t="shared" si="13"/>
        <v>Error?</v>
      </c>
    </row>
    <row r="907" spans="1:4" x14ac:dyDescent="0.2">
      <c r="A907" s="5">
        <v>846</v>
      </c>
      <c r="B907" s="138">
        <f>'Expenditures 15-22'!F50</f>
        <v>424</v>
      </c>
      <c r="D907" s="2" t="str">
        <f t="shared" si="13"/>
        <v>Error?</v>
      </c>
    </row>
    <row r="908" spans="1:4" x14ac:dyDescent="0.2">
      <c r="A908" s="5">
        <v>847</v>
      </c>
      <c r="B908" s="138">
        <f>'Expenditures 15-22'!F53</f>
        <v>2657</v>
      </c>
      <c r="C908" s="2" t="s">
        <v>573</v>
      </c>
      <c r="D908" s="2" t="str">
        <f t="shared" si="13"/>
        <v>Error?</v>
      </c>
    </row>
    <row r="909" spans="1:4" x14ac:dyDescent="0.2">
      <c r="A909" s="5">
        <v>848</v>
      </c>
      <c r="B909" s="138">
        <f>'Expenditures 15-22'!F55</f>
        <v>5781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5781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4204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71156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75360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38870</v>
      </c>
      <c r="D925" s="2" t="str">
        <f t="shared" si="13"/>
        <v>Error?</v>
      </c>
    </row>
    <row r="926" spans="1:4" x14ac:dyDescent="0.2">
      <c r="A926" s="10">
        <v>865</v>
      </c>
      <c r="D926" s="2" t="str">
        <f t="shared" si="13"/>
        <v>OK</v>
      </c>
    </row>
    <row r="927" spans="1:4" x14ac:dyDescent="0.2">
      <c r="A927" s="5">
        <v>866</v>
      </c>
      <c r="B927" s="138">
        <f>'Expenditures 15-22'!F72</f>
        <v>38870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127464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206716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43876</v>
      </c>
      <c r="D983" s="2" t="str">
        <f t="shared" si="14"/>
        <v>Error?</v>
      </c>
    </row>
    <row r="984" spans="1:4" x14ac:dyDescent="0.2">
      <c r="A984" s="10">
        <v>923</v>
      </c>
      <c r="D984" s="2" t="str">
        <f t="shared" si="14"/>
        <v>OK</v>
      </c>
    </row>
    <row r="985" spans="1:4" x14ac:dyDescent="0.2">
      <c r="A985" s="5">
        <v>924</v>
      </c>
      <c r="B985" s="138">
        <f>'Expenditures 15-22'!G72</f>
        <v>43876</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43876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43876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6812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6812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14134</v>
      </c>
      <c r="D1022" s="2" t="str">
        <f t="shared" si="14"/>
        <v>Error?</v>
      </c>
    </row>
    <row r="1023" spans="1:4" x14ac:dyDescent="0.2">
      <c r="A1023" s="5">
        <v>962</v>
      </c>
      <c r="B1023" s="138">
        <f>'Expenditures 15-22'!H50</f>
        <v>987</v>
      </c>
      <c r="D1023" s="2" t="str">
        <f t="shared" ref="D1023:D1086" si="15">IF(ISBLANK(B1023),"OK",IF(A1023-B1023=0,"OK","Error?"))</f>
        <v>Error?</v>
      </c>
    </row>
    <row r="1024" spans="1:4" x14ac:dyDescent="0.2">
      <c r="A1024" s="5">
        <v>963</v>
      </c>
      <c r="B1024" s="138">
        <f>'Expenditures 15-22'!H53</f>
        <v>15121</v>
      </c>
      <c r="C1024" s="2" t="s">
        <v>573</v>
      </c>
      <c r="D1024" s="2" t="str">
        <f t="shared" si="15"/>
        <v>Error?</v>
      </c>
    </row>
    <row r="1025" spans="1:4" x14ac:dyDescent="0.2">
      <c r="A1025" s="5">
        <v>964</v>
      </c>
      <c r="B1025" s="138">
        <f>'Expenditures 15-22'!H55</f>
        <v>11649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11649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4485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4735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31505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295304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333621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1223473</v>
      </c>
      <c r="C1093" s="2" t="s">
        <v>573</v>
      </c>
      <c r="D1093" s="2" t="str">
        <f t="shared" si="16"/>
        <v>Error?</v>
      </c>
    </row>
    <row r="1094" spans="1:4" x14ac:dyDescent="0.2">
      <c r="A1094" s="5">
        <v>1033</v>
      </c>
      <c r="B1094" s="138">
        <f>'Expenditures 15-22'!K16</f>
        <v>1320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26381</v>
      </c>
      <c r="C1105" s="2" t="s">
        <v>573</v>
      </c>
      <c r="D1105" s="2" t="str">
        <f t="shared" si="16"/>
        <v>Error?</v>
      </c>
    </row>
    <row r="1106" spans="1:4" x14ac:dyDescent="0.2">
      <c r="A1106" s="5">
        <v>1045</v>
      </c>
      <c r="B1106" s="138">
        <f>'Expenditures 15-22'!K14</f>
        <v>105042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1466676</v>
      </c>
      <c r="C1108" s="2" t="s">
        <v>573</v>
      </c>
      <c r="D1108" s="2" t="str">
        <f t="shared" si="16"/>
        <v>Error?</v>
      </c>
    </row>
    <row r="1109" spans="1:4" x14ac:dyDescent="0.2">
      <c r="A1109" s="5">
        <v>1048</v>
      </c>
      <c r="B1109" s="138">
        <f>'Expenditures 15-22'!K36</f>
        <v>2068</v>
      </c>
      <c r="C1109" s="2" t="s">
        <v>573</v>
      </c>
      <c r="D1109" s="2" t="str">
        <f t="shared" si="16"/>
        <v>Error?</v>
      </c>
    </row>
    <row r="1110" spans="1:4" x14ac:dyDescent="0.2">
      <c r="A1110" s="5">
        <v>1049</v>
      </c>
      <c r="B1110" s="138">
        <f>'Expenditures 15-22'!K37</f>
        <v>50208</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52276</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50935</v>
      </c>
      <c r="C1117" s="2" t="s">
        <v>573</v>
      </c>
      <c r="D1117" s="2" t="str">
        <f t="shared" si="16"/>
        <v>Error?</v>
      </c>
    </row>
    <row r="1118" spans="1:4" x14ac:dyDescent="0.2">
      <c r="A1118" s="5">
        <v>1057</v>
      </c>
      <c r="B1118" s="138">
        <f>'Expenditures 15-22'!K46</f>
        <v>3561</v>
      </c>
      <c r="C1118" s="2" t="s">
        <v>573</v>
      </c>
      <c r="D1118" s="2" t="str">
        <f t="shared" si="16"/>
        <v>Error?</v>
      </c>
    </row>
    <row r="1119" spans="1:4" x14ac:dyDescent="0.2">
      <c r="A1119" s="5">
        <v>1058</v>
      </c>
      <c r="B1119" s="138">
        <f>'Expenditures 15-22'!K47</f>
        <v>54496</v>
      </c>
      <c r="C1119" s="2" t="s">
        <v>573</v>
      </c>
      <c r="D1119" s="2" t="str">
        <f t="shared" si="16"/>
        <v>Error?</v>
      </c>
    </row>
    <row r="1120" spans="1:4" x14ac:dyDescent="0.2">
      <c r="A1120" s="5">
        <v>1059</v>
      </c>
      <c r="B1120" s="138">
        <f>'Expenditures 15-22'!K49</f>
        <v>33253</v>
      </c>
      <c r="C1120" s="2" t="s">
        <v>573</v>
      </c>
      <c r="D1120" s="2" t="str">
        <f t="shared" si="16"/>
        <v>Error?</v>
      </c>
    </row>
    <row r="1121" spans="1:4" x14ac:dyDescent="0.2">
      <c r="A1121" s="5">
        <v>1060</v>
      </c>
      <c r="B1121" s="138">
        <f>'Expenditures 15-22'!K50</f>
        <v>83878</v>
      </c>
      <c r="C1121" s="2" t="s">
        <v>573</v>
      </c>
      <c r="D1121" s="2" t="str">
        <f t="shared" si="16"/>
        <v>Error?</v>
      </c>
    </row>
    <row r="1122" spans="1:4" x14ac:dyDescent="0.2">
      <c r="A1122" s="5">
        <v>1061</v>
      </c>
      <c r="B1122" s="138">
        <f>'Expenditures 15-22'!K53</f>
        <v>117131</v>
      </c>
      <c r="C1122" s="2" t="s">
        <v>573</v>
      </c>
      <c r="D1122" s="2" t="str">
        <f t="shared" si="16"/>
        <v>Error?</v>
      </c>
    </row>
    <row r="1123" spans="1:4" x14ac:dyDescent="0.2">
      <c r="A1123" s="5">
        <v>1062</v>
      </c>
      <c r="B1123" s="138">
        <f>'Expenditures 15-22'!K55</f>
        <v>207184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207184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36699</v>
      </c>
      <c r="C1127" s="2" t="s">
        <v>573</v>
      </c>
      <c r="D1127" s="2" t="str">
        <f t="shared" si="16"/>
        <v>Error?</v>
      </c>
    </row>
    <row r="1128" spans="1:4" x14ac:dyDescent="0.2">
      <c r="A1128" s="5">
        <v>1067</v>
      </c>
      <c r="B1128" s="138">
        <f>'Expenditures 15-22'!K61</f>
        <v>186224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154108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377031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159680</v>
      </c>
      <c r="C1139" s="2" t="s">
        <v>573</v>
      </c>
      <c r="D1139" s="2" t="str">
        <f t="shared" si="16"/>
        <v>Error?</v>
      </c>
    </row>
    <row r="1140" spans="1:4" x14ac:dyDescent="0.2">
      <c r="A1140" s="10">
        <v>1079</v>
      </c>
      <c r="D1140" s="2" t="str">
        <f t="shared" si="16"/>
        <v>OK</v>
      </c>
    </row>
    <row r="1141" spans="1:4" x14ac:dyDescent="0.2">
      <c r="A1141" s="5">
        <v>1080</v>
      </c>
      <c r="B1141" s="138">
        <f>'Expenditures 15-22'!K72</f>
        <v>159680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967798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295304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2729778</v>
      </c>
      <c r="C1152" s="2" t="s">
        <v>573</v>
      </c>
      <c r="D1152" s="2" t="str">
        <f t="shared" si="17"/>
        <v>Error?</v>
      </c>
    </row>
    <row r="1153" spans="1:4" x14ac:dyDescent="0.2">
      <c r="A1153" s="5">
        <v>1092</v>
      </c>
      <c r="B1153" s="138">
        <f>'Expenditures 15-22'!K115</f>
        <v>424290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9349</v>
      </c>
      <c r="D1237" s="2" t="str">
        <f t="shared" si="18"/>
        <v>Error?</v>
      </c>
    </row>
    <row r="1238" spans="1:4" x14ac:dyDescent="0.2">
      <c r="A1238" s="10">
        <v>1177</v>
      </c>
      <c r="D1238" s="2" t="str">
        <f t="shared" si="18"/>
        <v>OK</v>
      </c>
    </row>
    <row r="1239" spans="1:4" x14ac:dyDescent="0.2">
      <c r="A1239" s="5">
        <v>1178</v>
      </c>
      <c r="B1239" s="138">
        <f>'Expenditures 15-22'!E127</f>
        <v>9349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9349</v>
      </c>
      <c r="C1241" s="2" t="s">
        <v>573</v>
      </c>
      <c r="D1241" s="2" t="str">
        <f t="shared" si="18"/>
        <v>Error?</v>
      </c>
    </row>
    <row r="1242" spans="1:4" x14ac:dyDescent="0.2">
      <c r="A1242" s="5">
        <v>1181</v>
      </c>
      <c r="B1242" s="138">
        <f>'Expenditures 15-22'!E151</f>
        <v>9349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141327</v>
      </c>
      <c r="D1245" s="2" t="str">
        <f t="shared" si="18"/>
        <v>Error?</v>
      </c>
    </row>
    <row r="1246" spans="1:4" x14ac:dyDescent="0.2">
      <c r="A1246" s="10">
        <v>1185</v>
      </c>
      <c r="D1246" s="2" t="str">
        <f t="shared" si="18"/>
        <v>OK</v>
      </c>
    </row>
    <row r="1247" spans="1:4" x14ac:dyDescent="0.2">
      <c r="A1247" s="5">
        <v>1186</v>
      </c>
      <c r="B1247" s="138">
        <f>'Expenditures 15-22'!F127</f>
        <v>141327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141327</v>
      </c>
      <c r="C1249" s="2" t="s">
        <v>573</v>
      </c>
      <c r="D1249" s="2" t="str">
        <f t="shared" si="18"/>
        <v>Error?</v>
      </c>
    </row>
    <row r="1250" spans="1:4" x14ac:dyDescent="0.2">
      <c r="A1250" s="5">
        <v>1189</v>
      </c>
      <c r="B1250" s="138">
        <f>'Expenditures 15-22'!F151</f>
        <v>141327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41</v>
      </c>
      <c r="D1262" s="2" t="str">
        <f t="shared" si="18"/>
        <v>Error?</v>
      </c>
    </row>
    <row r="1263" spans="1:4" x14ac:dyDescent="0.2">
      <c r="A1263" s="10">
        <v>1202</v>
      </c>
      <c r="D1263" s="2" t="str">
        <f t="shared" si="18"/>
        <v>OK</v>
      </c>
    </row>
    <row r="1264" spans="1:4" x14ac:dyDescent="0.2">
      <c r="A1264" s="5">
        <v>1203</v>
      </c>
      <c r="B1264" s="138">
        <f>'Expenditures 15-22'!H127</f>
        <v>41</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41</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41</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150717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150717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150717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150717</v>
      </c>
      <c r="C1288" s="2" t="s">
        <v>573</v>
      </c>
      <c r="D1288" s="2" t="str">
        <f t="shared" si="19"/>
        <v>Error?</v>
      </c>
    </row>
    <row r="1289" spans="1:4" x14ac:dyDescent="0.2">
      <c r="A1289" s="5">
        <v>1228</v>
      </c>
      <c r="B1289" s="138">
        <f>'Expenditures 15-22'!K152</f>
        <v>127887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7149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137000</v>
      </c>
      <c r="D1315" s="2" t="str">
        <f t="shared" si="19"/>
        <v>Error?</v>
      </c>
    </row>
    <row r="1316" spans="1:4" x14ac:dyDescent="0.2">
      <c r="A1316" s="5">
        <v>1255</v>
      </c>
      <c r="B1316" s="138">
        <f>'Expenditures 15-22'!H171</f>
        <v>300</v>
      </c>
      <c r="D1316" s="2" t="str">
        <f t="shared" si="19"/>
        <v>Error?</v>
      </c>
    </row>
    <row r="1317" spans="1:4" x14ac:dyDescent="0.2">
      <c r="A1317" s="5">
        <v>1256</v>
      </c>
      <c r="B1317" s="138">
        <f>'Expenditures 15-22'!H172</f>
        <v>144449</v>
      </c>
      <c r="C1317" s="2" t="s">
        <v>573</v>
      </c>
      <c r="D1317" s="2" t="str">
        <f t="shared" si="19"/>
        <v>Error?</v>
      </c>
    </row>
    <row r="1318" spans="1:4" x14ac:dyDescent="0.2">
      <c r="A1318" s="5">
        <v>1257</v>
      </c>
      <c r="B1318" s="138">
        <f>'Expenditures 15-22'!H174</f>
        <v>144449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7149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137000</v>
      </c>
      <c r="C1329" s="2" t="s">
        <v>573</v>
      </c>
      <c r="D1329" s="2" t="str">
        <f t="shared" si="19"/>
        <v>Error?</v>
      </c>
    </row>
    <row r="1330" spans="1:4" x14ac:dyDescent="0.2">
      <c r="A1330" s="5">
        <v>1269</v>
      </c>
      <c r="B1330" s="138">
        <f>'Expenditures 15-22'!K171</f>
        <v>300</v>
      </c>
      <c r="C1330" s="2" t="s">
        <v>573</v>
      </c>
      <c r="D1330" s="2" t="str">
        <f t="shared" si="19"/>
        <v>Error?</v>
      </c>
    </row>
    <row r="1331" spans="1:4" x14ac:dyDescent="0.2">
      <c r="A1331" s="5">
        <v>1270</v>
      </c>
      <c r="B1331" s="138">
        <f>'Expenditures 15-22'!K172</f>
        <v>144449</v>
      </c>
      <c r="C1331" s="2" t="s">
        <v>573</v>
      </c>
      <c r="D1331" s="2" t="str">
        <f t="shared" si="19"/>
        <v>Error?</v>
      </c>
    </row>
    <row r="1332" spans="1:4" x14ac:dyDescent="0.2">
      <c r="A1332" s="5">
        <v>1271</v>
      </c>
      <c r="B1332" s="138">
        <f>'Expenditures 15-22'!K174</f>
        <v>144449</v>
      </c>
      <c r="C1332" s="2" t="s">
        <v>573</v>
      </c>
      <c r="D1332" s="2" t="str">
        <f t="shared" si="19"/>
        <v>Error?</v>
      </c>
    </row>
    <row r="1333" spans="1:4" x14ac:dyDescent="0.2">
      <c r="A1333" s="5">
        <v>1272</v>
      </c>
      <c r="B1333" s="138">
        <f>'Expenditures 15-22'!K175</f>
        <v>1042</v>
      </c>
      <c r="C1333" s="2" t="s">
        <v>573</v>
      </c>
      <c r="D1333" s="2" t="str">
        <f t="shared" si="19"/>
        <v>Error?</v>
      </c>
    </row>
    <row r="1334" spans="1:4" x14ac:dyDescent="0.2">
      <c r="A1334" s="10">
        <v>1273</v>
      </c>
      <c r="D1334" s="2" t="str">
        <f t="shared" si="19"/>
        <v>OK</v>
      </c>
    </row>
    <row r="1335" spans="1:4" x14ac:dyDescent="0.2">
      <c r="A1335" s="5">
        <v>1274</v>
      </c>
      <c r="B1335" s="138">
        <f>'Expenditures 15-22'!C182</f>
        <v>65643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65643</v>
      </c>
      <c r="C1339" s="2" t="s">
        <v>573</v>
      </c>
      <c r="D1339" s="2" t="str">
        <f t="shared" si="19"/>
        <v>Error?</v>
      </c>
    </row>
    <row r="1340" spans="1:4" x14ac:dyDescent="0.2">
      <c r="A1340" s="5">
        <v>1279</v>
      </c>
      <c r="B1340" s="138">
        <f>'Expenditures 15-22'!C210</f>
        <v>65643</v>
      </c>
      <c r="C1340" s="2" t="s">
        <v>573</v>
      </c>
      <c r="D1340" s="2" t="str">
        <f t="shared" si="19"/>
        <v>Error?</v>
      </c>
    </row>
    <row r="1341" spans="1:4" x14ac:dyDescent="0.2">
      <c r="A1341" s="5">
        <v>1280</v>
      </c>
      <c r="B1341" s="138">
        <f>'Expenditures 15-22'!D182</f>
        <v>7725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7725</v>
      </c>
      <c r="C1345" s="2" t="s">
        <v>573</v>
      </c>
      <c r="D1345" s="2" t="str">
        <f t="shared" si="20"/>
        <v>Error?</v>
      </c>
    </row>
    <row r="1346" spans="1:4" x14ac:dyDescent="0.2">
      <c r="A1346" s="5">
        <v>1285</v>
      </c>
      <c r="B1346" s="138">
        <f>'Expenditures 15-22'!D210</f>
        <v>7725</v>
      </c>
      <c r="C1346" s="2" t="s">
        <v>573</v>
      </c>
      <c r="D1346" s="2" t="str">
        <f t="shared" si="20"/>
        <v>Error?</v>
      </c>
    </row>
    <row r="1347" spans="1:4" x14ac:dyDescent="0.2">
      <c r="A1347" s="5">
        <v>1286</v>
      </c>
      <c r="B1347" s="138">
        <f>'Expenditures 15-22'!E182</f>
        <v>100201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100201</v>
      </c>
      <c r="C1351" s="2" t="s">
        <v>573</v>
      </c>
      <c r="D1351" s="2" t="str">
        <f t="shared" si="20"/>
        <v>Error?</v>
      </c>
    </row>
    <row r="1352" spans="1:4" x14ac:dyDescent="0.2">
      <c r="A1352" s="5">
        <v>1291</v>
      </c>
      <c r="B1352" s="138">
        <f>'Expenditures 15-22'!E196</f>
        <v>42354</v>
      </c>
      <c r="C1352" s="2" t="s">
        <v>573</v>
      </c>
      <c r="D1352" s="2" t="str">
        <f t="shared" si="20"/>
        <v>Error?</v>
      </c>
    </row>
    <row r="1353" spans="1:4" x14ac:dyDescent="0.2">
      <c r="A1353" s="5">
        <v>1292</v>
      </c>
      <c r="B1353" s="138">
        <f>'Expenditures 15-22'!E210</f>
        <v>142555</v>
      </c>
      <c r="C1353" s="2" t="s">
        <v>573</v>
      </c>
      <c r="D1353" s="2" t="str">
        <f t="shared" si="20"/>
        <v>Error?</v>
      </c>
    </row>
    <row r="1354" spans="1:4" x14ac:dyDescent="0.2">
      <c r="A1354" s="5">
        <v>1293</v>
      </c>
      <c r="B1354" s="138">
        <f>'Expenditures 15-22'!F182</f>
        <v>48003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48003</v>
      </c>
      <c r="C1358" s="2" t="s">
        <v>573</v>
      </c>
      <c r="D1358" s="2" t="str">
        <f t="shared" si="20"/>
        <v>Error?</v>
      </c>
    </row>
    <row r="1359" spans="1:4" x14ac:dyDescent="0.2">
      <c r="A1359" s="5">
        <v>1298</v>
      </c>
      <c r="B1359" s="138">
        <f>'Expenditures 15-22'!F210</f>
        <v>48003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941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941</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941</v>
      </c>
      <c r="C1376" s="2" t="s">
        <v>573</v>
      </c>
      <c r="D1376" s="2" t="str">
        <f t="shared" si="20"/>
        <v>Error?</v>
      </c>
    </row>
    <row r="1377" spans="1:4" x14ac:dyDescent="0.2">
      <c r="A1377" s="5">
        <v>1316</v>
      </c>
      <c r="B1377" s="138">
        <f>'Expenditures 15-22'!K182</f>
        <v>222513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222513</v>
      </c>
      <c r="C1381" s="2" t="s">
        <v>573</v>
      </c>
      <c r="D1381" s="2" t="str">
        <f t="shared" si="20"/>
        <v>Error?</v>
      </c>
    </row>
    <row r="1382" spans="1:4" x14ac:dyDescent="0.2">
      <c r="A1382" s="5">
        <v>1321</v>
      </c>
      <c r="B1382" s="138">
        <f>'Expenditures 15-22'!K196</f>
        <v>42354</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264867</v>
      </c>
      <c r="C1388" s="2" t="s">
        <v>573</v>
      </c>
      <c r="D1388" s="2" t="str">
        <f t="shared" si="20"/>
        <v>Error?</v>
      </c>
    </row>
    <row r="1389" spans="1:4" x14ac:dyDescent="0.2">
      <c r="A1389" s="5">
        <v>1328</v>
      </c>
      <c r="B1389" s="138">
        <f>'Expenditures 15-22'!K211</f>
        <v>-3419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169</v>
      </c>
      <c r="D1407" s="2" t="str">
        <f t="shared" ref="D1407:D1470" si="21">IF(ISBLANK(B1407),"OK",IF(A1407-B1407=0,"OK","Error?"))</f>
        <v>Error?</v>
      </c>
    </row>
    <row r="1408" spans="1:4" x14ac:dyDescent="0.2">
      <c r="A1408" s="5">
        <v>1347</v>
      </c>
      <c r="B1408" s="138">
        <f>'Expenditures 15-22'!D223</f>
        <v>1772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18376</v>
      </c>
      <c r="C1410" s="2" t="s">
        <v>573</v>
      </c>
      <c r="D1410" s="2" t="str">
        <f t="shared" si="21"/>
        <v>Error?</v>
      </c>
    </row>
    <row r="1411" spans="1:4" x14ac:dyDescent="0.2">
      <c r="A1411" s="5">
        <v>1350</v>
      </c>
      <c r="B1411" s="138">
        <f>'Expenditures 15-22'!D232</f>
        <v>586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586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551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551</v>
      </c>
      <c r="C1421" s="2" t="s">
        <v>573</v>
      </c>
      <c r="D1421" s="2" t="str">
        <f t="shared" si="21"/>
        <v>Error?</v>
      </c>
    </row>
    <row r="1422" spans="1:4" x14ac:dyDescent="0.2">
      <c r="A1422" s="5">
        <v>1361</v>
      </c>
      <c r="B1422" s="138">
        <f>'Expenditures 15-22'!D245</f>
        <v>79</v>
      </c>
      <c r="D1422" s="2" t="str">
        <f t="shared" si="21"/>
        <v>Error?</v>
      </c>
    </row>
    <row r="1423" spans="1:4" x14ac:dyDescent="0.2">
      <c r="A1423" s="5">
        <v>1362</v>
      </c>
      <c r="B1423" s="138">
        <f>'Expenditures 15-22'!D246</f>
        <v>1051</v>
      </c>
      <c r="D1423" s="2" t="str">
        <f t="shared" si="21"/>
        <v>Error?</v>
      </c>
    </row>
    <row r="1424" spans="1:4" x14ac:dyDescent="0.2">
      <c r="A1424" s="5">
        <v>1363</v>
      </c>
      <c r="B1424" s="138">
        <f>'Expenditures 15-22'!D257</f>
        <v>9541</v>
      </c>
      <c r="C1424" s="2" t="s">
        <v>573</v>
      </c>
      <c r="D1424" s="2" t="str">
        <f t="shared" si="21"/>
        <v>Error?</v>
      </c>
    </row>
    <row r="1425" spans="1:4" x14ac:dyDescent="0.2">
      <c r="A1425" s="5">
        <v>1364</v>
      </c>
      <c r="B1425" s="138">
        <f>'Expenditures 15-22'!D259</f>
        <v>17631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17631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5084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30044</v>
      </c>
      <c r="D1431" s="2" t="str">
        <f t="shared" si="21"/>
        <v>Error?</v>
      </c>
    </row>
    <row r="1432" spans="1:4" x14ac:dyDescent="0.2">
      <c r="A1432" s="5">
        <v>1371</v>
      </c>
      <c r="B1432" s="138">
        <f>'Expenditures 15-22'!D267</f>
        <v>10090</v>
      </c>
      <c r="D1432" s="2" t="str">
        <f t="shared" si="21"/>
        <v>Error?</v>
      </c>
    </row>
    <row r="1433" spans="1:4" x14ac:dyDescent="0.2">
      <c r="A1433" s="5">
        <v>1372</v>
      </c>
      <c r="B1433" s="138">
        <f>'Expenditures 15-22'!D268</f>
        <v>11994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57212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7780</v>
      </c>
      <c r="D1442" s="2" t="str">
        <f t="shared" si="21"/>
        <v>Error?</v>
      </c>
    </row>
    <row r="1443" spans="1:4" x14ac:dyDescent="0.2">
      <c r="A1443" s="10">
        <v>1382</v>
      </c>
      <c r="D1443" s="2" t="str">
        <f t="shared" si="21"/>
        <v>OK</v>
      </c>
    </row>
    <row r="1444" spans="1:4" x14ac:dyDescent="0.2">
      <c r="A1444" s="5">
        <v>1383</v>
      </c>
      <c r="B1444" s="138">
        <f>'Expenditures 15-22'!D277</f>
        <v>7780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93301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111677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169</v>
      </c>
      <c r="C1471" s="2" t="s">
        <v>573</v>
      </c>
      <c r="D1471" s="2" t="str">
        <f t="shared" ref="D1471:D1534" si="22">IF(ISBLANK(B1471),"OK",IF(A1471-B1471=0,"OK","Error?"))</f>
        <v>Error?</v>
      </c>
    </row>
    <row r="1472" spans="1:4" x14ac:dyDescent="0.2">
      <c r="A1472" s="5">
        <v>1411</v>
      </c>
      <c r="B1472" s="138">
        <f>'Expenditures 15-22'!K223</f>
        <v>1772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18376</v>
      </c>
      <c r="C1474" s="2" t="s">
        <v>573</v>
      </c>
      <c r="D1474" s="2" t="str">
        <f t="shared" si="22"/>
        <v>Error?</v>
      </c>
    </row>
    <row r="1475" spans="1:4" x14ac:dyDescent="0.2">
      <c r="A1475" s="5">
        <v>1414</v>
      </c>
      <c r="B1475" s="138">
        <f>'Expenditures 15-22'!K232</f>
        <v>586</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586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551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551</v>
      </c>
      <c r="C1485" s="2" t="s">
        <v>573</v>
      </c>
      <c r="D1485" s="2" t="str">
        <f t="shared" si="22"/>
        <v>Error?</v>
      </c>
    </row>
    <row r="1486" spans="1:4" x14ac:dyDescent="0.2">
      <c r="A1486" s="5">
        <v>1425</v>
      </c>
      <c r="B1486" s="138">
        <f>'Expenditures 15-22'!K245</f>
        <v>79</v>
      </c>
      <c r="C1486" s="2" t="s">
        <v>573</v>
      </c>
      <c r="D1486" s="2" t="str">
        <f t="shared" si="22"/>
        <v>Error?</v>
      </c>
    </row>
    <row r="1487" spans="1:4" x14ac:dyDescent="0.2">
      <c r="A1487" s="5">
        <v>1426</v>
      </c>
      <c r="B1487" s="138">
        <f>'Expenditures 15-22'!K246</f>
        <v>1051</v>
      </c>
      <c r="C1487" s="2" t="s">
        <v>573</v>
      </c>
      <c r="D1487" s="2" t="str">
        <f t="shared" si="22"/>
        <v>Error?</v>
      </c>
    </row>
    <row r="1488" spans="1:4" x14ac:dyDescent="0.2">
      <c r="A1488" s="5">
        <v>1427</v>
      </c>
      <c r="B1488" s="138">
        <f>'Expenditures 15-22'!K257</f>
        <v>9541</v>
      </c>
      <c r="C1488" s="2" t="s">
        <v>573</v>
      </c>
      <c r="D1488" s="2" t="str">
        <f t="shared" si="22"/>
        <v>Error?</v>
      </c>
    </row>
    <row r="1489" spans="1:4" x14ac:dyDescent="0.2">
      <c r="A1489" s="5">
        <v>1428</v>
      </c>
      <c r="B1489" s="138">
        <f>'Expenditures 15-22'!K259</f>
        <v>17631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17631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5084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30044</v>
      </c>
      <c r="C1495" s="2" t="s">
        <v>573</v>
      </c>
      <c r="D1495" s="2" t="str">
        <f t="shared" si="22"/>
        <v>Error?</v>
      </c>
    </row>
    <row r="1496" spans="1:4" x14ac:dyDescent="0.2">
      <c r="A1496" s="5">
        <v>1435</v>
      </c>
      <c r="B1496" s="138">
        <f>'Expenditures 15-22'!K267</f>
        <v>10090</v>
      </c>
      <c r="C1496" s="2" t="s">
        <v>573</v>
      </c>
      <c r="D1496" s="2" t="str">
        <f t="shared" si="22"/>
        <v>Error?</v>
      </c>
    </row>
    <row r="1497" spans="1:4" x14ac:dyDescent="0.2">
      <c r="A1497" s="5">
        <v>1436</v>
      </c>
      <c r="B1497" s="138">
        <f>'Expenditures 15-22'!K268</f>
        <v>11994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57212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7780</v>
      </c>
      <c r="C1506" s="2" t="s">
        <v>573</v>
      </c>
      <c r="D1506" s="2" t="str">
        <f t="shared" si="22"/>
        <v>Error?</v>
      </c>
    </row>
    <row r="1507" spans="1:4" x14ac:dyDescent="0.2">
      <c r="A1507" s="10">
        <v>1446</v>
      </c>
      <c r="D1507" s="2" t="str">
        <f t="shared" si="22"/>
        <v>OK</v>
      </c>
    </row>
    <row r="1508" spans="1:4" x14ac:dyDescent="0.2">
      <c r="A1508" s="5">
        <v>1447</v>
      </c>
      <c r="B1508" s="138">
        <f>'Expenditures 15-22'!K277</f>
        <v>7780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93301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111677</v>
      </c>
      <c r="C1517" s="2" t="s">
        <v>573</v>
      </c>
      <c r="D1517" s="2" t="str">
        <f t="shared" si="22"/>
        <v>Error?</v>
      </c>
    </row>
    <row r="1518" spans="1:4" x14ac:dyDescent="0.2">
      <c r="A1518" s="5">
        <v>1457</v>
      </c>
      <c r="B1518" s="138">
        <f>'Expenditures 15-22'!K296</f>
        <v>26387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1736689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2160979</v>
      </c>
      <c r="C1630" s="2" t="s">
        <v>573</v>
      </c>
      <c r="D1630" s="2" t="str">
        <f t="shared" si="24"/>
        <v>Error?</v>
      </c>
    </row>
    <row r="1631" spans="1:4" x14ac:dyDescent="0.2">
      <c r="A1631" s="5">
        <v>1570</v>
      </c>
      <c r="B1631" s="138">
        <f>'Acct Summary 7-8'!D79</f>
        <v>1298525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1426412</v>
      </c>
      <c r="C1644" s="2" t="s">
        <v>573</v>
      </c>
      <c r="D1644" s="2" t="str">
        <f t="shared" si="24"/>
        <v>Error?</v>
      </c>
    </row>
    <row r="1645" spans="1:4" x14ac:dyDescent="0.2">
      <c r="A1645" s="5">
        <v>1584</v>
      </c>
      <c r="B1645" s="138">
        <f>'Acct Summary 7-8'!E79</f>
        <v>7104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8146</v>
      </c>
      <c r="C1658" s="2" t="s">
        <v>573</v>
      </c>
      <c r="D1658" s="2" t="str">
        <f t="shared" si="24"/>
        <v>Error?</v>
      </c>
    </row>
    <row r="1659" spans="1:4" x14ac:dyDescent="0.2">
      <c r="A1659" s="5">
        <v>1598</v>
      </c>
      <c r="B1659" s="138">
        <f>'Acct Summary 7-8'!F79</f>
        <v>722521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719102</v>
      </c>
      <c r="C1672" s="2" t="s">
        <v>573</v>
      </c>
      <c r="D1672" s="2" t="str">
        <f t="shared" si="25"/>
        <v>Error?</v>
      </c>
    </row>
    <row r="1673" spans="1:4" x14ac:dyDescent="0.2">
      <c r="A1673" s="5">
        <v>1612</v>
      </c>
      <c r="B1673" s="138">
        <f>'Acct Summary 7-8'!G79</f>
        <v>141031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167418</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1543412</v>
      </c>
      <c r="C1744" s="2" t="s">
        <v>573</v>
      </c>
      <c r="D1744" s="2" t="str">
        <f t="shared" si="26"/>
        <v>Error?</v>
      </c>
    </row>
    <row r="1745" spans="1:5" x14ac:dyDescent="0.2">
      <c r="A1745" s="5">
        <v>1684</v>
      </c>
      <c r="B1745" s="138">
        <f>'Tax Sched 23'!B5</f>
        <v>200444</v>
      </c>
      <c r="C1745" s="2" t="s">
        <v>573</v>
      </c>
      <c r="D1745" s="2" t="str">
        <f t="shared" si="26"/>
        <v>Error?</v>
      </c>
    </row>
    <row r="1746" spans="1:5" x14ac:dyDescent="0.2">
      <c r="A1746" s="5">
        <v>1685</v>
      </c>
      <c r="B1746" s="138">
        <f>'Tax Sched 23'!B6</f>
        <v>145457</v>
      </c>
      <c r="C1746" s="2" t="s">
        <v>573</v>
      </c>
      <c r="D1746" s="2" t="str">
        <f t="shared" si="26"/>
        <v>Error?</v>
      </c>
    </row>
    <row r="1747" spans="1:5" x14ac:dyDescent="0.2">
      <c r="A1747" s="5">
        <v>1686</v>
      </c>
      <c r="B1747" s="138">
        <f>'Tax Sched 23'!B7</f>
        <v>80177</v>
      </c>
      <c r="C1747" s="2" t="s">
        <v>573</v>
      </c>
      <c r="D1747" s="2" t="str">
        <f t="shared" si="26"/>
        <v>Error?</v>
      </c>
    </row>
    <row r="1748" spans="1:5" x14ac:dyDescent="0.2">
      <c r="A1748" s="5">
        <v>1687</v>
      </c>
      <c r="B1748" s="138">
        <f>'Tax Sched 23'!B8</f>
        <v>66939</v>
      </c>
      <c r="C1748" s="2" t="s">
        <v>573</v>
      </c>
      <c r="D1748" s="2" t="str">
        <f t="shared" si="26"/>
        <v>Error?</v>
      </c>
    </row>
    <row r="1749" spans="1:5" x14ac:dyDescent="0.2">
      <c r="A1749" s="5">
        <v>1688</v>
      </c>
      <c r="B1749" s="138">
        <f>'Tax Sched 23'!B10</f>
        <v>20044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244774</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16036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2384222</v>
      </c>
      <c r="C1759" s="2" t="s">
        <v>573</v>
      </c>
      <c r="D1759" s="2" t="str">
        <f t="shared" si="26"/>
        <v>Error?</v>
      </c>
    </row>
    <row r="1760" spans="1:5" x14ac:dyDescent="0.2">
      <c r="A1760" s="5">
        <v>1699</v>
      </c>
      <c r="B1760" s="138">
        <f>'Tax Sched 23'!D4</f>
        <v>1543412</v>
      </c>
      <c r="C1760" s="2" t="s">
        <v>573</v>
      </c>
      <c r="D1760" s="2" t="str">
        <f t="shared" si="26"/>
        <v>Error?</v>
      </c>
    </row>
    <row r="1761" spans="1:5" x14ac:dyDescent="0.2">
      <c r="A1761" s="5">
        <v>1700</v>
      </c>
      <c r="B1761" s="138">
        <f>'Tax Sched 23'!D5</f>
        <v>200444</v>
      </c>
      <c r="C1761" s="2" t="s">
        <v>573</v>
      </c>
      <c r="D1761" s="2" t="str">
        <f t="shared" si="26"/>
        <v>Error?</v>
      </c>
    </row>
    <row r="1762" spans="1:5" s="8" customFormat="1" x14ac:dyDescent="0.2">
      <c r="A1762" s="5">
        <v>1701</v>
      </c>
      <c r="B1762" s="138">
        <f>'Tax Sched 23'!D6</f>
        <v>145457</v>
      </c>
      <c r="C1762" s="2" t="s">
        <v>573</v>
      </c>
      <c r="D1762" s="2" t="str">
        <f t="shared" si="26"/>
        <v>Error?</v>
      </c>
      <c r="E1762" s="9"/>
    </row>
    <row r="1763" spans="1:5" x14ac:dyDescent="0.2">
      <c r="A1763" s="5">
        <v>1702</v>
      </c>
      <c r="B1763" s="138">
        <f>'Tax Sched 23'!D7</f>
        <v>80177</v>
      </c>
      <c r="C1763" s="2" t="s">
        <v>573</v>
      </c>
      <c r="D1763" s="2" t="str">
        <f t="shared" si="26"/>
        <v>Error?</v>
      </c>
    </row>
    <row r="1764" spans="1:5" x14ac:dyDescent="0.2">
      <c r="A1764" s="5">
        <v>1703</v>
      </c>
      <c r="B1764" s="138">
        <f>'Tax Sched 23'!D8</f>
        <v>66939</v>
      </c>
      <c r="C1764" s="2" t="s">
        <v>573</v>
      </c>
      <c r="D1764" s="2" t="str">
        <f t="shared" si="26"/>
        <v>Error?</v>
      </c>
    </row>
    <row r="1765" spans="1:5" x14ac:dyDescent="0.2">
      <c r="A1765" s="5">
        <v>1704</v>
      </c>
      <c r="B1765" s="138">
        <f>'Tax Sched 23'!D10</f>
        <v>20044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244774</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16036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2384222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1623148</v>
      </c>
      <c r="C1792" s="2" t="s">
        <v>573</v>
      </c>
      <c r="D1792" s="2" t="str">
        <f t="shared" si="27"/>
        <v>Error?</v>
      </c>
    </row>
    <row r="1793" spans="1:4" x14ac:dyDescent="0.2">
      <c r="A1793" s="5">
        <v>1732</v>
      </c>
      <c r="B1793" s="138">
        <f>'Tax Sched 23'!F5</f>
        <v>208744</v>
      </c>
      <c r="C1793" s="2" t="s">
        <v>573</v>
      </c>
      <c r="D1793" s="2" t="str">
        <f t="shared" si="27"/>
        <v>Error?</v>
      </c>
    </row>
    <row r="1794" spans="1:4" x14ac:dyDescent="0.2">
      <c r="A1794" s="5">
        <v>1733</v>
      </c>
      <c r="B1794" s="138">
        <f>'Tax Sched 23'!F6</f>
        <v>84790</v>
      </c>
      <c r="C1794" s="2" t="s">
        <v>573</v>
      </c>
      <c r="D1794" s="2" t="str">
        <f t="shared" si="27"/>
        <v>Error?</v>
      </c>
    </row>
    <row r="1795" spans="1:4" x14ac:dyDescent="0.2">
      <c r="A1795" s="5">
        <v>1734</v>
      </c>
      <c r="B1795" s="138">
        <f>'Tax Sched 23'!F7</f>
        <v>84798</v>
      </c>
      <c r="C1795" s="2" t="s">
        <v>573</v>
      </c>
      <c r="D1795" s="2" t="str">
        <f t="shared" si="27"/>
        <v>Error?</v>
      </c>
    </row>
    <row r="1796" spans="1:4" x14ac:dyDescent="0.2">
      <c r="A1796" s="5">
        <v>1735</v>
      </c>
      <c r="B1796" s="138">
        <f>'Tax Sched 23'!F8</f>
        <v>63785</v>
      </c>
      <c r="C1796" s="2" t="s">
        <v>573</v>
      </c>
      <c r="D1796" s="2" t="str">
        <f t="shared" si="27"/>
        <v>Error?</v>
      </c>
    </row>
    <row r="1797" spans="1:4" x14ac:dyDescent="0.2">
      <c r="A1797" s="5">
        <v>1736</v>
      </c>
      <c r="B1797" s="138">
        <f>'Tax Sched 23'!F10</f>
        <v>21200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196567</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16960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2363930</v>
      </c>
      <c r="C1807" s="2" t="s">
        <v>573</v>
      </c>
      <c r="D1807" s="2" t="str">
        <f t="shared" si="27"/>
        <v>Error?</v>
      </c>
    </row>
    <row r="1808" spans="1:4" x14ac:dyDescent="0.2">
      <c r="A1808" s="5">
        <v>1747</v>
      </c>
      <c r="B1808" s="138">
        <f>'Tax Sched 23'!E4</f>
        <v>1623148</v>
      </c>
      <c r="D1808" s="2" t="str">
        <f t="shared" si="27"/>
        <v>Error?</v>
      </c>
    </row>
    <row r="1809" spans="1:4" x14ac:dyDescent="0.2">
      <c r="A1809" s="5">
        <v>1748</v>
      </c>
      <c r="B1809" s="138">
        <f>'Tax Sched 23'!E5</f>
        <v>208744</v>
      </c>
      <c r="D1809" s="2" t="str">
        <f t="shared" si="27"/>
        <v>Error?</v>
      </c>
    </row>
    <row r="1810" spans="1:4" x14ac:dyDescent="0.2">
      <c r="A1810" s="5">
        <v>1749</v>
      </c>
      <c r="B1810" s="138">
        <f>'Tax Sched 23'!E6</f>
        <v>84790</v>
      </c>
      <c r="D1810" s="2" t="str">
        <f t="shared" si="27"/>
        <v>Error?</v>
      </c>
    </row>
    <row r="1811" spans="1:4" x14ac:dyDescent="0.2">
      <c r="A1811" s="5">
        <v>1750</v>
      </c>
      <c r="B1811" s="138">
        <f>'Tax Sched 23'!E7</f>
        <v>84798</v>
      </c>
      <c r="D1811" s="2" t="str">
        <f t="shared" si="27"/>
        <v>Error?</v>
      </c>
    </row>
    <row r="1812" spans="1:4" x14ac:dyDescent="0.2">
      <c r="A1812" s="5">
        <v>1751</v>
      </c>
      <c r="B1812" s="138">
        <f>'Tax Sched 23'!E8</f>
        <v>63785</v>
      </c>
      <c r="D1812" s="2" t="str">
        <f t="shared" si="27"/>
        <v>Error?</v>
      </c>
    </row>
    <row r="1813" spans="1:4" x14ac:dyDescent="0.2">
      <c r="A1813" s="5">
        <v>1752</v>
      </c>
      <c r="B1813" s="138">
        <f>'Tax Sched 23'!E10</f>
        <v>21200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196567</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16960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2363930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219000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16036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16036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16036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5362</v>
      </c>
      <c r="D2008" s="2" t="str">
        <f t="shared" si="30"/>
        <v>Error?</v>
      </c>
    </row>
    <row r="2009" spans="1:4" x14ac:dyDescent="0.2">
      <c r="A2009" s="5">
        <v>1948</v>
      </c>
      <c r="B2009" s="138">
        <f>'Cap Outlay Deprec 26'!C8</f>
        <v>3068594</v>
      </c>
      <c r="D2009" s="2" t="str">
        <f t="shared" si="30"/>
        <v>Error?</v>
      </c>
    </row>
    <row r="2010" spans="1:4" x14ac:dyDescent="0.2">
      <c r="A2010" s="5">
        <v>1949</v>
      </c>
      <c r="B2010" s="138">
        <f>'Cap Outlay Deprec 26'!C10</f>
        <v>2075104</v>
      </c>
      <c r="D2010" s="2" t="str">
        <f t="shared" si="30"/>
        <v>Error?</v>
      </c>
    </row>
    <row r="2011" spans="1:4" x14ac:dyDescent="0.2">
      <c r="A2011" s="5">
        <v>1950</v>
      </c>
      <c r="B2011" s="138">
        <f>'Cap Outlay Deprec 26'!C12</f>
        <v>1794864</v>
      </c>
      <c r="D2011" s="2" t="str">
        <f t="shared" si="30"/>
        <v>Error?</v>
      </c>
    </row>
    <row r="2012" spans="1:4" x14ac:dyDescent="0.2">
      <c r="A2012" s="5">
        <v>1951</v>
      </c>
      <c r="B2012" s="138">
        <f>'Cap Outlay Deprec 26'!C13</f>
        <v>513268</v>
      </c>
      <c r="D2012" s="2" t="str">
        <f t="shared" si="30"/>
        <v>Error?</v>
      </c>
    </row>
    <row r="2013" spans="1:4" x14ac:dyDescent="0.2">
      <c r="A2013" s="5">
        <v>1952</v>
      </c>
      <c r="B2013" s="138">
        <f>'Cap Outlay Deprec 26'!C16</f>
        <v>7581334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43876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43876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5362</v>
      </c>
      <c r="C2026" s="2" t="s">
        <v>573</v>
      </c>
      <c r="D2026" s="2" t="str">
        <f t="shared" si="30"/>
        <v>Error?</v>
      </c>
    </row>
    <row r="2027" spans="1:4" x14ac:dyDescent="0.2">
      <c r="A2027" s="5">
        <v>1966</v>
      </c>
      <c r="B2027" s="138">
        <f>'Cap Outlay Deprec 26'!F8</f>
        <v>3068594</v>
      </c>
      <c r="C2027" s="2" t="s">
        <v>573</v>
      </c>
      <c r="D2027" s="2" t="str">
        <f t="shared" si="30"/>
        <v>Error?</v>
      </c>
    </row>
    <row r="2028" spans="1:4" x14ac:dyDescent="0.2">
      <c r="A2028" s="5">
        <v>1967</v>
      </c>
      <c r="B2028" s="138">
        <f>'Cap Outlay Deprec 26'!F10</f>
        <v>2075104</v>
      </c>
      <c r="C2028" s="2" t="s">
        <v>573</v>
      </c>
      <c r="D2028" s="2" t="str">
        <f t="shared" si="30"/>
        <v>Error?</v>
      </c>
    </row>
    <row r="2029" spans="1:4" x14ac:dyDescent="0.2">
      <c r="A2029" s="5">
        <v>1968</v>
      </c>
      <c r="B2029" s="138">
        <f>'Cap Outlay Deprec 26'!F12</f>
        <v>1838740</v>
      </c>
      <c r="C2029" s="2" t="s">
        <v>573</v>
      </c>
      <c r="D2029" s="2" t="str">
        <f t="shared" si="30"/>
        <v>Error?</v>
      </c>
    </row>
    <row r="2030" spans="1:4" x14ac:dyDescent="0.2">
      <c r="A2030" s="5">
        <v>1969</v>
      </c>
      <c r="B2030" s="138">
        <f>'Cap Outlay Deprec 26'!F13</f>
        <v>513268</v>
      </c>
      <c r="C2030" s="2" t="s">
        <v>573</v>
      </c>
      <c r="D2030" s="2" t="str">
        <f t="shared" si="30"/>
        <v>Error?</v>
      </c>
    </row>
    <row r="2031" spans="1:4" x14ac:dyDescent="0.2">
      <c r="A2031" s="5">
        <v>1970</v>
      </c>
      <c r="B2031" s="138">
        <f>'Cap Outlay Deprec 26'!F16</f>
        <v>7625210</v>
      </c>
      <c r="C2031" s="2" t="s">
        <v>573</v>
      </c>
      <c r="D2031" s="2" t="str">
        <f t="shared" si="30"/>
        <v>Error?</v>
      </c>
    </row>
    <row r="2032" spans="1:4" x14ac:dyDescent="0.2">
      <c r="A2032" s="10">
        <v>1971</v>
      </c>
      <c r="D2032" s="2" t="str">
        <f t="shared" si="30"/>
        <v>OK</v>
      </c>
    </row>
    <row r="2033" spans="1:4" x14ac:dyDescent="0.2">
      <c r="A2033" s="5">
        <v>1972</v>
      </c>
      <c r="B2033" s="138">
        <f>'Cap Outlay Deprec 26'!H8</f>
        <v>1900542</v>
      </c>
      <c r="D2033" s="2" t="str">
        <f t="shared" si="30"/>
        <v>Error?</v>
      </c>
    </row>
    <row r="2034" spans="1:4" x14ac:dyDescent="0.2">
      <c r="A2034" s="5">
        <v>1973</v>
      </c>
      <c r="B2034" s="138">
        <f>'Cap Outlay Deprec 26'!H10</f>
        <v>1438140</v>
      </c>
      <c r="D2034" s="2" t="str">
        <f t="shared" si="30"/>
        <v>Error?</v>
      </c>
    </row>
    <row r="2035" spans="1:4" x14ac:dyDescent="0.2">
      <c r="A2035" s="5">
        <v>1974</v>
      </c>
      <c r="B2035" s="138">
        <f>'Cap Outlay Deprec 26'!H12</f>
        <v>1439952</v>
      </c>
      <c r="D2035" s="2" t="str">
        <f t="shared" si="30"/>
        <v>Error?</v>
      </c>
    </row>
    <row r="2036" spans="1:4" x14ac:dyDescent="0.2">
      <c r="A2036" s="5">
        <v>1975</v>
      </c>
      <c r="B2036" s="138">
        <f>'Cap Outlay Deprec 26'!H13</f>
        <v>287081</v>
      </c>
      <c r="D2036" s="2" t="str">
        <f t="shared" si="30"/>
        <v>Error?</v>
      </c>
    </row>
    <row r="2037" spans="1:4" x14ac:dyDescent="0.2">
      <c r="A2037" s="5">
        <v>1976</v>
      </c>
      <c r="B2037" s="138">
        <f>'Cap Outlay Deprec 26'!H16</f>
        <v>5189857</v>
      </c>
      <c r="C2037" s="2" t="s">
        <v>573</v>
      </c>
      <c r="D2037" s="2" t="str">
        <f t="shared" si="30"/>
        <v>Error?</v>
      </c>
    </row>
    <row r="2038" spans="1:4" x14ac:dyDescent="0.2">
      <c r="A2038" s="10">
        <v>1977</v>
      </c>
      <c r="D2038" s="2" t="str">
        <f t="shared" si="30"/>
        <v>OK</v>
      </c>
    </row>
    <row r="2039" spans="1:4" x14ac:dyDescent="0.2">
      <c r="A2039" s="5">
        <v>1978</v>
      </c>
      <c r="B2039" s="138">
        <f>'Cap Outlay Deprec 26'!I8</f>
        <v>38314</v>
      </c>
      <c r="D2039" s="2" t="str">
        <f t="shared" si="30"/>
        <v>Error?</v>
      </c>
    </row>
    <row r="2040" spans="1:4" x14ac:dyDescent="0.2">
      <c r="A2040" s="5">
        <v>1979</v>
      </c>
      <c r="B2040" s="138">
        <f>'Cap Outlay Deprec 26'!I10</f>
        <v>98183</v>
      </c>
      <c r="D2040" s="2" t="str">
        <f t="shared" si="30"/>
        <v>Error?</v>
      </c>
    </row>
    <row r="2041" spans="1:4" x14ac:dyDescent="0.2">
      <c r="A2041" s="5">
        <v>1980</v>
      </c>
      <c r="B2041" s="138">
        <f>'Cap Outlay Deprec 26'!I12</f>
        <v>67821</v>
      </c>
      <c r="D2041" s="2" t="str">
        <f t="shared" si="30"/>
        <v>Error?</v>
      </c>
    </row>
    <row r="2042" spans="1:4" x14ac:dyDescent="0.2">
      <c r="A2042" s="5">
        <v>1981</v>
      </c>
      <c r="B2042" s="138">
        <f>'Cap Outlay Deprec 26'!I13</f>
        <v>82152</v>
      </c>
      <c r="D2042" s="2" t="str">
        <f t="shared" si="30"/>
        <v>Error?</v>
      </c>
    </row>
    <row r="2043" spans="1:4" x14ac:dyDescent="0.2">
      <c r="A2043" s="5">
        <v>1982</v>
      </c>
      <c r="B2043" s="138">
        <f>'Cap Outlay Deprec 26'!I16</f>
        <v>286470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1938856</v>
      </c>
      <c r="C2051" s="2" t="s">
        <v>573</v>
      </c>
      <c r="D2051" s="2" t="str">
        <f t="shared" si="31"/>
        <v>Error?</v>
      </c>
    </row>
    <row r="2052" spans="1:4" x14ac:dyDescent="0.2">
      <c r="A2052" s="5">
        <v>1991</v>
      </c>
      <c r="B2052" s="138">
        <f>'Cap Outlay Deprec 26'!K10</f>
        <v>1536323</v>
      </c>
      <c r="C2052" s="2" t="s">
        <v>573</v>
      </c>
      <c r="D2052" s="2" t="str">
        <f t="shared" si="31"/>
        <v>Error?</v>
      </c>
    </row>
    <row r="2053" spans="1:4" x14ac:dyDescent="0.2">
      <c r="A2053" s="5">
        <v>1992</v>
      </c>
      <c r="B2053" s="138">
        <f>'Cap Outlay Deprec 26'!K12</f>
        <v>1507773</v>
      </c>
      <c r="C2053" s="2" t="s">
        <v>573</v>
      </c>
      <c r="D2053" s="2" t="str">
        <f t="shared" si="31"/>
        <v>Error?</v>
      </c>
    </row>
    <row r="2054" spans="1:4" x14ac:dyDescent="0.2">
      <c r="A2054" s="5">
        <v>1993</v>
      </c>
      <c r="B2054" s="138">
        <f>'Cap Outlay Deprec 26'!K13</f>
        <v>369233</v>
      </c>
      <c r="C2054" s="2" t="s">
        <v>573</v>
      </c>
      <c r="D2054" s="2" t="str">
        <f t="shared" si="31"/>
        <v>Error?</v>
      </c>
    </row>
    <row r="2055" spans="1:4" x14ac:dyDescent="0.2">
      <c r="A2055" s="5">
        <v>1994</v>
      </c>
      <c r="B2055" s="138">
        <f>'Cap Outlay Deprec 26'!K16</f>
        <v>5476327</v>
      </c>
      <c r="C2055" s="2" t="s">
        <v>573</v>
      </c>
      <c r="D2055" s="2" t="str">
        <f t="shared" si="31"/>
        <v>Error?</v>
      </c>
    </row>
    <row r="2056" spans="1:4" x14ac:dyDescent="0.2">
      <c r="A2056" s="5">
        <v>1995</v>
      </c>
      <c r="B2056" s="138">
        <f>'Cap Outlay Deprec 26'!L5</f>
        <v>5362</v>
      </c>
      <c r="C2056" s="2" t="s">
        <v>573</v>
      </c>
      <c r="D2056" s="2" t="str">
        <f t="shared" si="31"/>
        <v>Error?</v>
      </c>
    </row>
    <row r="2057" spans="1:4" x14ac:dyDescent="0.2">
      <c r="A2057" s="5">
        <v>1996</v>
      </c>
      <c r="B2057" s="138">
        <f>'Cap Outlay Deprec 26'!L8</f>
        <v>1129738</v>
      </c>
      <c r="C2057" s="2" t="s">
        <v>573</v>
      </c>
      <c r="D2057" s="2" t="str">
        <f t="shared" si="31"/>
        <v>Error?</v>
      </c>
    </row>
    <row r="2058" spans="1:4" x14ac:dyDescent="0.2">
      <c r="A2058" s="5">
        <v>1997</v>
      </c>
      <c r="B2058" s="138">
        <f>'Cap Outlay Deprec 26'!L10</f>
        <v>538781</v>
      </c>
      <c r="C2058" s="2" t="s">
        <v>573</v>
      </c>
      <c r="D2058" s="2" t="str">
        <f t="shared" si="31"/>
        <v>Error?</v>
      </c>
    </row>
    <row r="2059" spans="1:4" x14ac:dyDescent="0.2">
      <c r="A2059" s="5">
        <v>1998</v>
      </c>
      <c r="B2059" s="138">
        <f>'Cap Outlay Deprec 26'!L12</f>
        <v>330967</v>
      </c>
      <c r="C2059" s="2" t="s">
        <v>573</v>
      </c>
      <c r="D2059" s="2" t="str">
        <f t="shared" si="31"/>
        <v>Error?</v>
      </c>
    </row>
    <row r="2060" spans="1:4" x14ac:dyDescent="0.2">
      <c r="A2060" s="5">
        <v>1999</v>
      </c>
      <c r="B2060" s="138">
        <f>'Cap Outlay Deprec 26'!L13</f>
        <v>144035</v>
      </c>
      <c r="C2060" s="2" t="s">
        <v>573</v>
      </c>
      <c r="D2060" s="2" t="str">
        <f t="shared" si="31"/>
        <v>Error?</v>
      </c>
    </row>
    <row r="2061" spans="1:4" x14ac:dyDescent="0.2">
      <c r="A2061" s="5">
        <v>2000</v>
      </c>
      <c r="B2061" s="138">
        <f>'Cap Outlay Deprec 26'!L16</f>
        <v>2148883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295304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167418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1699041</v>
      </c>
      <c r="C2551" s="2" t="s">
        <v>573</v>
      </c>
      <c r="D2551" s="2" t="str">
        <f t="shared" si="38"/>
        <v>Error?</v>
      </c>
    </row>
    <row r="2552" spans="1:4" x14ac:dyDescent="0.2">
      <c r="A2552" s="10">
        <v>2491</v>
      </c>
      <c r="D2552" s="2" t="str">
        <f t="shared" si="38"/>
        <v>OK</v>
      </c>
    </row>
    <row r="2553" spans="1:4" x14ac:dyDescent="0.2">
      <c r="A2553" s="5">
        <v>2492</v>
      </c>
      <c r="B2553" s="138">
        <f>'Acct Summary 7-8'!C6</f>
        <v>1202078</v>
      </c>
      <c r="C2553" s="2" t="s">
        <v>573</v>
      </c>
      <c r="D2553" s="2" t="str">
        <f t="shared" si="38"/>
        <v>Error?</v>
      </c>
    </row>
    <row r="2554" spans="1:4" x14ac:dyDescent="0.2">
      <c r="A2554" s="5">
        <v>2493</v>
      </c>
      <c r="B2554" s="138">
        <f>'Acct Summary 7-8'!C7</f>
        <v>252949</v>
      </c>
      <c r="C2554" s="2" t="s">
        <v>573</v>
      </c>
      <c r="D2554" s="2" t="str">
        <f t="shared" si="38"/>
        <v>Error?</v>
      </c>
    </row>
    <row r="2555" spans="1:4" x14ac:dyDescent="0.2">
      <c r="A2555" s="5">
        <v>2494</v>
      </c>
      <c r="B2555" s="138">
        <f>'Acct Summary 7-8'!C8</f>
        <v>3154068</v>
      </c>
      <c r="C2555" s="2" t="s">
        <v>573</v>
      </c>
      <c r="D2555" s="2" t="str">
        <f t="shared" si="38"/>
        <v>Error?</v>
      </c>
    </row>
    <row r="2556" spans="1:4" x14ac:dyDescent="0.2">
      <c r="A2556" s="5">
        <v>2495</v>
      </c>
      <c r="B2556" s="138">
        <f>'Acct Summary 7-8'!C12</f>
        <v>1466676</v>
      </c>
      <c r="C2556" s="2" t="s">
        <v>573</v>
      </c>
      <c r="D2556" s="2" t="str">
        <f t="shared" si="38"/>
        <v>Error?</v>
      </c>
    </row>
    <row r="2557" spans="1:4" x14ac:dyDescent="0.2">
      <c r="A2557" s="5">
        <v>2496</v>
      </c>
      <c r="B2557" s="138">
        <f>'Acct Summary 7-8'!C13</f>
        <v>967798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295304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2729778</v>
      </c>
      <c r="C2561" s="2" t="s">
        <v>573</v>
      </c>
      <c r="D2561" s="2" t="str">
        <f t="shared" si="39"/>
        <v>Error?</v>
      </c>
    </row>
    <row r="2562" spans="1:4" x14ac:dyDescent="0.2">
      <c r="A2562" s="5">
        <v>2501</v>
      </c>
      <c r="B2562" s="138">
        <f>'Acct Summary 7-8'!C20</f>
        <v>424290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278604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278604</v>
      </c>
      <c r="C2568" s="2" t="s">
        <v>573</v>
      </c>
      <c r="D2568" s="2" t="str">
        <f t="shared" si="39"/>
        <v>Error?</v>
      </c>
    </row>
    <row r="2569" spans="1:4" x14ac:dyDescent="0.2">
      <c r="A2569" s="5">
        <v>2508</v>
      </c>
      <c r="B2569" s="138">
        <f>'Acct Summary 7-8'!D13</f>
        <v>150717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150717</v>
      </c>
      <c r="C2573" s="2" t="s">
        <v>573</v>
      </c>
      <c r="D2573" s="2" t="str">
        <f t="shared" si="39"/>
        <v>Error?</v>
      </c>
    </row>
    <row r="2574" spans="1:4" x14ac:dyDescent="0.2">
      <c r="A2574" s="5">
        <v>2513</v>
      </c>
      <c r="B2574" s="138">
        <f>'Acct Summary 7-8'!D20</f>
        <v>127887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81451</v>
      </c>
      <c r="C2591" s="2" t="s">
        <v>573</v>
      </c>
      <c r="D2591" s="2" t="str">
        <f t="shared" si="39"/>
        <v>Error?</v>
      </c>
    </row>
    <row r="2592" spans="1:4" x14ac:dyDescent="0.2">
      <c r="A2592" s="10">
        <v>2531</v>
      </c>
      <c r="D2592" s="2" t="str">
        <f t="shared" si="39"/>
        <v>OK</v>
      </c>
    </row>
    <row r="2593" spans="1:4" x14ac:dyDescent="0.2">
      <c r="A2593" s="5">
        <v>2532</v>
      </c>
      <c r="B2593" s="138">
        <f>'Acct Summary 7-8'!F6</f>
        <v>179997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261448</v>
      </c>
      <c r="C2595" s="2" t="s">
        <v>573</v>
      </c>
      <c r="D2595" s="2" t="str">
        <f t="shared" si="39"/>
        <v>Error?</v>
      </c>
    </row>
    <row r="2596" spans="1:4" x14ac:dyDescent="0.2">
      <c r="A2596" s="5">
        <v>2535</v>
      </c>
      <c r="B2596" s="138">
        <f>'Acct Summary 7-8'!F13</f>
        <v>222513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42354</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264867</v>
      </c>
      <c r="C2600" s="2" t="s">
        <v>573</v>
      </c>
      <c r="D2600" s="2" t="str">
        <f t="shared" si="39"/>
        <v>Error?</v>
      </c>
    </row>
    <row r="2601" spans="1:4" x14ac:dyDescent="0.2">
      <c r="A2601" s="5">
        <v>2540</v>
      </c>
      <c r="B2601" s="138">
        <f>'Acct Summary 7-8'!F20</f>
        <v>-3419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138064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138064</v>
      </c>
      <c r="C2606" s="2" t="s">
        <v>573</v>
      </c>
      <c r="D2606" s="2" t="str">
        <f t="shared" si="39"/>
        <v>Error?</v>
      </c>
    </row>
    <row r="2607" spans="1:4" x14ac:dyDescent="0.2">
      <c r="A2607" s="5">
        <v>2546</v>
      </c>
      <c r="B2607" s="138">
        <f>'Acct Summary 7-8'!G12</f>
        <v>18376</v>
      </c>
      <c r="C2607" s="2" t="s">
        <v>573</v>
      </c>
      <c r="D2607" s="2" t="str">
        <f t="shared" si="39"/>
        <v>Error?</v>
      </c>
    </row>
    <row r="2608" spans="1:4" x14ac:dyDescent="0.2">
      <c r="A2608" s="5">
        <v>2547</v>
      </c>
      <c r="B2608" s="138">
        <f>'Acct Summary 7-8'!G13</f>
        <v>93301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111677</v>
      </c>
      <c r="C2612" s="2" t="s">
        <v>573</v>
      </c>
      <c r="D2612" s="2" t="str">
        <f t="shared" si="39"/>
        <v>Error?</v>
      </c>
    </row>
    <row r="2613" spans="1:4" x14ac:dyDescent="0.2">
      <c r="A2613" s="5">
        <v>2552</v>
      </c>
      <c r="B2613" s="138">
        <f>'Acct Summary 7-8'!G20</f>
        <v>26387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145491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145491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144449</v>
      </c>
      <c r="C2634" s="2" t="s">
        <v>573</v>
      </c>
      <c r="D2634" s="2" t="str">
        <f t="shared" si="40"/>
        <v>Error?</v>
      </c>
    </row>
    <row r="2635" spans="1:4" x14ac:dyDescent="0.2">
      <c r="A2635" s="5">
        <v>2574</v>
      </c>
      <c r="B2635" s="138">
        <f>'Acct Summary 7-8'!E17</f>
        <v>144449</v>
      </c>
      <c r="C2635" s="2" t="s">
        <v>573</v>
      </c>
      <c r="D2635" s="2" t="str">
        <f t="shared" si="40"/>
        <v>Error?</v>
      </c>
    </row>
    <row r="2636" spans="1:4" x14ac:dyDescent="0.2">
      <c r="A2636" s="5">
        <v>2575</v>
      </c>
      <c r="B2636" s="138">
        <f>'Acct Summary 7-8'!E20</f>
        <v>1042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42354</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42354</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569672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841678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79262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841678</v>
      </c>
      <c r="D2912" s="2" t="str">
        <f t="shared" si="44"/>
        <v>Error?</v>
      </c>
    </row>
    <row r="2913" spans="1:4" x14ac:dyDescent="0.2">
      <c r="A2913" s="5">
        <v>2852</v>
      </c>
      <c r="B2913" s="138">
        <f>'Assets-Liab 5-6'!I41</f>
        <v>841678</v>
      </c>
      <c r="C2913" s="2" t="s">
        <v>573</v>
      </c>
      <c r="D2913" s="2" t="str">
        <f t="shared" si="44"/>
        <v>Error?</v>
      </c>
    </row>
    <row r="2914" spans="1:4" x14ac:dyDescent="0.2">
      <c r="A2914" s="5">
        <v>2853</v>
      </c>
      <c r="B2914" s="138">
        <f>'Assets-Liab 5-6'!L33</f>
        <v>79262</v>
      </c>
      <c r="D2914" s="2" t="str">
        <f t="shared" si="44"/>
        <v>Error?</v>
      </c>
    </row>
    <row r="2915" spans="1:4" x14ac:dyDescent="0.2">
      <c r="A2915" s="10">
        <v>2854</v>
      </c>
      <c r="D2915" s="2" t="str">
        <f t="shared" si="44"/>
        <v>OK</v>
      </c>
    </row>
    <row r="2916" spans="1:4" x14ac:dyDescent="0.2">
      <c r="A2916" s="5">
        <v>2855</v>
      </c>
      <c r="B2916" s="138">
        <f>'Assets-Liab 5-6'!L34</f>
        <v>79262</v>
      </c>
      <c r="C2916" s="2" t="s">
        <v>573</v>
      </c>
      <c r="D2916" s="2" t="str">
        <f t="shared" si="44"/>
        <v>Error?</v>
      </c>
    </row>
    <row r="2917" spans="1:4" x14ac:dyDescent="0.2">
      <c r="A2917" s="5">
        <v>2856</v>
      </c>
      <c r="B2917" s="138">
        <f>'Assets-Liab 5-6'!L41</f>
        <v>79262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42354</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42354</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54905</v>
      </c>
      <c r="D3055" s="2" t="str">
        <f t="shared" si="46"/>
        <v>Error?</v>
      </c>
    </row>
    <row r="3056" spans="1:4" x14ac:dyDescent="0.2">
      <c r="A3056" s="5">
        <v>2995</v>
      </c>
      <c r="B3056" s="138">
        <f>'Expenditures 15-22'!D10</f>
        <v>15408</v>
      </c>
      <c r="D3056" s="2" t="str">
        <f t="shared" si="46"/>
        <v>Error?</v>
      </c>
    </row>
    <row r="3057" spans="1:4" x14ac:dyDescent="0.2">
      <c r="A3057" s="5">
        <v>2996</v>
      </c>
      <c r="B3057" s="138">
        <f>'Expenditures 15-22'!E10</f>
        <v>9480</v>
      </c>
      <c r="D3057" s="2" t="str">
        <f t="shared" si="46"/>
        <v>Error?</v>
      </c>
    </row>
    <row r="3058" spans="1:4" x14ac:dyDescent="0.2">
      <c r="A3058" s="5">
        <v>2997</v>
      </c>
      <c r="B3058" s="138">
        <f>'Expenditures 15-22'!F10</f>
        <v>12716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92509</v>
      </c>
      <c r="C3062" s="2" t="s">
        <v>573</v>
      </c>
      <c r="D3062" s="2" t="str">
        <f t="shared" si="46"/>
        <v>Error?</v>
      </c>
    </row>
    <row r="3063" spans="1:4" x14ac:dyDescent="0.2">
      <c r="A3063" s="10">
        <v>3002</v>
      </c>
      <c r="D3063" s="2" t="str">
        <f t="shared" si="46"/>
        <v>OK</v>
      </c>
    </row>
    <row r="3064" spans="1:4" x14ac:dyDescent="0.2">
      <c r="A3064" s="5">
        <v>3003</v>
      </c>
      <c r="B3064" s="138">
        <f>'Expenditures 15-22'!D219</f>
        <v>1145</v>
      </c>
      <c r="D3064" s="2" t="str">
        <f t="shared" si="46"/>
        <v>Error?</v>
      </c>
    </row>
    <row r="3065" spans="1:4" x14ac:dyDescent="0.2">
      <c r="A3065" s="5">
        <v>3004</v>
      </c>
      <c r="B3065" s="138">
        <f>'Expenditures 15-22'!K219</f>
        <v>1145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24579</v>
      </c>
      <c r="C3225" s="2" t="s">
        <v>573</v>
      </c>
      <c r="D3225" s="2" t="str">
        <f t="shared" si="49"/>
        <v>Error?</v>
      </c>
    </row>
    <row r="3226" spans="1:4" x14ac:dyDescent="0.2">
      <c r="A3226" s="5">
        <v>3165</v>
      </c>
      <c r="B3226" s="138">
        <f>'Acct Summary 7-8'!I8</f>
        <v>24579</v>
      </c>
      <c r="C3226" s="2" t="s">
        <v>573</v>
      </c>
      <c r="D3226" s="2" t="str">
        <f t="shared" si="49"/>
        <v>Error?</v>
      </c>
    </row>
    <row r="3227" spans="1:4" x14ac:dyDescent="0.2">
      <c r="A3227" s="5">
        <v>3166</v>
      </c>
      <c r="B3227" s="138">
        <f>'Acct Summary 7-8'!I20</f>
        <v>24579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424290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127887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-3419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26387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1042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24579</v>
      </c>
      <c r="C3320" s="2" t="s">
        <v>573</v>
      </c>
      <c r="D3320" s="2" t="str">
        <f t="shared" si="50"/>
        <v>Error?</v>
      </c>
    </row>
    <row r="3321" spans="1:4" x14ac:dyDescent="0.2">
      <c r="A3321" s="5">
        <v>3260</v>
      </c>
      <c r="B3321" s="138">
        <f>'Acct Summary 7-8'!I79</f>
        <v>817099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841678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14350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14350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1735267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1426412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8146</v>
      </c>
      <c r="D3417" s="2" t="str">
        <f t="shared" si="52"/>
        <v>Error?</v>
      </c>
    </row>
    <row r="3418" spans="1:4" x14ac:dyDescent="0.2">
      <c r="A3418" s="10">
        <v>3357</v>
      </c>
      <c r="D3418" s="2" t="str">
        <f t="shared" si="52"/>
        <v>OK</v>
      </c>
    </row>
    <row r="3419" spans="1:4" x14ac:dyDescent="0.2">
      <c r="A3419" s="5">
        <v>3358</v>
      </c>
      <c r="B3419" s="138">
        <f>'Assets-Liab 5-6'!F4</f>
        <v>719102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167418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272006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79262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66939</v>
      </c>
      <c r="C3446" s="2" t="s">
        <v>573</v>
      </c>
      <c r="D3446" s="2" t="str">
        <f t="shared" si="52"/>
        <v>Error?</v>
      </c>
    </row>
    <row r="3447" spans="1:4" x14ac:dyDescent="0.2">
      <c r="A3447" s="5">
        <v>3386</v>
      </c>
      <c r="B3447" s="138">
        <f>'Tax Sched 23'!D16</f>
        <v>66939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63938</v>
      </c>
      <c r="C3449" s="2" t="s">
        <v>573</v>
      </c>
      <c r="D3449" s="2" t="str">
        <f t="shared" si="52"/>
        <v>Error?</v>
      </c>
    </row>
    <row r="3450" spans="1:4" x14ac:dyDescent="0.2">
      <c r="A3450" s="5">
        <v>3389</v>
      </c>
      <c r="B3450" s="138">
        <f>'Tax Sched 23'!E16</f>
        <v>63938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270521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270521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270521</v>
      </c>
      <c r="D3567" s="2" t="str">
        <f t="shared" si="54"/>
        <v>Error?</v>
      </c>
    </row>
    <row r="3568" spans="1:4" x14ac:dyDescent="0.2">
      <c r="A3568" s="5">
        <v>3507</v>
      </c>
      <c r="B3568" s="138">
        <f>'Assets-Liab 5-6'!K41</f>
        <v>270521</v>
      </c>
      <c r="C3568" s="2" t="s">
        <v>573</v>
      </c>
      <c r="D3568" s="2" t="str">
        <f t="shared" si="54"/>
        <v>Error?</v>
      </c>
    </row>
    <row r="3569" spans="1:4" x14ac:dyDescent="0.2">
      <c r="A3569" s="5">
        <v>3508</v>
      </c>
      <c r="B3569" s="138">
        <f>'Acct Summary 7-8'!K4</f>
        <v>252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252</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252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252</v>
      </c>
      <c r="C3588" s="2" t="s">
        <v>573</v>
      </c>
      <c r="D3588" s="2" t="str">
        <f t="shared" si="55"/>
        <v>Error?</v>
      </c>
    </row>
    <row r="3589" spans="1:4" x14ac:dyDescent="0.2">
      <c r="A3589" s="5">
        <v>3528</v>
      </c>
      <c r="B3589" s="138">
        <f>'Acct Summary 7-8'!K79</f>
        <v>270269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270521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72857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388302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3542370</v>
      </c>
      <c r="C4122" s="2" t="s">
        <v>573</v>
      </c>
      <c r="D4122" s="2" t="str">
        <f t="shared" si="63"/>
        <v>Error?</v>
      </c>
    </row>
    <row r="4123" spans="1:4" x14ac:dyDescent="0.2">
      <c r="A4123" s="5">
        <v>4062</v>
      </c>
      <c r="B4123" s="138">
        <f>'Acct Summary 7-8'!D10</f>
        <v>278604</v>
      </c>
      <c r="C4123" s="2" t="s">
        <v>573</v>
      </c>
      <c r="D4123" s="2" t="str">
        <f t="shared" si="63"/>
        <v>Error?</v>
      </c>
    </row>
    <row r="4124" spans="1:4" x14ac:dyDescent="0.2">
      <c r="A4124" s="5">
        <v>4063</v>
      </c>
      <c r="B4124" s="138">
        <f>'Acct Summary 7-8'!E10</f>
        <v>145491</v>
      </c>
      <c r="C4124" s="2" t="s">
        <v>573</v>
      </c>
      <c r="D4124" s="2" t="str">
        <f t="shared" si="63"/>
        <v>Error?</v>
      </c>
    </row>
    <row r="4125" spans="1:4" x14ac:dyDescent="0.2">
      <c r="A4125" s="5">
        <v>4064</v>
      </c>
      <c r="B4125" s="138">
        <f>'Acct Summary 7-8'!F10</f>
        <v>261448</v>
      </c>
      <c r="C4125" s="2" t="s">
        <v>573</v>
      </c>
      <c r="D4125" s="2" t="str">
        <f t="shared" si="63"/>
        <v>Error?</v>
      </c>
    </row>
    <row r="4126" spans="1:4" x14ac:dyDescent="0.2">
      <c r="A4126" s="5">
        <v>4065</v>
      </c>
      <c r="B4126" s="138">
        <f>'Acct Summary 7-8'!G10</f>
        <v>138064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24579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252</v>
      </c>
      <c r="C4130" s="2" t="s">
        <v>573</v>
      </c>
      <c r="D4130" s="2" t="str">
        <f t="shared" si="63"/>
        <v>Error?</v>
      </c>
    </row>
    <row r="4131" spans="1:4" x14ac:dyDescent="0.2">
      <c r="A4131" s="5">
        <v>4070</v>
      </c>
      <c r="B4131" s="138">
        <f>'Acct Summary 7-8'!C18</f>
        <v>388302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3118080</v>
      </c>
      <c r="C4136" s="2" t="s">
        <v>573</v>
      </c>
      <c r="D4136" s="2" t="str">
        <f t="shared" si="63"/>
        <v>Error?</v>
      </c>
    </row>
    <row r="4137" spans="1:4" x14ac:dyDescent="0.2">
      <c r="A4137" s="5">
        <v>4076</v>
      </c>
      <c r="B4137" s="138">
        <f>'Acct Summary 7-8'!D19</f>
        <v>150717</v>
      </c>
      <c r="C4137" s="2" t="s">
        <v>573</v>
      </c>
      <c r="D4137" s="2" t="str">
        <f t="shared" si="63"/>
        <v>Error?</v>
      </c>
    </row>
    <row r="4138" spans="1:4" x14ac:dyDescent="0.2">
      <c r="A4138" s="5">
        <v>4077</v>
      </c>
      <c r="B4138" s="138">
        <f>'Acct Summary 7-8'!E19</f>
        <v>144449</v>
      </c>
      <c r="C4138" s="2" t="s">
        <v>573</v>
      </c>
      <c r="D4138" s="2" t="str">
        <f t="shared" si="63"/>
        <v>Error?</v>
      </c>
    </row>
    <row r="4139" spans="1:4" x14ac:dyDescent="0.2">
      <c r="A4139" s="5">
        <v>4078</v>
      </c>
      <c r="B4139" s="138">
        <f>'Acct Summary 7-8'!F19</f>
        <v>264867</v>
      </c>
      <c r="C4139" s="2" t="s">
        <v>573</v>
      </c>
      <c r="D4139" s="2" t="str">
        <f t="shared" si="63"/>
        <v>Error?</v>
      </c>
    </row>
    <row r="4140" spans="1:4" x14ac:dyDescent="0.2">
      <c r="A4140" s="5">
        <v>4079</v>
      </c>
      <c r="B4140" s="138">
        <f>'Acct Summary 7-8'!G19</f>
        <v>111677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82000</v>
      </c>
      <c r="C4171" s="2" t="s">
        <v>573</v>
      </c>
      <c r="D4171" s="2" t="str">
        <f t="shared" si="64"/>
        <v>Error?</v>
      </c>
    </row>
    <row r="4172" spans="1:4" x14ac:dyDescent="0.2">
      <c r="A4172" s="5">
        <v>4111</v>
      </c>
      <c r="B4172" s="138">
        <f>'Short-Term Long-Term Debt 24'!J49</f>
        <v>73854</v>
      </c>
      <c r="C4172" s="2" t="s">
        <v>573</v>
      </c>
      <c r="D4172" s="2" t="str">
        <f t="shared" si="64"/>
        <v>Error?</v>
      </c>
    </row>
    <row r="4173" spans="1:4" x14ac:dyDescent="0.2">
      <c r="A4173" s="5">
        <v>4112</v>
      </c>
      <c r="B4173" s="138">
        <f>'Short-Term Long-Term Debt 24'!H49</f>
        <v>137000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3828.2499999999995</v>
      </c>
      <c r="C4265" s="2" t="s">
        <v>573</v>
      </c>
      <c r="D4265" s="2" t="str">
        <f t="shared" si="65"/>
        <v>Error?</v>
      </c>
      <c r="E4265" s="128"/>
    </row>
    <row r="4266" spans="1:5" x14ac:dyDescent="0.2">
      <c r="A4266" s="12">
        <v>4205</v>
      </c>
      <c r="B4266" s="138">
        <f>('FP Info 3'!F10)*100000</f>
        <v>492.33000000000004</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4521</v>
      </c>
      <c r="C4268" s="2" t="s">
        <v>573</v>
      </c>
      <c r="D4268" s="2" t="str">
        <f t="shared" si="65"/>
        <v>Error?</v>
      </c>
    </row>
    <row r="4269" spans="1:5" x14ac:dyDescent="0.2">
      <c r="A4269" s="12">
        <v>4208</v>
      </c>
      <c r="B4269" s="138">
        <f>'FP Info 3'!J16</f>
        <v>5148171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42029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5620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16398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822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42399224</v>
      </c>
      <c r="D4995" s="2" t="str">
        <f t="shared" si="77"/>
        <v>Error?</v>
      </c>
    </row>
    <row r="4996" spans="1:4" x14ac:dyDescent="0.2">
      <c r="A4996" s="12">
        <v>4935</v>
      </c>
      <c r="B4996" s="138">
        <f>'FP Info 3'!H31</f>
        <v>5851092.9120000005</v>
      </c>
      <c r="D4996" s="2" t="str">
        <f t="shared" si="77"/>
        <v>Error?</v>
      </c>
    </row>
    <row r="4997" spans="1:4" x14ac:dyDescent="0.2">
      <c r="A4997" s="12">
        <v>4936</v>
      </c>
      <c r="B4997" s="138">
        <f>'FP Info 3'!H37</f>
        <v>82000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1543412</v>
      </c>
      <c r="D5061" s="2" t="str">
        <f t="shared" si="78"/>
        <v>Error?</v>
      </c>
    </row>
    <row r="5062" spans="1:4" x14ac:dyDescent="0.2">
      <c r="A5062" s="10">
        <v>5001</v>
      </c>
      <c r="D5062" s="2" t="str">
        <f t="shared" si="78"/>
        <v>OK</v>
      </c>
    </row>
    <row r="5063" spans="1:4" x14ac:dyDescent="0.2">
      <c r="A5063" s="5">
        <v>5002</v>
      </c>
      <c r="B5063" s="138">
        <f>'Revenues 9-14'!C7</f>
        <v>16036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1559448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5653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5653</v>
      </c>
      <c r="C5090" s="2" t="s">
        <v>573</v>
      </c>
      <c r="D5090" s="2" t="str">
        <f t="shared" si="78"/>
        <v>Error?</v>
      </c>
    </row>
    <row r="5091" spans="1:4" x14ac:dyDescent="0.2">
      <c r="A5091" s="5">
        <v>5030</v>
      </c>
      <c r="B5091" s="138">
        <f>'Revenues 9-14'!C70</f>
        <v>2604</v>
      </c>
      <c r="D5091" s="2" t="str">
        <f t="shared" si="78"/>
        <v>Error?</v>
      </c>
    </row>
    <row r="5092" spans="1:4" x14ac:dyDescent="0.2">
      <c r="A5092" s="5">
        <v>5031</v>
      </c>
      <c r="B5092" s="138">
        <f>'Revenues 9-14'!C71</f>
        <v>1580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1562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36981</v>
      </c>
      <c r="C5096" s="2" t="s">
        <v>573</v>
      </c>
      <c r="D5096" s="2" t="str">
        <f t="shared" si="78"/>
        <v>Error?</v>
      </c>
    </row>
    <row r="5097" spans="1:4" x14ac:dyDescent="0.2">
      <c r="A5097" s="5">
        <v>5036</v>
      </c>
      <c r="B5097" s="138">
        <f>'Revenues 9-14'!C77</f>
        <v>11137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15534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26671</v>
      </c>
      <c r="C5102" s="2" t="s">
        <v>573</v>
      </c>
      <c r="D5102" s="2" t="str">
        <f t="shared" si="78"/>
        <v>Error?</v>
      </c>
    </row>
    <row r="5103" spans="1:4" x14ac:dyDescent="0.2">
      <c r="A5103" s="5">
        <v>5042</v>
      </c>
      <c r="B5103" s="138">
        <f>'Revenues 9-14'!C84</f>
        <v>5572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5572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7195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56836</v>
      </c>
      <c r="D5119" s="2" t="str">
        <f t="shared" ref="D5119:D5182" si="79">IF(ISBLANK(B5119),"OK",IF(A5119-B5119=0,"OK","Error?"))</f>
        <v>Error?</v>
      </c>
    </row>
    <row r="5120" spans="1:4" x14ac:dyDescent="0.2">
      <c r="A5120" s="5">
        <v>5059</v>
      </c>
      <c r="B5120" s="138">
        <f>'Revenues 9-14'!C108</f>
        <v>64716</v>
      </c>
      <c r="C5120" s="2" t="s">
        <v>573</v>
      </c>
      <c r="D5120" s="2" t="str">
        <f t="shared" si="79"/>
        <v>Error?</v>
      </c>
    </row>
    <row r="5121" spans="1:4" x14ac:dyDescent="0.2">
      <c r="A5121" s="5">
        <v>5060</v>
      </c>
      <c r="B5121" s="138">
        <f>'Revenues 9-14'!C109</f>
        <v>1699041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1175522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1175522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8674</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21632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1564</v>
      </c>
      <c r="D5167" s="2" t="str">
        <f t="shared" si="79"/>
        <v>Error?</v>
      </c>
    </row>
    <row r="5168" spans="1:4" x14ac:dyDescent="0.2">
      <c r="A5168" s="5">
        <v>5107</v>
      </c>
      <c r="B5168" s="138">
        <f>'Revenues 9-14'!C148</f>
        <v>2538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26556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1202078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61058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14125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75183</v>
      </c>
      <c r="C5246" s="2" t="s">
        <v>573</v>
      </c>
      <c r="D5246" s="2" t="str">
        <f t="shared" si="80"/>
        <v>Error?</v>
      </c>
    </row>
    <row r="5247" spans="1:4" x14ac:dyDescent="0.2">
      <c r="A5247" s="5">
        <v>5186</v>
      </c>
      <c r="B5247" s="138">
        <f>'Revenues 9-14'!C200</f>
        <v>110381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5620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110381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3338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3338</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252949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252949</v>
      </c>
      <c r="C5326" s="2" t="s">
        <v>573</v>
      </c>
      <c r="D5326" s="2" t="str">
        <f t="shared" si="82"/>
        <v>Error?</v>
      </c>
    </row>
    <row r="5327" spans="1:5" x14ac:dyDescent="0.2">
      <c r="A5327" s="5">
        <v>5266</v>
      </c>
      <c r="B5327" s="138">
        <f>'Revenues 9-14'!C268</f>
        <v>3154068</v>
      </c>
      <c r="C5327" s="2" t="s">
        <v>573</v>
      </c>
      <c r="D5327" s="2" t="str">
        <f t="shared" si="82"/>
        <v>Error?</v>
      </c>
    </row>
    <row r="5328" spans="1:5" x14ac:dyDescent="0.2">
      <c r="A5328" s="5">
        <v>5267</v>
      </c>
      <c r="B5328" s="138">
        <f>'Revenues 9-14'!D5</f>
        <v>200444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200444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76554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76554</v>
      </c>
      <c r="C5339" s="2" t="s">
        <v>573</v>
      </c>
      <c r="D5339" s="2" t="str">
        <f t="shared" si="82"/>
        <v>Error?</v>
      </c>
    </row>
    <row r="5340" spans="1:4" x14ac:dyDescent="0.2">
      <c r="A5340" s="5">
        <v>5279</v>
      </c>
      <c r="B5340" s="138">
        <f>'Revenues 9-14'!D65</f>
        <v>1606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1606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278604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278604</v>
      </c>
      <c r="C5508" s="2" t="s">
        <v>573</v>
      </c>
      <c r="D5508" s="2" t="str">
        <f t="shared" si="85"/>
        <v>Error?</v>
      </c>
    </row>
    <row r="5509" spans="1:4" x14ac:dyDescent="0.2">
      <c r="A5509" s="5">
        <v>5448</v>
      </c>
      <c r="B5509" s="138">
        <f>'Revenues 9-14'!E5</f>
        <v>145457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145457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145491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145491</v>
      </c>
      <c r="C5552" s="2" t="s">
        <v>573</v>
      </c>
      <c r="D5552" s="2" t="str">
        <f t="shared" si="85"/>
        <v>Error?</v>
      </c>
    </row>
    <row r="5553" spans="1:4" x14ac:dyDescent="0.2">
      <c r="A5553" s="5">
        <v>5492</v>
      </c>
      <c r="B5553" s="138">
        <f>'Revenues 9-14'!F5</f>
        <v>80177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80177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675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675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599</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599</v>
      </c>
      <c r="C5587" s="2" t="s">
        <v>573</v>
      </c>
      <c r="D5587" s="2" t="str">
        <f t="shared" si="86"/>
        <v>Error?</v>
      </c>
    </row>
    <row r="5588" spans="1:4" x14ac:dyDescent="0.2">
      <c r="A5588" s="5">
        <v>5527</v>
      </c>
      <c r="B5588" s="138">
        <f>'Revenues 9-14'!F109</f>
        <v>81451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132248</v>
      </c>
      <c r="D5615" s="2" t="str">
        <f t="shared" si="86"/>
        <v>Error?</v>
      </c>
    </row>
    <row r="5616" spans="1:4" x14ac:dyDescent="0.2">
      <c r="A5616" s="10">
        <v>5555</v>
      </c>
      <c r="D5616" s="2" t="str">
        <f t="shared" si="86"/>
        <v>OK</v>
      </c>
    </row>
    <row r="5617" spans="1:5" x14ac:dyDescent="0.2">
      <c r="A5617" s="5">
        <v>5556</v>
      </c>
      <c r="B5617" s="138">
        <f>'Revenues 9-14'!F153</f>
        <v>47749</v>
      </c>
      <c r="D5617" s="2" t="str">
        <f t="shared" si="86"/>
        <v>Error?</v>
      </c>
    </row>
    <row r="5618" spans="1:5" x14ac:dyDescent="0.2">
      <c r="A5618" s="5">
        <v>5557</v>
      </c>
      <c r="B5618" s="138">
        <f>'Revenues 9-14'!F155</f>
        <v>179997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179997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179997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261448</v>
      </c>
      <c r="C5720" s="2" t="s">
        <v>573</v>
      </c>
      <c r="D5720" s="2" t="str">
        <f t="shared" si="88"/>
        <v>Error?</v>
      </c>
    </row>
    <row r="5721" spans="1:4" x14ac:dyDescent="0.2">
      <c r="A5721" s="5">
        <v>5660</v>
      </c>
      <c r="B5721" s="138">
        <f>'Revenues 9-14'!G5</f>
        <v>66939</v>
      </c>
      <c r="D5721" s="2" t="str">
        <f t="shared" si="88"/>
        <v>Error?</v>
      </c>
    </row>
    <row r="5722" spans="1:4" x14ac:dyDescent="0.2">
      <c r="A5722" s="5">
        <v>5661</v>
      </c>
      <c r="B5722" s="138">
        <f>'Revenues 9-14'!G7</f>
        <v>0</v>
      </c>
      <c r="D5722" s="2" t="str">
        <f t="shared" si="88"/>
        <v>Error?</v>
      </c>
    </row>
    <row r="5723" spans="1:4" x14ac:dyDescent="0.2">
      <c r="A5723" s="5">
        <v>5662</v>
      </c>
      <c r="B5723" s="138">
        <f>'Revenues 9-14'!G8</f>
        <v>66939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133878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v>
      </c>
      <c r="C5730" s="2" t="s">
        <v>573</v>
      </c>
      <c r="D5730" s="2" t="str">
        <f t="shared" si="88"/>
        <v>Error?</v>
      </c>
    </row>
    <row r="5731" spans="1:4" x14ac:dyDescent="0.2">
      <c r="A5731" s="5">
        <v>5670</v>
      </c>
      <c r="B5731" s="138">
        <f>'Revenues 9-14'!G65</f>
        <v>186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138064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20044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20044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4535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4535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24579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252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252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252</v>
      </c>
      <c r="C6023" s="2" t="s">
        <v>573</v>
      </c>
      <c r="D6023" s="2" t="str">
        <f t="shared" si="93"/>
        <v>Error?</v>
      </c>
    </row>
    <row r="6024" spans="1:5" x14ac:dyDescent="0.2">
      <c r="A6024" s="5">
        <v>5963</v>
      </c>
      <c r="B6024" s="138">
        <f>'Revenues 9-14'!G109</f>
        <v>138064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24579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252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31235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257.3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370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298592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298592</v>
      </c>
      <c r="D6215" s="2" t="str">
        <f t="shared" si="96"/>
        <v>Error?</v>
      </c>
      <c r="E6215" s="2" t="s">
        <v>190</v>
      </c>
    </row>
    <row r="6216" spans="1:5" x14ac:dyDescent="0.2">
      <c r="A6216">
        <v>6155</v>
      </c>
      <c r="B6216" s="138">
        <f>'Assets-Liab 5-6'!J41</f>
        <v>298592</v>
      </c>
      <c r="D6216" s="2" t="str">
        <f t="shared" si="96"/>
        <v>Error?</v>
      </c>
      <c r="E6216" s="2" t="s">
        <v>190</v>
      </c>
    </row>
    <row r="6217" spans="1:5" x14ac:dyDescent="0.2">
      <c r="A6217">
        <v>6156</v>
      </c>
      <c r="B6217" s="138">
        <f>'Assets-Liab 5-6'!J4</f>
        <v>298592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245114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245114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245114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181823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181823</v>
      </c>
      <c r="D6229" s="2" t="str">
        <f t="shared" si="96"/>
        <v>Error?</v>
      </c>
      <c r="E6229" s="2" t="s">
        <v>190</v>
      </c>
    </row>
    <row r="6230" spans="1:5" x14ac:dyDescent="0.2">
      <c r="A6230">
        <v>6169</v>
      </c>
      <c r="B6230" s="138">
        <f>'Acct Summary 7-8'!J20</f>
        <v>63291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63291</v>
      </c>
      <c r="D6263" s="2" t="str">
        <f t="shared" si="96"/>
        <v>Error?</v>
      </c>
      <c r="E6263" s="2" t="s">
        <v>190</v>
      </c>
    </row>
    <row r="6264" spans="1:5" x14ac:dyDescent="0.2">
      <c r="A6264">
        <v>6203</v>
      </c>
      <c r="B6264" s="138">
        <f>'Acct Summary 7-8'!J79</f>
        <v>235301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298592</v>
      </c>
      <c r="D6266" s="2" t="str">
        <f t="shared" si="96"/>
        <v>Error?</v>
      </c>
      <c r="E6266" s="2" t="s">
        <v>190</v>
      </c>
    </row>
    <row r="6267" spans="1:5" x14ac:dyDescent="0.2">
      <c r="A6267">
        <v>6206</v>
      </c>
      <c r="B6267" s="138">
        <f>'Acct Summary 7-8'!C82</f>
        <v>424290</v>
      </c>
      <c r="D6267" s="2" t="str">
        <f t="shared" si="96"/>
        <v>Error?</v>
      </c>
      <c r="E6267" s="2" t="s">
        <v>190</v>
      </c>
    </row>
    <row r="6268" spans="1:5" x14ac:dyDescent="0.2">
      <c r="A6268">
        <v>6207</v>
      </c>
      <c r="B6268" s="138">
        <f>'Acct Summary 7-8'!D82</f>
        <v>127887</v>
      </c>
      <c r="D6268" s="2" t="str">
        <f t="shared" si="96"/>
        <v>Error?</v>
      </c>
      <c r="E6268" s="2" t="s">
        <v>190</v>
      </c>
    </row>
    <row r="6269" spans="1:5" x14ac:dyDescent="0.2">
      <c r="A6269">
        <v>6208</v>
      </c>
      <c r="B6269" s="138">
        <f>'Acct Summary 7-8'!E82</f>
        <v>1042</v>
      </c>
      <c r="D6269" s="2" t="str">
        <f t="shared" si="96"/>
        <v>Error?</v>
      </c>
      <c r="E6269" s="2" t="s">
        <v>190</v>
      </c>
    </row>
    <row r="6270" spans="1:5" x14ac:dyDescent="0.2">
      <c r="A6270">
        <v>6209</v>
      </c>
      <c r="B6270" s="138">
        <f>'Acct Summary 7-8'!F82</f>
        <v>-3419</v>
      </c>
      <c r="D6270" s="2" t="str">
        <f t="shared" si="96"/>
        <v>Error?</v>
      </c>
      <c r="E6270" s="2" t="s">
        <v>190</v>
      </c>
    </row>
    <row r="6271" spans="1:5" x14ac:dyDescent="0.2">
      <c r="A6271">
        <v>6210</v>
      </c>
      <c r="B6271" s="138">
        <f>'Acct Summary 7-8'!G82</f>
        <v>26387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24579</v>
      </c>
      <c r="D6273" s="2" t="str">
        <f t="shared" si="97"/>
        <v>Error?</v>
      </c>
      <c r="E6273" s="2" t="s">
        <v>190</v>
      </c>
    </row>
    <row r="6274" spans="1:5" x14ac:dyDescent="0.2">
      <c r="A6274">
        <v>6213</v>
      </c>
      <c r="B6274" s="138">
        <f>'Acct Summary 7-8'!J82</f>
        <v>63291</v>
      </c>
      <c r="D6274" s="2" t="str">
        <f t="shared" si="97"/>
        <v>Error?</v>
      </c>
      <c r="E6274" s="2" t="s">
        <v>190</v>
      </c>
    </row>
    <row r="6275" spans="1:5" x14ac:dyDescent="0.2">
      <c r="A6275">
        <v>6214</v>
      </c>
      <c r="B6275" s="138">
        <f>'Acct Summary 7-8'!K82</f>
        <v>252</v>
      </c>
      <c r="D6275" s="2" t="str">
        <f t="shared" si="97"/>
        <v>Error?</v>
      </c>
      <c r="E6275" s="2" t="s">
        <v>190</v>
      </c>
    </row>
    <row r="6276" spans="1:5" x14ac:dyDescent="0.2">
      <c r="A6276">
        <v>6215</v>
      </c>
      <c r="B6276" s="138">
        <f>'Acct Summary 7-8'!C83</f>
        <v>0.19634156555894342</v>
      </c>
      <c r="D6276" s="2" t="str">
        <f t="shared" si="97"/>
        <v>Error?</v>
      </c>
      <c r="E6276" s="2" t="s">
        <v>190</v>
      </c>
    </row>
    <row r="6277" spans="1:5" x14ac:dyDescent="0.2">
      <c r="A6277">
        <v>6216</v>
      </c>
      <c r="B6277" s="138">
        <f>'Acct Summary 7-8'!D83</f>
        <v>8.9656424651503211E-2</v>
      </c>
      <c r="D6277" s="2" t="str">
        <f t="shared" si="97"/>
        <v>Error?</v>
      </c>
      <c r="E6277" s="2" t="s">
        <v>190</v>
      </c>
    </row>
    <row r="6278" spans="1:5" x14ac:dyDescent="0.2">
      <c r="A6278">
        <v>6217</v>
      </c>
      <c r="B6278" s="138">
        <f>'Acct Summary 7-8'!E83</f>
        <v>0.12791554136999755</v>
      </c>
      <c r="D6278" s="2" t="str">
        <f t="shared" si="97"/>
        <v>Error?</v>
      </c>
      <c r="E6278" s="2" t="s">
        <v>190</v>
      </c>
    </row>
    <row r="6279" spans="1:5" x14ac:dyDescent="0.2">
      <c r="A6279">
        <v>6218</v>
      </c>
      <c r="B6279" s="138">
        <f>'Acct Summary 7-8'!F83</f>
        <v>-4.7545410804030585E-3</v>
      </c>
      <c r="D6279" s="2" t="str">
        <f t="shared" si="97"/>
        <v>Error?</v>
      </c>
      <c r="E6279" s="2" t="s">
        <v>190</v>
      </c>
    </row>
    <row r="6280" spans="1:5" x14ac:dyDescent="0.2">
      <c r="A6280">
        <v>6219</v>
      </c>
      <c r="B6280" s="138">
        <f>'Acct Summary 7-8'!G83</f>
        <v>0.15761148741473438</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2.9202379057074082E-2</v>
      </c>
      <c r="D6282" s="2" t="str">
        <f t="shared" si="97"/>
        <v>Error?</v>
      </c>
      <c r="E6282" s="2" t="s">
        <v>190</v>
      </c>
    </row>
    <row r="6283" spans="1:5" x14ac:dyDescent="0.2">
      <c r="A6283">
        <v>6222</v>
      </c>
      <c r="B6283" s="138">
        <f>'Acct Summary 7-8'!J83</f>
        <v>0.21196482156253349</v>
      </c>
      <c r="D6283" s="2" t="str">
        <f t="shared" si="97"/>
        <v>Error?</v>
      </c>
      <c r="E6283" s="2" t="s">
        <v>190</v>
      </c>
    </row>
    <row r="6284" spans="1:5" x14ac:dyDescent="0.2">
      <c r="A6284">
        <v>6223</v>
      </c>
      <c r="B6284" s="138">
        <f>'Acct Summary 7-8'!K83</f>
        <v>9.315358142251433E-4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244774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244774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340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340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685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245114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12958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4531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4531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13420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254854</v>
      </c>
      <c r="D6983" s="2" t="str">
        <f t="shared" si="108"/>
        <v>Error?</v>
      </c>
    </row>
    <row r="6984" spans="1:4" x14ac:dyDescent="0.2">
      <c r="A6984">
        <v>6923</v>
      </c>
      <c r="B6984" s="138">
        <f>'Expenditures 15-22'!K86</f>
        <v>254854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29250</v>
      </c>
      <c r="D6987" s="2" t="str">
        <f t="shared" si="108"/>
        <v>Error?</v>
      </c>
    </row>
    <row r="6988" spans="1:4" x14ac:dyDescent="0.2">
      <c r="A6988">
        <v>6927</v>
      </c>
      <c r="B6988" s="138">
        <f>'Expenditures 15-22'!K88</f>
        <v>29250</v>
      </c>
      <c r="D6988" s="2" t="str">
        <f t="shared" si="108"/>
        <v>Error?</v>
      </c>
    </row>
    <row r="6989" spans="1:4" x14ac:dyDescent="0.2">
      <c r="A6989">
        <v>6928</v>
      </c>
      <c r="B6989" s="138">
        <f>'Expenditures 15-22'!H89</f>
        <v>11200</v>
      </c>
      <c r="D6989" s="2" t="str">
        <f t="shared" si="108"/>
        <v>Error?</v>
      </c>
    </row>
    <row r="6990" spans="1:4" x14ac:dyDescent="0.2">
      <c r="A6990">
        <v>6929</v>
      </c>
      <c r="B6990" s="138">
        <f>'Expenditures 15-22'!K89</f>
        <v>11200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295304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181823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245114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828</v>
      </c>
      <c r="D7073" s="2" t="str">
        <f t="shared" si="109"/>
        <v>Error?</v>
      </c>
    </row>
    <row r="7074" spans="1:4" x14ac:dyDescent="0.2">
      <c r="A7074">
        <v>7013</v>
      </c>
      <c r="B7074" s="138">
        <f>'Expenditures 15-22'!K216</f>
        <v>828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112</v>
      </c>
      <c r="D7079" s="2" t="str">
        <f t="shared" si="109"/>
        <v>Error?</v>
      </c>
    </row>
    <row r="7080" spans="1:4" x14ac:dyDescent="0.2">
      <c r="A7080">
        <v>7019</v>
      </c>
      <c r="B7080" s="138">
        <f>'Expenditures 15-22'!K226</f>
        <v>112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8411</v>
      </c>
      <c r="D7093" s="2" t="str">
        <f t="shared" si="109"/>
        <v>Error?</v>
      </c>
    </row>
    <row r="7094" spans="1:4" x14ac:dyDescent="0.2">
      <c r="A7094">
        <v>7033</v>
      </c>
      <c r="B7094" s="138">
        <f>'Expenditures 15-22'!K254</f>
        <v>8411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18792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18792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3879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3879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85392</v>
      </c>
      <c r="D7172" s="2" t="str">
        <f t="shared" si="111"/>
        <v>Error?</v>
      </c>
    </row>
    <row r="7173" spans="1:4" x14ac:dyDescent="0.2">
      <c r="A7173">
        <v>7112</v>
      </c>
      <c r="B7173" s="138">
        <f>'Expenditures 15-22'!D325</f>
        <v>5051</v>
      </c>
      <c r="D7173" s="2" t="str">
        <f t="shared" si="111"/>
        <v>Error?</v>
      </c>
    </row>
    <row r="7174" spans="1:4" x14ac:dyDescent="0.2">
      <c r="A7174">
        <v>7113</v>
      </c>
      <c r="B7174" s="138">
        <f>'Expenditures 15-22'!E325</f>
        <v>16098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106541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26474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26474</v>
      </c>
      <c r="D7198" s="2" t="str">
        <f t="shared" si="111"/>
        <v>Error?</v>
      </c>
    </row>
    <row r="7199" spans="1:4" x14ac:dyDescent="0.2">
      <c r="A7199">
        <v>7138</v>
      </c>
      <c r="B7199" s="138">
        <f>'Expenditures 15-22'!C330</f>
        <v>85392</v>
      </c>
      <c r="D7199" s="2" t="str">
        <f t="shared" si="111"/>
        <v>Error?</v>
      </c>
    </row>
    <row r="7200" spans="1:4" x14ac:dyDescent="0.2">
      <c r="A7200">
        <v>7139</v>
      </c>
      <c r="B7200" s="138">
        <f>'Expenditures 15-22'!D330</f>
        <v>5051</v>
      </c>
      <c r="D7200" s="2" t="str">
        <f t="shared" si="111"/>
        <v>Error?</v>
      </c>
    </row>
    <row r="7201" spans="1:4" x14ac:dyDescent="0.2">
      <c r="A7201">
        <v>7140</v>
      </c>
      <c r="B7201" s="138">
        <f>'Expenditures 15-22'!E330</f>
        <v>91380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181823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85392</v>
      </c>
      <c r="D7216" s="2" t="str">
        <f t="shared" si="111"/>
        <v>Error?</v>
      </c>
    </row>
    <row r="7217" spans="1:4" x14ac:dyDescent="0.2">
      <c r="A7217">
        <v>7156</v>
      </c>
      <c r="B7217" s="138">
        <f>'Expenditures 15-22'!D342</f>
        <v>5051</v>
      </c>
      <c r="D7217" s="2" t="str">
        <f t="shared" si="111"/>
        <v>Error?</v>
      </c>
    </row>
    <row r="7218" spans="1:4" x14ac:dyDescent="0.2">
      <c r="A7218">
        <v>7157</v>
      </c>
      <c r="B7218" s="138">
        <f>'Expenditures 15-22'!E342</f>
        <v>91380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181823</v>
      </c>
      <c r="D7224" s="2" t="str">
        <f t="shared" si="111"/>
        <v>Error?</v>
      </c>
    </row>
    <row r="7225" spans="1:4" x14ac:dyDescent="0.2">
      <c r="A7225">
        <v>7164</v>
      </c>
      <c r="B7225" s="138">
        <f>'Expenditures 15-22'!K343</f>
        <v>63291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7762</v>
      </c>
      <c r="D7263" s="2" t="str">
        <f t="shared" si="112"/>
        <v>Error?</v>
      </c>
    </row>
    <row r="7264" spans="1:4" x14ac:dyDescent="0.2">
      <c r="A7264">
        <f t="shared" si="113"/>
        <v>7203</v>
      </c>
      <c r="B7264" s="138">
        <f>'Expenditures 15-22'!D17</f>
        <v>910</v>
      </c>
      <c r="D7264" s="2" t="str">
        <f t="shared" si="112"/>
        <v>Error?</v>
      </c>
    </row>
    <row r="7265" spans="1:5" x14ac:dyDescent="0.2">
      <c r="A7265">
        <f t="shared" si="113"/>
        <v>7204</v>
      </c>
      <c r="B7265" s="138">
        <f>'Expenditures 15-22'!E17</f>
        <v>4748</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124142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124142</v>
      </c>
      <c r="D7618" s="2" t="str">
        <f t="shared" si="124"/>
        <v>Error?</v>
      </c>
      <c r="E7618" s="2" t="s">
        <v>19</v>
      </c>
    </row>
    <row r="7619" spans="1:5" x14ac:dyDescent="0.2">
      <c r="A7619">
        <f t="shared" si="123"/>
        <v>7558</v>
      </c>
      <c r="B7619" s="138">
        <f>'Cap Outlay Deprec 26'!H14</f>
        <v>124142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124142</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286470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26137</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26137</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685</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2538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3223</v>
      </c>
      <c r="D7719" s="2" t="str">
        <f t="shared" si="126"/>
        <v>Error?</v>
      </c>
      <c r="E7719" s="2" t="s">
        <v>827</v>
      </c>
    </row>
    <row r="7720" spans="1:6" x14ac:dyDescent="0.2">
      <c r="A7720">
        <v>7659</v>
      </c>
      <c r="B7720" s="138">
        <f>'Rest Tax Levies-Tort Im 25'!H14</f>
        <v>16036</v>
      </c>
      <c r="D7720" s="2" t="str">
        <f t="shared" si="126"/>
        <v>Error?</v>
      </c>
      <c r="E7720" s="2" t="s">
        <v>827</v>
      </c>
    </row>
    <row r="7721" spans="1:6" x14ac:dyDescent="0.2">
      <c r="A7721">
        <v>7660</v>
      </c>
      <c r="B7721" s="138">
        <f>'Rest Tax Levies-Tort Im 25'!K14</f>
        <v>3223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6" t="s">
        <v>1190</v>
      </c>
      <c r="B3" s="2416"/>
      <c r="C3" s="2416"/>
      <c r="D3" s="2416"/>
      <c r="E3" s="2416"/>
      <c r="F3" s="2416"/>
      <c r="G3" s="2416"/>
      <c r="H3" s="2416"/>
      <c r="I3" s="2416"/>
      <c r="J3" s="2416"/>
      <c r="K3" s="2416"/>
      <c r="L3" s="2416"/>
    </row>
    <row r="4" spans="1:29" ht="13.5" customHeight="1" x14ac:dyDescent="0.2">
      <c r="A4" s="2385" t="s">
        <v>1987</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7" t="str">
        <f>COVER!A17</f>
        <v>Donovan CUSD 3</v>
      </c>
      <c r="B7" s="2408"/>
      <c r="C7" s="2408"/>
      <c r="D7" s="2409"/>
      <c r="E7" s="2410">
        <f>COVER!A13</f>
        <v>32038003026</v>
      </c>
      <c r="F7" s="2411"/>
      <c r="G7" s="2417" t="str">
        <f>COVER!T23</f>
        <v>065.018319</v>
      </c>
      <c r="H7" s="2418"/>
      <c r="I7" s="2418"/>
      <c r="J7" s="2418"/>
      <c r="K7" s="2418"/>
      <c r="L7" s="241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0"/>
      <c r="B9" s="2421"/>
      <c r="C9" s="2421"/>
      <c r="D9" s="2421"/>
      <c r="E9" s="2421"/>
      <c r="F9" s="2422"/>
      <c r="G9" s="2391" t="str">
        <f>COVER!T13</f>
        <v>RUSSELL LEIGH &amp; ASSOCIATES LLC</v>
      </c>
      <c r="H9" s="2423"/>
      <c r="I9" s="2423"/>
      <c r="J9" s="2423"/>
      <c r="K9" s="2423"/>
      <c r="L9" s="2424"/>
    </row>
    <row r="10" spans="1:29" ht="13.5" customHeight="1" x14ac:dyDescent="0.2">
      <c r="A10" s="2397" t="str">
        <f>COVER!A38</f>
        <v>Toby Coates</v>
      </c>
      <c r="B10" s="2398"/>
      <c r="C10" s="2398"/>
      <c r="D10" s="2398"/>
      <c r="E10" s="2398"/>
      <c r="F10" s="2399"/>
      <c r="G10" s="2391" t="str">
        <f>COVER!T17</f>
        <v>228 E MAIN ST</v>
      </c>
      <c r="H10" s="2392"/>
      <c r="I10" s="2392"/>
      <c r="J10" s="2392"/>
      <c r="K10" s="2392"/>
      <c r="L10" s="2393"/>
    </row>
    <row r="11" spans="1:29" ht="13.5" customHeight="1" x14ac:dyDescent="0.2">
      <c r="A11" s="1184" t="s">
        <v>1519</v>
      </c>
      <c r="B11" s="1185"/>
      <c r="C11" s="1186"/>
      <c r="D11" s="1191"/>
      <c r="E11" s="1186"/>
      <c r="F11" s="1190"/>
      <c r="G11" s="2391" t="str">
        <f>COVER!T19</f>
        <v>HOOPESTON</v>
      </c>
      <c r="H11" s="2392"/>
      <c r="I11" s="2392"/>
      <c r="J11" s="2392"/>
      <c r="K11" s="2392"/>
      <c r="L11" s="2393"/>
    </row>
    <row r="12" spans="1:29" ht="13.5" customHeight="1" x14ac:dyDescent="0.2">
      <c r="A12" s="2400" t="s">
        <v>1518</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1520</v>
      </c>
      <c r="H13" s="2387"/>
      <c r="I13" s="2403" t="str">
        <f>COVER!T25</f>
        <v>admin@russleigh.com</v>
      </c>
      <c r="J13" s="2404"/>
      <c r="K13" s="2404"/>
      <c r="L13" s="2405"/>
    </row>
    <row r="14" spans="1:29" ht="13.5" customHeight="1" x14ac:dyDescent="0.2">
      <c r="A14" s="2391" t="str">
        <f>COVER!A19</f>
        <v>600 NORTH ST, PO BOX 186</v>
      </c>
      <c r="B14" s="2392"/>
      <c r="C14" s="2392"/>
      <c r="D14" s="2392"/>
      <c r="E14" s="2392"/>
      <c r="F14" s="2393"/>
      <c r="G14" s="1195" t="s">
        <v>1185</v>
      </c>
      <c r="H14" s="1193"/>
      <c r="I14" s="1193"/>
      <c r="J14" s="1193"/>
      <c r="K14" s="1193"/>
      <c r="L14" s="1194"/>
    </row>
    <row r="15" spans="1:29" ht="13.5" customHeight="1" x14ac:dyDescent="0.2">
      <c r="A15" s="2391" t="str">
        <f>COVER!A21</f>
        <v>DONOVAN</v>
      </c>
      <c r="B15" s="2392"/>
      <c r="C15" s="2392"/>
      <c r="D15" s="2392"/>
      <c r="E15" s="2392"/>
      <c r="F15" s="2393"/>
      <c r="G15" s="2388" t="str">
        <f>COVER!T15</f>
        <v>RUSS LEIGH</v>
      </c>
      <c r="H15" s="2389"/>
      <c r="I15" s="2389"/>
      <c r="J15" s="2389"/>
      <c r="K15" s="2389"/>
      <c r="L15" s="2390"/>
    </row>
    <row r="16" spans="1:29" ht="12.2" customHeight="1" x14ac:dyDescent="0.2">
      <c r="A16" s="2413">
        <f>COVER!A25</f>
        <v>60931</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1184</v>
      </c>
      <c r="H17" s="1193"/>
      <c r="I17" s="1193"/>
      <c r="J17" s="1193"/>
      <c r="K17" s="1197" t="s">
        <v>1183</v>
      </c>
      <c r="L17" s="1190"/>
      <c r="M17" s="1183"/>
    </row>
    <row r="18" spans="1:13" ht="12.2" customHeight="1" x14ac:dyDescent="0.2">
      <c r="A18" s="2397"/>
      <c r="B18" s="2398"/>
      <c r="C18" s="2398"/>
      <c r="D18" s="2398"/>
      <c r="E18" s="2398"/>
      <c r="F18" s="2399"/>
      <c r="G18" s="2407" t="str">
        <f>COVER!T21</f>
        <v>217-283-9336</v>
      </c>
      <c r="H18" s="2408"/>
      <c r="I18" s="2408"/>
      <c r="J18" s="2408"/>
      <c r="K18" s="2407" t="str">
        <f>COVER!X21</f>
        <v>217-283-9736</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Donovan CUSD 3</v>
      </c>
      <c r="B1" s="2406"/>
      <c r="C1" s="2406"/>
      <c r="D1" s="2406"/>
    </row>
    <row r="2" spans="1:11" s="1212" customFormat="1" ht="12.75" x14ac:dyDescent="0.2">
      <c r="A2" s="2430">
        <f>'Single Audit Cover'!E7</f>
        <v>32038003026</v>
      </c>
      <c r="B2" s="2431"/>
      <c r="C2" s="2431"/>
      <c r="D2" s="2431"/>
    </row>
    <row r="3" spans="1:11" s="1212" customFormat="1" ht="12.75" x14ac:dyDescent="0.2">
      <c r="A3" s="2429" t="s">
        <v>1513</v>
      </c>
      <c r="B3" s="2406"/>
      <c r="C3" s="2406"/>
      <c r="D3" s="240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Donovan CUSD 3</v>
      </c>
      <c r="B1" s="2433"/>
      <c r="C1" s="2433"/>
      <c r="D1" s="2433"/>
      <c r="E1" s="2433"/>
    </row>
    <row r="2" spans="1:5" x14ac:dyDescent="0.2">
      <c r="A2" s="2434">
        <f>'Single Audit Cover'!E7</f>
        <v>32038003026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252949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-42029</v>
      </c>
    </row>
    <row r="19" spans="1:4" ht="13.5" thickBot="1" x14ac:dyDescent="0.25">
      <c r="A19" s="1262" t="s">
        <v>1235</v>
      </c>
      <c r="D19" s="1263">
        <f>SUM(D10:D17)</f>
        <v>210920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210920</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210920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Donovan CUSD 3</v>
      </c>
      <c r="C1" s="2437"/>
      <c r="D1" s="2437"/>
      <c r="E1" s="2437"/>
      <c r="F1" s="2437"/>
      <c r="G1" s="2437"/>
      <c r="H1" s="2437"/>
      <c r="I1" s="2437"/>
      <c r="J1" s="2437"/>
      <c r="K1" s="2437"/>
      <c r="L1" s="2437"/>
      <c r="M1" s="2437"/>
    </row>
    <row r="2" spans="2:14" ht="15" x14ac:dyDescent="0.2">
      <c r="B2" s="2438">
        <f>'Single Audit Cover'!E7</f>
        <v>32038003026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Donovan CUSD 3</v>
      </c>
      <c r="B1" s="2450"/>
      <c r="C1" s="2450"/>
      <c r="D1" s="2450"/>
      <c r="E1" s="2450"/>
      <c r="F1" s="2450"/>
    </row>
    <row r="2" spans="1:7" ht="13.5" customHeight="1" x14ac:dyDescent="0.2">
      <c r="A2" s="2438">
        <f>'Single Audit Cover'!E7</f>
        <v>32038003026</v>
      </c>
      <c r="B2" s="2438"/>
      <c r="C2" s="2438"/>
      <c r="D2" s="2438"/>
      <c r="E2" s="2438"/>
      <c r="F2" s="2438"/>
      <c r="G2" s="1272"/>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1728</v>
      </c>
      <c r="C6" s="317"/>
      <c r="D6" s="317"/>
    </row>
    <row r="7" spans="1:7" ht="60.95" customHeight="1" x14ac:dyDescent="0.2">
      <c r="A7" s="2449" t="s">
        <v>1729</v>
      </c>
      <c r="B7" s="2449"/>
      <c r="C7" s="2449"/>
      <c r="D7" s="2449"/>
      <c r="E7" s="2449"/>
      <c r="F7" s="244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9" t="s">
        <v>1731</v>
      </c>
      <c r="B13" s="2449"/>
      <c r="C13" s="2449"/>
      <c r="D13" s="2449"/>
      <c r="E13" s="2449"/>
      <c r="F13" s="2449"/>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Donovan CUSD 3</v>
      </c>
      <c r="C1" s="2465"/>
      <c r="D1" s="2465"/>
      <c r="E1" s="2465"/>
      <c r="F1" s="2465"/>
      <c r="G1" s="2465"/>
      <c r="H1" s="2465"/>
      <c r="I1" s="2465"/>
      <c r="J1" s="1406"/>
    </row>
    <row r="2" spans="2:10" s="317" customFormat="1" ht="12.75" customHeight="1" x14ac:dyDescent="0.2">
      <c r="B2" s="2466">
        <f>'Single Audit Cover'!E7</f>
        <v>32038003026</v>
      </c>
      <c r="C2" s="2467"/>
      <c r="D2" s="2467"/>
      <c r="E2" s="2467"/>
      <c r="F2" s="2467"/>
      <c r="G2" s="2467"/>
      <c r="H2" s="2467"/>
      <c r="I2" s="2467"/>
      <c r="J2" s="1406"/>
    </row>
    <row r="3" spans="2:10" s="317" customFormat="1" ht="12.75" customHeight="1" x14ac:dyDescent="0.2">
      <c r="B3" s="2468" t="s">
        <v>1285</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1284</v>
      </c>
      <c r="C7" s="2469"/>
      <c r="D7" s="2469"/>
      <c r="E7" s="2469"/>
      <c r="F7" s="2469"/>
      <c r="G7" s="2469"/>
      <c r="H7" s="2469"/>
      <c r="I7" s="246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0"/>
      <c r="D11" s="247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1"/>
      <c r="E29" s="2471"/>
      <c r="F29" s="2471"/>
      <c r="G29" s="2471"/>
      <c r="H29" s="2471"/>
      <c r="I29" s="247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2" t="s">
        <v>1751</v>
      </c>
      <c r="D37" s="2473"/>
      <c r="E37" s="2473"/>
      <c r="F37" s="2474"/>
      <c r="G37" s="2472" t="s">
        <v>1592</v>
      </c>
      <c r="H37" s="2473"/>
      <c r="I37" s="2474"/>
    </row>
    <row r="38" spans="2:9" ht="16.5" customHeight="1" x14ac:dyDescent="0.2">
      <c r="B38" s="1428"/>
      <c r="C38" s="2460"/>
      <c r="D38" s="2461"/>
      <c r="E38" s="2461"/>
      <c r="F38" s="2462"/>
      <c r="G38" s="2475"/>
      <c r="H38" s="2476"/>
      <c r="I38" s="2477"/>
    </row>
    <row r="39" spans="2:9" ht="16.5" customHeight="1" x14ac:dyDescent="0.2">
      <c r="B39" s="1428"/>
      <c r="C39" s="2460"/>
      <c r="D39" s="2461"/>
      <c r="E39" s="2461"/>
      <c r="F39" s="2462"/>
      <c r="G39" s="2463"/>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1593</v>
      </c>
      <c r="D43" s="2454"/>
      <c r="E43" s="2454"/>
      <c r="F43" s="2455"/>
      <c r="G43" s="2456">
        <f>SUM(G38:I42)</f>
        <v>0</v>
      </c>
      <c r="H43" s="2456"/>
      <c r="I43" s="2456"/>
    </row>
    <row r="44" spans="2:9" ht="12.75" customHeight="1" x14ac:dyDescent="0.2"/>
    <row r="45" spans="2:9" ht="12.75" customHeight="1" x14ac:dyDescent="0.2">
      <c r="B45" s="1419" t="s">
        <v>2062</v>
      </c>
      <c r="D45" s="2457">
        <v>0</v>
      </c>
      <c r="E45" s="2458"/>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9"/>
      <c r="F49" s="2459"/>
      <c r="G49" s="2459"/>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Donovan CUSD 3</v>
      </c>
      <c r="C1" s="2464"/>
      <c r="D1" s="2464"/>
      <c r="E1" s="2464"/>
      <c r="F1" s="2464"/>
      <c r="G1" s="2464"/>
      <c r="H1" s="2464"/>
      <c r="I1" s="2464"/>
      <c r="J1" s="2464"/>
      <c r="K1" s="2464"/>
      <c r="L1" s="1371"/>
      <c r="M1" s="1371"/>
    </row>
    <row r="2" spans="1:13" ht="12" customHeight="1" x14ac:dyDescent="0.2">
      <c r="B2" s="2466">
        <f>'Single Audit Cover'!E7</f>
        <v>32038003026</v>
      </c>
      <c r="C2" s="2466"/>
      <c r="D2" s="2466"/>
      <c r="E2" s="2466"/>
      <c r="F2" s="2466"/>
      <c r="G2" s="2466"/>
      <c r="H2" s="2466"/>
      <c r="I2" s="2466"/>
      <c r="J2" s="2466"/>
      <c r="K2" s="2466"/>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Donovan CUSD 3</v>
      </c>
      <c r="C1" s="2487"/>
      <c r="D1" s="2487"/>
      <c r="E1" s="2487"/>
      <c r="F1" s="2487"/>
      <c r="G1" s="2487"/>
      <c r="H1" s="2487"/>
      <c r="I1" s="2487"/>
      <c r="J1" s="2487"/>
      <c r="K1" s="2487"/>
      <c r="L1" s="1449"/>
    </row>
    <row r="2" spans="1:12" ht="12.75" customHeight="1" x14ac:dyDescent="0.2">
      <c r="B2" s="2488">
        <f>'Single Audit Cover'!E7</f>
        <v>32038003026</v>
      </c>
      <c r="C2" s="2488"/>
      <c r="D2" s="2488"/>
      <c r="E2" s="2488"/>
      <c r="F2" s="2488"/>
      <c r="G2" s="2488"/>
      <c r="H2" s="2488"/>
      <c r="I2" s="2488"/>
      <c r="J2" s="2488"/>
      <c r="K2" s="2488"/>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Donovan CUSD 3</v>
      </c>
      <c r="C1" s="2464"/>
      <c r="D1" s="2464"/>
      <c r="E1" s="1469"/>
    </row>
    <row r="2" spans="2:5" s="1279" customFormat="1" ht="12.75" customHeight="1" x14ac:dyDescent="0.2">
      <c r="B2" s="2466">
        <f>'Single Audit Cover'!E7</f>
        <v>32038003026</v>
      </c>
      <c r="C2" s="2466"/>
      <c r="D2" s="2466"/>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4d435f69-8686-490b-bd6d-b153bf22ab50"/>
    <ds:schemaRef ds:uri="http://schemas.microsoft.com/office/infopath/2007/PartnerControls"/>
    <ds:schemaRef ds:uri="http://schemas.openxmlformats.org/package/2006/metadata/core-properties"/>
    <ds:schemaRef ds:uri="http://schemas.microsoft.com/sharepoint/v3"/>
    <ds:schemaRef ds:uri="d21dc803-237d-4c68-8692-8d731fd29118"/>
    <ds:schemaRef ds:uri="6ce3111e-7420-4802-b50a-75d4e9a0b98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2019-09-24T17:37:42Z</cp:lastPrinted>
  <dcterms:created xsi:type="dcterms:W3CDTF">2003-10-29T19:06:34Z</dcterms:created>
  <dcterms:modified xsi:type="dcterms:W3CDTF">2019-12-18T20:23:35Z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