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A13A370-D760-4FEB-A841-D255F30D6CB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179" l="1"/>
  <c r="I19" i="183" l="1"/>
  <c r="E17" i="179"/>
  <c r="E18" i="179" s="1"/>
  <c r="I15" i="184"/>
  <c r="G15" i="184"/>
  <c r="L15" i="184" s="1"/>
  <c r="E15" i="184"/>
  <c r="I24" i="183"/>
  <c r="E19" i="183"/>
  <c r="E24" i="183" s="1"/>
  <c r="I17" i="179"/>
  <c r="I18" i="179" s="1"/>
  <c r="G17" i="179"/>
  <c r="G19" i="183"/>
  <c r="G24" i="183" s="1"/>
  <c r="G18" i="179"/>
  <c r="L16" i="179"/>
  <c r="G17" i="184" l="1"/>
  <c r="I17" i="184"/>
  <c r="E17" i="184"/>
  <c r="F18" i="183"/>
  <c r="F17" i="183"/>
  <c r="F13" i="184"/>
  <c r="F15" i="184" s="1"/>
  <c r="F23" i="183"/>
  <c r="F22" i="183"/>
  <c r="F16" i="183"/>
  <c r="F15" i="183"/>
  <c r="F12" i="183"/>
  <c r="F27" i="179"/>
  <c r="F25" i="179"/>
  <c r="F23" i="179"/>
  <c r="F22" i="179"/>
  <c r="F12" i="179"/>
  <c r="F17" i="179" s="1"/>
  <c r="F18" i="179" s="1"/>
  <c r="F19" i="183" l="1"/>
  <c r="F24" i="183" s="1"/>
  <c r="F17" i="184" s="1"/>
  <c r="L17" i="184"/>
  <c r="L24" i="183"/>
  <c r="L14" i="184"/>
  <c r="L13" i="184"/>
  <c r="B4" i="184"/>
  <c r="L23" i="183"/>
  <c r="L22" i="183"/>
  <c r="L19" i="183"/>
  <c r="L18" i="183"/>
  <c r="L17" i="183"/>
  <c r="L16" i="183"/>
  <c r="L15" i="183"/>
  <c r="L12" i="183"/>
  <c r="B4" i="183"/>
  <c r="D35" i="17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17" i="179"/>
  <c r="L14" i="179"/>
  <c r="L13" i="179"/>
  <c r="L12" i="179"/>
  <c r="L18" i="179" l="1"/>
  <c r="D14"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K159" i="29" l="1"/>
  <c r="B7782" i="106" s="1"/>
  <c r="B7781" i="106"/>
  <c r="K333" i="29"/>
  <c r="B7788" i="106" s="1"/>
  <c r="D7788" i="106" s="1"/>
  <c r="B7787" i="106"/>
  <c r="D7787" i="106" s="1"/>
  <c r="E137" i="29"/>
  <c r="E139" i="29" s="1"/>
  <c r="K133" i="29"/>
  <c r="B7776" i="106" s="1"/>
  <c r="B7774" i="106"/>
  <c r="K282" i="29"/>
  <c r="B7784" i="106" s="1"/>
  <c r="D7784" i="106" s="1"/>
  <c r="B7783" i="106"/>
  <c r="D285" i="29"/>
  <c r="B7815" i="106"/>
  <c r="D7815" i="106" s="1"/>
  <c r="K356" i="29"/>
  <c r="K357" i="29" s="1"/>
  <c r="K15" i="4" s="1"/>
  <c r="K354" i="29"/>
  <c r="H357" i="29"/>
  <c r="B7791" i="106"/>
  <c r="D7791" i="106" s="1"/>
  <c r="B7793" i="106"/>
  <c r="D7793" i="106" s="1"/>
  <c r="K355" i="29"/>
  <c r="B7794" i="106" s="1"/>
  <c r="B7775" i="106"/>
  <c r="H137" i="29"/>
  <c r="D12" i="171"/>
  <c r="N21" i="3"/>
  <c r="B7811" i="106"/>
  <c r="D7811" i="106" s="1"/>
  <c r="B15" i="7"/>
  <c r="B1756" i="106" s="1"/>
  <c r="D1756" i="106" s="1"/>
  <c r="B7810" i="106"/>
  <c r="D7810" i="106" s="1"/>
  <c r="B7777" i="106"/>
  <c r="K157" i="29"/>
  <c r="H160" i="29"/>
  <c r="B7813" i="106"/>
  <c r="D7813" i="106" s="1"/>
  <c r="F167" i="34"/>
  <c r="B7785" i="106"/>
  <c r="H334" i="29"/>
  <c r="B7789" i="106" s="1"/>
  <c r="K332" i="29"/>
  <c r="B7786" i="106" s="1"/>
  <c r="D7786" i="106" s="1"/>
  <c r="B7816" i="106"/>
  <c r="D7816" i="106" s="1"/>
  <c r="B7812" i="106"/>
  <c r="D7812" i="106" s="1"/>
  <c r="D17" i="171"/>
  <c r="B7814" i="106"/>
  <c r="D7814" i="106" s="1"/>
  <c r="B7809" i="106"/>
  <c r="D7809" i="106" s="1"/>
  <c r="F166" i="34"/>
  <c r="F29" i="34"/>
  <c r="B5196" i="106"/>
  <c r="D5196" i="106" s="1"/>
  <c r="K158" i="29"/>
  <c r="B7780" i="106" s="1"/>
  <c r="B7779" i="106"/>
  <c r="B7792" i="106"/>
  <c r="D7792" i="106" s="1"/>
  <c r="B7778" i="106"/>
  <c r="D7778" i="106" s="1"/>
  <c r="F159" i="34"/>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K130" i="29"/>
  <c r="B2805" i="106" s="1"/>
  <c r="D2805" i="106" s="1"/>
  <c r="K185" i="29"/>
  <c r="G39" i="108"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9" i="106"/>
  <c r="D7780" i="106"/>
  <c r="D7781" i="106"/>
  <c r="D7782" i="106"/>
  <c r="D7783" i="106"/>
  <c r="D7785" i="106"/>
  <c r="D7789" i="106"/>
  <c r="D7794" i="106"/>
  <c r="D7795"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71" i="127"/>
  <c r="B72" i="127"/>
  <c r="D26" i="108"/>
  <c r="E27" i="108"/>
  <c r="G27" i="108"/>
  <c r="F31" i="108"/>
  <c r="F36" i="108"/>
  <c r="F37" i="108"/>
  <c r="G28" i="108"/>
  <c r="G29" i="108"/>
  <c r="D31"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C57" i="34"/>
  <c r="D57" i="34"/>
  <c r="C61" i="34"/>
  <c r="C62" i="34"/>
  <c r="F62" i="34"/>
  <c r="C63" i="34"/>
  <c r="D63" i="34"/>
  <c r="C64" i="34"/>
  <c r="F64" i="34"/>
  <c r="C67" i="34"/>
  <c r="D67" i="34"/>
  <c r="F67" i="34"/>
  <c r="C68" i="34"/>
  <c r="D68" i="34"/>
  <c r="F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N22" i="3"/>
  <c r="B283" i="106" s="1"/>
  <c r="D283" i="106" s="1"/>
  <c r="D7" i="118"/>
  <c r="D8" i="118"/>
  <c r="D9" i="118"/>
  <c r="H14" i="118"/>
  <c r="H19" i="118"/>
  <c r="H24" i="118"/>
  <c r="H28" i="118"/>
  <c r="H29" i="118"/>
  <c r="D11" i="37"/>
  <c r="D22" i="37"/>
  <c r="J22" i="37"/>
  <c r="L22" i="37"/>
  <c r="D24" i="37"/>
  <c r="B4270" i="106" s="1"/>
  <c r="D4270" i="106" s="1"/>
  <c r="K334" i="29" l="1"/>
  <c r="F69" i="34"/>
  <c r="E29" i="108"/>
  <c r="B7047" i="106"/>
  <c r="D7047" i="106" s="1"/>
  <c r="F56" i="34"/>
  <c r="D36" i="108"/>
  <c r="F27" i="108"/>
  <c r="F26" i="108"/>
  <c r="F37" i="34"/>
  <c r="K160" i="29"/>
  <c r="J15" i="4"/>
  <c r="B7796" i="106" s="1"/>
  <c r="D7796" i="106" s="1"/>
  <c r="B7790" i="106"/>
  <c r="D7790" i="106" s="1"/>
  <c r="F74" i="34"/>
  <c r="E15" i="4"/>
  <c r="B2633" i="106" s="1"/>
  <c r="D2633" i="106" s="1"/>
  <c r="F60" i="34"/>
  <c r="D69" i="36"/>
  <c r="F36" i="34"/>
  <c r="B6289" i="106"/>
  <c r="D6289"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151" i="29" l="1"/>
  <c r="F59" i="34"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41" i="3" l="1"/>
  <c r="B124" i="106" s="1"/>
  <c r="D124" i="106" s="1"/>
  <c r="D58" i="36"/>
  <c r="C11" i="146"/>
  <c r="B1644" i="106"/>
  <c r="D1644" i="106" s="1"/>
  <c r="D82" i="4"/>
  <c r="D83" i="4" s="1"/>
  <c r="B6277" i="106" s="1"/>
  <c r="D6277" i="106" s="1"/>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45" i="36" l="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<sst xmlns="http://schemas.openxmlformats.org/spreadsheetml/2006/main" count="5305" uniqueCount="2180">
  <si>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</si>
  <si>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</si>
  <si>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</si>
  <si>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</si>
  <si>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</si>
  <si>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</si>
  <si>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</si>
  <si>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</si>
  <si>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</si>
  <si>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</si>
  <si>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</si>
  <si>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</si>
  <si>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</si>
  <si>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</si>
  <si>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</si>
  <si>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</si>
  <si>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</si>
  <si>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</si>
  <si>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</si>
  <si>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</si>
  <si>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</si>
  <si>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</si>
  <si>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</si>
  <si>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</si>
  <si>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</si>
  <si>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</si>
  <si>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</si>
  <si>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</si>
  <si>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</si>
  <si>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</si>
  <si>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</si>
  <si>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</si>
  <si>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</si>
  <si>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</si>
  <si>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</si>
  <si>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</si>
  <si>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</si>
  <si>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</si>
  <si>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</si>
  <si>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</si>
  <si>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</si>
  <si>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</si>
  <si>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</si>
  <si>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</si>
  <si>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</si>
  <si>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</si>
  <si>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</si>
  <si>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</si>
  <si>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</si>
  <si>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</si>
  <si>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</si>
  <si>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</si>
  <si>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</si>
  <si>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</si>
  <si>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</si>
  <si>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</si>
  <si>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</si>
  <si>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</si>
  <si>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</si>
  <si>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</si>
  <si>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</si>
  <si>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</si>
  <si>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</si>
  <si>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</si>
  <si>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</si>
  <si>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</si>
  <si>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</si>
  <si>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</si>
  <si>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</si>
  <si>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</si>
  <si>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</si>
  <si>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</si>
  <si>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</si>
  <si>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</si>
  <si>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</si>
  <si>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</si>
  <si>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</si>
  <si>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</si>
  <si>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</si>
  <si>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</si>
  <si>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</si>
  <si>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</si>
  <si>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</si>
  <si>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</si>
  <si>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</si>
  <si>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</si>
  <si>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</si>
  <si>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</si>
  <si>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</si>
  <si>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</si>
  <si>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</si>
  <si>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</si>
  <si>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</si>
  <si>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</si>
  <si>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</si>
  <si>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</si>
  <si>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</si>
  <si>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</si>
  <si>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</si>
  <si>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</si>
  <si>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</si>
  <si>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</si>
  <si>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</si>
  <si>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</si>
  <si>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</si>
  <si>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</si>
  <si>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</si>
  <si>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</si>
  <si>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</si>
  <si>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</si>
  <si>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</si>
  <si>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</si>
  <si>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</si>
  <si>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</si>
  <si>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</si>
  <si>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</si>
  <si>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</si>
  <si>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</si>
  <si>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</si>
  <si>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</si>
  <si>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</si>
  <si>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</si>
  <si>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</si>
  <si>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</si>
  <si>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</si>
  <si>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</si>
  <si>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</si>
  <si>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</si>
  <si>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</si>
  <si>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</si>
  <si>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</si>
  <si>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</si>
  <si>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</si>
  <si>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</si>
  <si>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</si>
  <si>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</si>
  <si>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</si>
  <si>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</si>
  <si>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</si>
  <si>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</si>
  <si>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</si>
  <si>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</si>
  <si>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</si>
  <si>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</si>
  <si>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</si>
  <si>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</si>
  <si>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</si>
  <si>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</si>
  <si>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</si>
  <si>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</si>
  <si>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</si>
  <si>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</si>
  <si>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</si>
  <si>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</si>
  <si>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</si>
  <si>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</si>
  <si>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</si>
  <si>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</si>
  <si>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</si>
  <si>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</si>
  <si>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</si>
  <si>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</si>
  <si>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</si>
  <si>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</si>
  <si>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</si>
  <si>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</si>
  <si>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</si>
  <si>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</si>
  <si>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</si>
  <si>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</si>
  <si>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</si>
  <si>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</si>
  <si>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</si>
  <si>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</si>
  <si>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</si>
  <si>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</si>
  <si>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</si>
  <si>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</si>
  <si>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</si>
  <si>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</si>
  <si>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</si>
  <si>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</si>
  <si>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</si>
  <si>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</si>
  <si>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</si>
  <si>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</si>
  <si>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</si>
  <si>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</si>
  <si>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</si>
  <si>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</si>
  <si>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</si>
  <si>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</si>
  <si>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</si>
  <si>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</si>
  <si>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</si>
  <si>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</si>
  <si>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</si>
  <si>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</si>
  <si>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</si>
  <si>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</si>
  <si>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</si>
  <si>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</si>
  <si>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</si>
  <si>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</si>
  <si>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</si>
  <si>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</si>
  <si>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</si>
  <si>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</si>
  <si>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</si>
  <si>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</si>
  <si>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</si>
  <si>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</si>
  <si>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</si>
  <si>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</si>
  <si>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</si>
  <si>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</si>
  <si>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</si>
  <si>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</si>
  <si>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</si>
  <si>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</si>
  <si>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</si>
  <si>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</si>
  <si>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</si>
  <si>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</si>
  <si>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</si>
  <si>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</si>
  <si>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</si>
  <si>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</si>
  <si>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</si>
  <si>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</si>
  <si>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</si>
  <si>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</si>
  <si>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</si>
  <si>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</si>
  <si>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</si>
  <si>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</si>
  <si>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</si>
  <si>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</si>
  <si>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</si>
  <si>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</si>
  <si>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</si>
  <si>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</si>
  <si>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</si>
  <si>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</si>
  <si>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</si>
  <si>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</si>
  <si>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</si>
  <si>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</si>
  <si>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</si>
  <si>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</si>
  <si>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</si>
  <si>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</si>
  <si>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</si>
  <si>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</si>
  <si>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</si>
  <si>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</si>
  <si>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</si>
  <si>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</si>
  <si>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</si>
  <si>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</si>
  <si>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</si>
  <si>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</si>
  <si>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</si>
  <si>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</si>
  <si>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</si>
  <si>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</si>
  <si>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</si>
  <si>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</si>
  <si>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</si>
  <si>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</si>
  <si>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</si>
  <si>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</si>
  <si>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</si>
  <si>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</si>
  <si>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</si>
  <si>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</si>
  <si>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</si>
  <si>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</si>
  <si>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</si>
  <si>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</si>
  <si>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</si>
  <si>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</si>
  <si>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</si>
  <si>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</si>
  <si>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</si>
  <si>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</si>
  <si>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</si>
  <si>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</si>
  <si>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</si>
  <si>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</si>
  <si>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</si>
  <si>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</si>
  <si>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</si>
  <si>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</si>
  <si>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</si>
  <si>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</si>
  <si>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</si>
  <si>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</si>
  <si>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</si>
  <si>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</si>
  <si>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</si>
  <si>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</si>
  <si>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</si>
  <si>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</si>
  <si>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</si>
  <si>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</si>
  <si>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</si>
  <si>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</si>
  <si>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</si>
  <si>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</si>
  <si>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</si>
  <si>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</si>
  <si>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</si>
  <si>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</si>
  <si>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</si>
  <si>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</si>
  <si>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</si>
  <si>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</si>
  <si>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</si>
  <si>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</si>
  <si>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</si>
  <si>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</si>
  <si>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</si>
  <si>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</si>
  <si>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</si>
  <si>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</si>
  <si>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</si>
  <si>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</si>
  <si>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</si>
  <si>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</si>
  <si>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</si>
  <si>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</si>
  <si>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</si>
  <si>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</si>
  <si>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</si>
  <si>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</si>
  <si>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</si>
  <si>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</si>
  <si>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</si>
  <si>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</si>
  <si>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</si>
  <si>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</si>
  <si>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</si>
  <si>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</si>
  <si>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</si>
  <si>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</si>
  <si>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</si>
  <si>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</si>
  <si>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</si>
  <si>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</si>
  <si>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</si>
  <si>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</si>
  <si>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</si>
  <si>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</si>
  <si>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</si>
  <si>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</si>
  <si>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</si>
  <si>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</si>
  <si>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</si>
  <si>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</si>
  <si>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</si>
  <si>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</si>
  <si>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</si>
  <si>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</si>
  <si>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</si>
  <si>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</si>
  <si>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</si>
  <si>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</si>
  <si>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</si>
  <si>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</si>
  <si>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</si>
  <si>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</si>
  <si>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</si>
  <si>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</si>
  <si>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</si>
  <si>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</si>
  <si>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</si>
  <si>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</si>
  <si>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</si>
  <si>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</si>
  <si>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</si>
  <si>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</si>
  <si>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</si>
  <si>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</si>
  <si>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</si>
  <si>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</si>
  <si>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</si>
  <si>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</si>
  <si>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</si>
  <si>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</si>
  <si>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</si>
  <si>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</si>
  <si>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</si>
  <si>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</si>
  <si>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</si>
  <si>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</si>
  <si>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</si>
  <si>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</si>
  <si>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</si>
  <si>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</si>
  <si>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</si>
  <si>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</si>
  <si>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</si>
  <si>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</si>
  <si>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</si>
  <si>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</si>
  <si>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</si>
  <si>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</si>
  <si>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</si>
  <si>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</si>
  <si>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</si>
  <si>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</si>
  <si>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</si>
  <si>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</si>
  <si>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</si>
  <si>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</si>
  <si>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</si>
  <si>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</si>
  <si>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</si>
  <si>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</si>
  <si>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</si>
  <si>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</si>
  <si>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</si>
  <si>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</si>
  <si>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</si>
  <si>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</si>
  <si>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</si>
  <si>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</si>
  <si>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</si>
  <si>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</si>
  <si>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</si>
  <si>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</si>
  <si>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</si>
  <si>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</si>
  <si>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</si>
  <si>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</si>
  <si>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</si>
  <si>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</si>
  <si>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</si>
  <si>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</si>
  <si>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</si>
  <si>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</si>
  <si>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</si>
  <si>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</si>
  <si>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</si>
  <si>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</si>
  <si>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</si>
  <si>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</si>
  <si>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</si>
  <si>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</si>
  <si>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</si>
  <si>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</si>
  <si>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</si>
  <si>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</si>
  <si>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</si>
  <si>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</si>
  <si>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</si>
  <si>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</si>
  <si>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</si>
  <si>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</si>
  <si>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</si>
  <si>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</si>
  <si>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</si>
  <si>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</si>
  <si>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</si>
  <si>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</si>
  <si>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</si>
  <si>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</si>
  <si>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</si>
  <si>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</si>
  <si>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</si>
  <si>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</si>
  <si>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</si>
  <si>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</si>
  <si>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</si>
  <si>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</si>
  <si>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</si>
  <si>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</si>
  <si>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</si>
  <si>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</si>
  <si>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</si>
  <si>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</si>
  <si>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</si>
  <si>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</si>
  <si>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</si>
  <si>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</si>
  <si>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</si>
  <si>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</si>
  <si>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</si>
  <si>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</si>
  <si>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</si>
  <si>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</si>
  <si>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</si>
  <si>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</si>
  <si>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</si>
  <si>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</si>
  <si>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</si>
  <si>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</si>
  <si>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</si>
  <si>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</si>
  <si>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</si>
  <si>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</si>
  <si>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</si>
  <si>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</si>
  <si>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</si>
  <si>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</si>
  <si>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</si>
  <si>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</si>
  <si>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</si>
  <si>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</si>
  <si>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</si>
  <si>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</si>
  <si>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</si>
  <si>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</si>
  <si>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</si>
  <si>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</si>
  <si>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</si>
  <si>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</si>
  <si>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</si>
  <si>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</si>
  <si>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</si>
  <si>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</si>
  <si>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</si>
  <si>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</si>
  <si>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</si>
  <si>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</si>
  <si>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</si>
  <si>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</si>
  <si>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</si>
  <si>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</si>
  <si>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</si>
  <si>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</si>
  <si>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</si>
  <si>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</si>
  <si>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</si>
  <si>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</si>
  <si>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</si>
  <si>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</si>
  <si>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</si>
  <si>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</si>
  <si>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</si>
  <si>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</si>
  <si>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</si>
  <si>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</si>
  <si>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</si>
  <si>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</si>
  <si>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</si>
  <si>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</si>
  <si>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</si>
  <si>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</si>
  <si>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</si>
  <si>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</si>
  <si>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</si>
  <si>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</si>
  <si>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</si>
  <si>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</si>
  <si>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</si>
  <si>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</si>
  <si>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</si>
  <si>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</si>
  <si>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</si>
  <si>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</si>
  <si>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</si>
  <si>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</si>
  <si>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</si>
  <si>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</si>
  <si>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</si>
  <si>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</si>
  <si>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</si>
  <si>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</si>
  <si>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</si>
  <si>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</si>
  <si>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</si>
  <si>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</si>
  <si>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</si>
  <si>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</si>
  <si>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</si>
  <si>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</si>
  <si>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</si>
  <si>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</si>
  <si>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</si>
  <si>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</si>
  <si>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</si>
  <si>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</si>
  <si>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</si>
  <si>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</si>
  <si>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</si>
  <si>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</si>
  <si>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</si>
  <si>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</si>
  <si>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</si>
  <si>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</si>
  <si>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</si>
  <si>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</si>
  <si>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</si>
  <si>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</si>
  <si>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</si>
  <si>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</si>
  <si>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</si>
  <si>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</si>
  <si>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</si>
  <si>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</si>
  <si>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</si>
  <si>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</si>
  <si>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</si>
  <si>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</si>
  <si>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</si>
  <si>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</si>
  <si>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</si>
  <si>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</si>
  <si>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</si>
  <si>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</si>
  <si>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</si>
  <si>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</si>
  <si>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</si>
  <si>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</si>
  <si>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</si>
  <si>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</si>
  <si>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</si>
  <si>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</si>
  <si>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</si>
  <si>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</si>
  <si>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</si>
  <si>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</si>
  <si>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</si>
  <si>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</si>
  <si>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</si>
  <si>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</si>
  <si>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</si>
  <si>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</si>
  <si>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</si>
  <si>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</si>
  <si>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</si>
  <si>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</si>
  <si>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</si>
  <si>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</si>
  <si>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</si>
  <si>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</si>
  <si>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</si>
  <si>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</si>
  <si>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</si>
  <si>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</si>
  <si>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</si>
  <si>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</si>
  <si>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</si>
  <si>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</si>
  <si>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</si>
  <si>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</si>
  <si>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</si>
  <si>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</si>
  <si>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</si>
  <si>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</si>
  <si>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</si>
  <si>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</si>
  <si>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</si>
  <si>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</si>
  <si>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</si>
  <si>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</si>
  <si>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</si>
  <si>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</si>
  <si>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</si>
  <si>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</si>
  <si>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</si>
  <si>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</si>
  <si>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</si>
  <si>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</si>
  <si>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</si>
  <si>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</si>
  <si>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</si>
  <si>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</si>
  <si>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</si>
  <si>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</si>
  <si>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</si>
  <si>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</si>
  <si>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</si>
  <si>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</si>
  <si>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</si>
  <si>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</si>
  <si>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</si>
  <si>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</si>
  <si>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</si>
  <si>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</si>
  <si>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</si>
  <si>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</si>
  <si>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</si>
  <si>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</si>
  <si>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</si>
  <si>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</si>
  <si>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</si>
  <si>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</si>
  <si>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</si>
  <si>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</si>
  <si>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</si>
  <si>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</si>
  <si>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</si>
  <si>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</si>
  <si>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</si>
  <si>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</si>
  <si>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</si>
  <si>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</si>
  <si>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</si>
  <si>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</si>
  <si>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</si>
  <si>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</si>
  <si>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</si>
  <si>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</si>
  <si>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</si>
  <si>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</si>
  <si>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</si>
  <si>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</si>
  <si>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</si>
  <si>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</si>
  <si>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</si>
  <si>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</si>
  <si>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</si>
  <si>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</si>
  <si>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</si>
  <si>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</si>
  <si>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</si>
  <si>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</si>
  <si>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</si>
  <si>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</si>
  <si>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</si>
  <si>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</si>
  <si>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</si>
  <si>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</si>
  <si>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</si>
  <si>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</si>
  <si>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</si>
  <si>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</si>
  <si>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</si>
  <si>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</si>
  <si>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</si>
  <si>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</si>
  <si>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</si>
  <si>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</si>
  <si>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</si>
  <si>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</si>
  <si>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</si>
  <si>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</si>
  <si>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</si>
  <si>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</si>
  <si>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</si>
  <si>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</si>
  <si>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</si>
  <si>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</si>
  <si>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</si>
  <si>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</si>
  <si>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</si>
  <si>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</si>
  <si>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</si>
  <si>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</si>
  <si>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</si>
  <si>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</si>
  <si>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</si>
  <si>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</si>
  <si>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</si>
  <si>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</si>
  <si>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</si>
  <si>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</si>
  <si>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</si>
  <si>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</si>
  <si>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</si>
  <si>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</si>
  <si>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</si>
  <si>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</si>
  <si>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</si>
  <si>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</si>
  <si>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</si>
  <si>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</si>
  <si>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</si>
  <si>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</si>
  <si>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</si>
  <si>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</si>
  <si>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</si>
  <si>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</si>
  <si>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</si>
  <si>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</si>
  <si>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</si>
  <si>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</si>
  <si>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</si>
  <si>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</si>
  <si>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</si>
  <si>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</si>
  <si>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</si>
  <si>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</si>
  <si>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</si>
  <si>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</si>
  <si>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</si>
  <si>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</si>
  <si>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</si>
  <si>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</si>
  <si>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</si>
  <si>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</si>
  <si>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</si>
  <si>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</si>
  <si>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</si>
  <si>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</si>
  <si>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</si>
  <si>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</si>
  <si>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</si>
  <si>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</si>
  <si>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</si>
  <si>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</si>
  <si>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</si>
  <si>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</si>
  <si>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</si>
  <si>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</si>
  <si>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</si>
  <si>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</si>
  <si>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</si>
  <si>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</si>
  <si>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</si>
  <si>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</si>
  <si>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</si>
  <si>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</si>
  <si>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</si>
  <si>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</si>
  <si>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</si>
  <si>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</si>
  <si>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</si>
  <si>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</si>
  <si>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</si>
  <si>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</si>
  <si>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</si>
  <si>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</si>
  <si>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</si>
  <si>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</si>
  <si>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</si>
  <si>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</si>
  <si>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</si>
  <si>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</si>
  <si>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</si>
  <si>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</si>
  <si>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</si>
  <si>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</si>
  <si>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</si>
  <si>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</si>
  <si>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</si>
  <si>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</si>
  <si>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</si>
  <si>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</si>
  <si>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</si>
  <si>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</si>
  <si>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</si>
  <si>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</si>
  <si>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</si>
  <si>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</si>
  <si>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</si>
  <si>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</si>
  <si>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</si>
  <si>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</si>
  <si>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</si>
  <si>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</si>
  <si>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</si>
  <si>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</si>
  <si>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</si>
  <si>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</si>
  <si>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</si>
  <si>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</si>
  <si>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</si>
  <si>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</si>
  <si>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</si>
  <si>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</si>
  <si>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</si>
  <si>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</si>
  <si>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</si>
  <si>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</si>
  <si>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</si>
  <si>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</si>
  <si>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</si>
  <si>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</si>
  <si>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</si>
  <si>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</si>
  <si>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</si>
  <si>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</si>
  <si>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</si>
  <si>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</si>
  <si>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</si>
  <si>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</si>
  <si>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</si>
  <si>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</si>
  <si>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</si>
  <si>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</si>
  <si>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</si>
  <si>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</si>
  <si>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</si>
  <si>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</si>
  <si>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</si>
  <si>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</si>
  <si>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</si>
  <si>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</si>
  <si>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</si>
  <si>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</si>
  <si>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</si>
  <si>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</si>
  <si>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</si>
  <si>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</si>
  <si>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</si>
  <si>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</si>
  <si>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</si>
  <si>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</si>
  <si>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</si>
  <si>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</si>
  <si>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</si>
  <si>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</si>
  <si>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</si>
  <si>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</si>
  <si>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</si>
  <si>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</si>
  <si>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</si>
  <si>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</si>
  <si>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</si>
  <si>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</si>
  <si>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</si>
  <si>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</si>
  <si>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</si>
  <si>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</si>
  <si>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</si>
  <si>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</si>
  <si>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</si>
  <si>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</si>
  <si>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</si>
  <si>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</si>
  <si>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</si>
  <si>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</si>
  <si>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</si>
  <si>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</si>
  <si>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</si>
  <si>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</si>
  <si>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</si>
  <si>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</si>
  <si>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</si>
  <si>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</si>
  <si>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</si>
  <si>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</si>
  <si>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</si>
  <si>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</si>
  <si>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</si>
  <si>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</si>
  <si>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</si>
  <si>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</si>
  <si>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</si>
  <si>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</si>
  <si>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</si>
  <si>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</si>
  <si>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</si>
  <si>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</si>
  <si>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</si>
  <si>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</si>
  <si>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</si>
  <si>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</si>
  <si>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</si>
  <si>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</si>
  <si>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</si>
  <si>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</si>
  <si>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</si>
  <si>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</si>
  <si>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</si>
  <si>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</si>
  <si>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</si>
  <si>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</si>
  <si>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</si>
  <si>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</si>
  <si>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</si>
  <si>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</si>
  <si>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</si>
  <si>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</si>
  <si>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</si>
  <si>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</si>
  <si>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</si>
  <si>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</si>
  <si>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</si>
  <si>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</si>
  <si>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</si>
  <si>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</si>
  <si>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</si>
  <si>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</si>
  <si>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</si>
  <si>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</si>
  <si>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</si>
  <si>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</si>
  <si>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</si>
  <si>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</si>
  <si>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</si>
  <si>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</si>
  <si>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</si>
  <si>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</si>
  <si>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</si>
  <si>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</si>
  <si>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</si>
  <si>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</si>
  <si>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</si>
  <si>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</si>
  <si>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</si>
  <si>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</si>
  <si>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</si>
  <si>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</si>
  <si>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</si>
  <si>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</si>
  <si>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</si>
  <si>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</si>
  <si>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</si>
  <si>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</si>
  <si>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</si>
  <si>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</si>
  <si>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</si>
  <si>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</si>
  <si>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</si>
  <si>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</si>
  <si>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</si>
  <si>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</si>
  <si>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</si>
  <si>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</si>
  <si>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</si>
  <si>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</si>
  <si>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</si>
  <si>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</si>
  <si>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</si>
  <si>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</si>
  <si>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</si>
  <si>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</si>
  <si>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</si>
  <si>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</si>
  <si>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</si>
  <si>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</si>
  <si>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</si>
  <si>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</si>
  <si>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</si>
  <si>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</si>
  <si>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</si>
  <si>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</si>
  <si>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</si>
  <si>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</si>
  <si>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</si>
  <si>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</si>
  <si>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</si>
  <si>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</si>
  <si>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</si>
  <si>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</si>
  <si>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</si>
  <si>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</si>
  <si>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</si>
  <si>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</si>
  <si>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</si>
  <si>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</si>
  <si>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</si>
  <si>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</si>
  <si>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</si>
  <si>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</si>
  <si>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</si>
  <si>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</si>
  <si>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</si>
  <si>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</si>
  <si>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</si>
  <si>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</si>
  <si>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</si>
  <si>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</si>
  <si>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</si>
  <si>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</si>
  <si>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</si>
  <si>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</si>
  <si>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</si>
  <si>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</si>
  <si>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</si>
  <si>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</si>
  <si>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</si>
  <si>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</si>
  <si>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</si>
  <si>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</si>
  <si>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</si>
  <si>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</si>
  <si>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</si>
  <si>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</si>
  <si>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</si>
  <si>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</si>
  <si>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</si>
  <si>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</si>
  <si>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</si>
  <si>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</si>
  <si>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</si>
  <si>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</si>
  <si>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</si>
  <si>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</si>
  <si>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</si>
  <si>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</si>
  <si>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</si>
  <si>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</si>
  <si>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</si>
  <si>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</si>
  <si>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</si>
  <si>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</si>
  <si>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</si>
  <si>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</si>
  <si>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</si>
  <si>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</si>
  <si>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</si>
  <si>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</si>
  <si>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</si>
  <si>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</si>
  <si>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</si>
  <si>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</si>
  <si>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</si>
  <si>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</si>
  <si>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</si>
  <si>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</si>
  <si>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</si>
  <si>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</si>
  <si>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</si>
  <si>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</si>
  <si>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</si>
  <si>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</si>
  <si>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</si>
  <si>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</si>
  <si>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</si>
  <si>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</si>
  <si>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</si>
  <si>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</si>
  <si>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</si>
  <si>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</si>
  <si>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</si>
  <si>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</si>
  <si>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</si>
  <si>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</si>
  <si>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</si>
  <si>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</si>
  <si>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</si>
  <si>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</si>
  <si>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</si>
  <si>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</si>
  <si>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</si>
  <si>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</si>
  <si>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</si>
  <si>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</si>
  <si>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</si>
  <si>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</si>
  <si>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</si>
  <si>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</si>
  <si>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</si>
  <si>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</si>
  <si>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</si>
  <si>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</si>
  <si>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</si>
  <si>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</si>
  <si>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</si>
  <si>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</si>
  <si>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</si>
  <si>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</si>
  <si>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</si>
  <si>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</si>
  <si>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</si>
  <si>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</si>
  <si>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</si>
  <si>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</si>
  <si>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</si>
  <si>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</si>
  <si>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</si>
  <si>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</si>
  <si>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</si>
  <si>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</si>
  <si>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</si>
  <si>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</si>
  <si>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</si>
  <si>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</si>
  <si>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</si>
  <si>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</si>
  <si>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</si>
  <si>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</si>
  <si>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</si>
  <si>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</si>
  <si>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</si>
  <si>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</si>
  <si>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</si>
  <si>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</si>
  <si>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</si>
  <si>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</si>
  <si>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</si>
  <si>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</si>
  <si>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</si>
  <si>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</si>
  <si>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</si>
  <si>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</si>
  <si>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</si>
  <si>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</si>
  <si>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</si>
  <si>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</si>
  <si>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</si>
  <si>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</si>
  <si>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</si>
  <si>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</si>
  <si>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</si>
  <si>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</si>
  <si>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</si>
  <si>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</si>
  <si>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</si>
  <si>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</si>
  <si>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</si>
  <si>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</si>
  <si>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</si>
  <si>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</si>
  <si>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</si>
  <si>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</si>
  <si>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</si>
  <si>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</si>
  <si>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</si>
  <si>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</si>
  <si>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</si>
  <si>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</si>
  <si>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</si>
  <si>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</si>
  <si>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</si>
  <si>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</si>
  <si>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</si>
  <si>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</si>
  <si>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</si>
  <si>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</si>
  <si>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</si>
  <si>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</si>
  <si>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</si>
  <si>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</si>
  <si>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</si>
  <si>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</si>
  <si>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</si>
  <si>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</si>
  <si>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</si>
  <si>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</si>
  <si>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</si>
  <si>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</si>
  <si>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</si>
  <si>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</si>
  <si>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</si>
  <si>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</si>
  <si>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</si>
  <si>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</si>
  <si>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</si>
  <si>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</si>
  <si>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</si>
  <si>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</si>
  <si>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</si>
  <si>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</si>
  <si>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</si>
  <si>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</si>
  <si>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</si>
  <si>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</si>
  <si>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</si>
  <si>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</si>
  <si>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</si>
  <si>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</si>
  <si>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</si>
  <si>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</si>
  <si>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</si>
  <si>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</si>
  <si>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</si>
  <si>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</si>
  <si>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</si>
  <si>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</si>
  <si>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</si>
  <si>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</si>
  <si>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</si>
  <si>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</si>
  <si>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</si>
  <si>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</si>
  <si>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</si>
  <si>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</si>
  <si>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</si>
  <si>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</si>
  <si>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</si>
  <si>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</si>
  <si>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</si>
  <si>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</si>
  <si>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</si>
  <si>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</si>
  <si>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</si>
  <si>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</si>
  <si>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</si>
  <si>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</si>
  <si>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</si>
  <si>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</si>
  <si>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</si>
  <si>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</si>
  <si>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</si>
  <si>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</si>
  <si>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</si>
  <si>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</si>
  <si>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</si>
  <si>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</si>
  <si>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</si>
  <si>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</si>
  <si>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</si>
  <si>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</si>
  <si>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</si>
  <si>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</si>
  <si>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</si>
  <si>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</si>
  <si>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</si>
  <si>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</si>
  <si>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</si>
  <si>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</si>
  <si>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</si>
  <si>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</si>
  <si>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</si>
  <si>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</si>
  <si>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</si>
  <si>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</si>
  <si>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</si>
  <si>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</si>
  <si>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</si>
  <si>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</si>
  <si>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</si>
  <si>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</si>
  <si>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</si>
  <si>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</si>
  <si>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</si>
  <si>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</si>
  <si>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</si>
  <si>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</si>
  <si>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</si>
  <si>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</si>
  <si>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</si>
  <si>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</si>
  <si>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</si>
  <si>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</si>
  <si>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</si>
  <si>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</si>
  <si>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</si>
  <si>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</si>
  <si>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</si>
  <si>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</si>
  <si>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</si>
  <si>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</si>
  <si>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</si>
  <si>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</si>
  <si>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</si>
  <si>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</si>
  <si>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</si>
  <si>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</si>
  <si>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</si>
  <si>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</si>
  <si>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</si>
  <si>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</si>
  <si>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</si>
  <si>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</si>
  <si>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</si>
  <si>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</si>
  <si>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</si>
  <si>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</si>
  <si>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</si>
  <si>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</si>
  <si>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</si>
  <si>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</si>
  <si>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</si>
  <si>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</si>
  <si>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</si>
  <si>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</si>
  <si>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</si>
  <si>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</si>
  <si>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</si>
  <si>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</si>
  <si>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</si>
  <si>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</si>
  <si>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</si>
  <si>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</si>
  <si>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</si>
  <si>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</si>
  <si>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</si>
  <si>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</si>
  <si>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</si>
  <si>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</si>
  <si>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</si>
  <si>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</si>
  <si>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</si>
  <si>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</si>
  <si>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</si>
  <si>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</si>
  <si>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</si>
  <si>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</si>
  <si>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</si>
  <si>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</si>
  <si>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</si>
  <si>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</si>
  <si>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</si>
  <si>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</si>
  <si>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</si>
  <si>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</si>
  <si>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</si>
  <si>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</si>
  <si>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</si>
  <si>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</si>
  <si>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</si>
  <si>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</si>
  <si>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</si>
  <si>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</si>
  <si>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</si>
  <si>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</si>
  <si>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</si>
  <si>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</si>
  <si>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</si>
  <si>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</si>
  <si>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</si>
  <si>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</si>
  <si>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</si>
  <si>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</si>
  <si>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</si>
  <si>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</si>
  <si>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</si>
  <si>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</si>
  <si>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</si>
  <si>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</si>
  <si>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</si>
  <si>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</si>
  <si>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</si>
  <si>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</si>
  <si>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</si>
  <si>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</si>
  <si>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</si>
  <si>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</si>
  <si>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</si>
  <si>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</si>
  <si>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</si>
  <si>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</si>
  <si>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</si>
  <si>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</si>
  <si>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</si>
  <si>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</si>
  <si>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</si>
  <si>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</si>
  <si>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</si>
  <si>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</si>
  <si>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</si>
  <si>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</si>
  <si>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</si>
  <si>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</si>
  <si>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</si>
  <si>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</si>
  <si>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</si>
  <si>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</si>
  <si>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</si>
  <si>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</si>
  <si>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</si>
  <si>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</si>
  <si>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</si>
  <si>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</si>
  <si>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</si>
  <si>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</si>
  <si>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</si>
  <si>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</si>
  <si>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</si>
  <si>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</si>
  <si>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</si>
  <si>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</si>
  <si>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</si>
  <si>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</si>
  <si>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</si>
  <si>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</si>
  <si>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</si>
  <si>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</si>
  <si>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</si>
  <si>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</si>
  <si>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</si>
  <si>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</si>
  <si>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</si>
  <si>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</si>
  <si>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</si>
  <si>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</si>
  <si>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</si>
  <si>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</si>
  <si>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</si>
  <si>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</si>
  <si>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</si>
  <si>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</si>
  <si>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</si>
  <si>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</si>
  <si>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</si>
  <si>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</si>
  <si>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</si>
  <si>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</si>
  <si>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</si>
  <si>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</si>
  <si>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</si>
  <si>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</si>
  <si>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</si>
  <si>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</si>
  <si>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</si>
  <si>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</si>
  <si>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</si>
  <si>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</si>
  <si>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</si>
  <si>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</si>
  <si>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</si>
  <si>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</si>
  <si>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</si>
  <si>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</si>
  <si>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</si>
  <si>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</si>
  <si>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</si>
  <si>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</si>
  <si>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</si>
  <si>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</si>
  <si>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</si>
  <si>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</si>
  <si>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</si>
  <si>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</si>
  <si>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</si>
  <si>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</si>
  <si>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</si>
  <si>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</si>
  <si>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</si>
  <si>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</si>
  <si>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</si>
  <si>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</si>
  <si>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</si>
  <si>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</si>
  <si>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</si>
  <si>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</si>
  <si>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</si>
  <si>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</si>
  <si>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</si>
  <si>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</si>
  <si>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</si>
  <si>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</si>
  <si>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</si>
  <si>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</si>
  <si>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</si>
  <si>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</si>
  <si>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</si>
  <si>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</si>
  <si>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</si>
  <si>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</si>
  <si>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</si>
  <si>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</si>
  <si>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</si>
  <si>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</si>
  <si>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</si>
  <si>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</si>
  <si>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</si>
  <si>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</si>
  <si>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</si>
  <si>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</si>
  <si>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</si>
  <si>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</si>
  <si>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</si>
  <si>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</si>
  <si>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</si>
  <si>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</si>
  <si>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</si>
  <si>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</si>
  <si>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</si>
  <si>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</si>
  <si>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</si>
  <si>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</si>
  <si>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</si>
  <si>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</si>
  <si>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</si>
  <si>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</si>
  <si>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</si>
  <si>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</si>
  <si>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</si>
  <si>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</si>
  <si>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</si>
  <si>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</si>
  <si>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</si>
  <si>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</si>
  <si>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</si>
  <si>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</si>
  <si>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</si>
  <si>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</si>
  <si>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</si>
  <si>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</si>
  <si>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</si>
  <si>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</si>
  <si>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</si>
  <si>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</si>
  <si>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</si>
  <si>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</si>
  <si>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</si>
  <si>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</si>
  <si>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</si>
  <si>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</si>
  <si>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</si>
  <si>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</si>
  <si>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</si>
  <si>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</si>
  <si>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</si>
  <si>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</si>
  <si>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</si>
  <si>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</si>
  <si>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</si>
  <si>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</si>
  <si>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</si>
  <si>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</si>
  <si>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</si>
  <si>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</si>
  <si>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</si>
  <si>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</si>
  <si>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</si>
  <si>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</si>
  <si>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</si>
  <si>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</si>
  <si>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</si>
  <si>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</si>
  <si>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</si>
  <si>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</si>
  <si>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</si>
  <si>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</si>
  <si>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</si>
  <si>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</si>
  <si>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</si>
  <si>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</si>
  <si>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</si>
  <si>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</si>
  <si>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</si>
  <si>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</si>
  <si>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</si>
  <si>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</si>
  <si>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</si>
  <si>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</si>
  <si>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</si>
  <si>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</si>
  <si>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</si>
  <si>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</si>
  <si>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</si>
  <si>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</si>
  <si>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</si>
  <si>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</si>
  <si>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</si>
  <si>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</si>
  <si>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</si>
  <si>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</si>
  <si>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</si>
  <si>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</si>
  <si>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</si>
  <si>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</si>
  <si>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</si>
  <si>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</si>
  <si>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</si>
  <si>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</si>
  <si>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</si>
  <si>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</si>
  <si>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</si>
  <si>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</si>
  <si>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</si>
  <si>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</si>
  <si>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</si>
  <si>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</si>
  <si>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</si>
  <si>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</si>
  <si>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</si>
  <si>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</si>
  <si>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</si>
  <si>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</si>
  <si>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</si>
  <si>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</si>
  <si>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</si>
  <si>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</si>
  <si>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</si>
  <si>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</si>
  <si>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</si>
  <si>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</si>
  <si>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</si>
  <si>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</si>
  <si>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</si>
  <si>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</si>
  <si>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</si>
  <si>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</si>
  <si>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</si>
  <si>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</si>
  <si>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</si>
  <si>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</si>
  <si>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</si>
  <si>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</si>
  <si>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</si>
  <si>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</si>
  <si>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</si>
  <si>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</si>
  <si>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</si>
  <si>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</si>
  <si>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</si>
  <si>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</si>
  <si>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</si>
  <si>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</si>
  <si>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</si>
  <si>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</si>
  <si>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</si>
  <si>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</si>
  <si>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</si>
  <si>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</si>
  <si>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</si>
  <si>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</si>
  <si>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</si>
  <si>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</si>
  <si>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</si>
  <si>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</si>
  <si>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</si>
  <si>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</si>
  <si>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</si>
  <si>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</si>
  <si>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</si>
  <si>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</si>
  <si>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</si>
  <si>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</si>
  <si>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</si>
  <si>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</si>
  <si>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</si>
  <si>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</si>
  <si>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</si>
  <si>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</si>
  <si>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</si>
  <si>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</si>
  <si>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</si>
  <si>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</si>
  <si>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</si>
  <si>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</si>
  <si>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</si>
  <si>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</si>
  <si>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</si>
  <si>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</si>
  <si>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</si>
  <si>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</si>
  <si>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</si>
  <si>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</si>
  <si>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</si>
  <si>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</si>
  <si>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</si>
  <si>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</si>
  <si>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</si>
  <si>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</si>
  <si>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</si>
  <si>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</si>
  <si>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</si>
  <si>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</si>
  <si>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</si>
  <si>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</si>
  <si>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</si>
  <si>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</si>
  <si>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</si>
  <si>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</si>
  <si>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</si>
  <si>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</si>
  <si>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</si>
  <si>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</si>
  <si>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</si>
  <si>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</si>
  <si>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</si>
  <si>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</si>
  <si>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</si>
  <si>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</si>
  <si>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</si>
  <si>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</si>
  <si>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</si>
  <si>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</si>
  <si>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</si>
  <si>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</si>
  <si>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</si>
  <si>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</si>
  <si>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</si>
  <si>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</si>
  <si>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</si>
  <si>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</si>
  <si>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</si>
  <si>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</si>
  <si>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</si>
  <si>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</si>
  <si>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</si>
  <si>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</si>
  <si>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</si>
  <si>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</si>
  <si>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</si>
  <si>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</si>
  <si>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</si>
  <si>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</si>
  <si>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</si>
  <si>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</si>
  <si>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</si>
  <si>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</si>
  <si>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</si>
  <si>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</si>
  <si>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</si>
  <si>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</si>
  <si>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</si>
  <si>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</si>
  <si>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</si>
  <si>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</si>
  <si>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</si>
  <si>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</si>
  <si>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</si>
  <si>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</si>
  <si>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</si>
  <si>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</si>
  <si>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</si>
  <si>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</si>
  <si>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</si>
  <si>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</si>
  <si>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</si>
  <si>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</si>
  <si>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</si>
  <si>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</si>
  <si>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</si>
  <si>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</si>
  <si>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</si>
  <si>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</si>
  <si>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</si>
  <si>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</si>
  <si>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</si>
  <si>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</si>
  <si>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</si>
  <si>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</si>
  <si>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</si>
  <si>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</si>
  <si>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</si>
  <si>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</si>
  <si>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</si>
  <si>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</si>
  <si>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</si>
  <si>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</si>
  <si>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</si>
  <si>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</si>
  <si>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</si>
  <si>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</si>
  <si>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</si>
  <si>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</si>
  <si>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</si>
  <si>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</si>
  <si>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</si>
  <si>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</si>
  <si>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</si>
  <si>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</si>
  <si>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</si>
  <si>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</si>
  <si>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</si>
  <si>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</si>
  <si>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</si>
  <si>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</si>
  <si>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</si>
  <si>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</si>
  <si>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</si>
  <si>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</si>
  <si>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</si>
  <si>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</si>
  <si>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</si>
  <si>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</si>
  <si>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</si>
  <si>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</si>
  <si>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</si>
  <si>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</si>
  <si>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</si>
  <si>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</si>
  <si>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</si>
  <si>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</si>
  <si>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</si>
  <si>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</si>
  <si>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</si>
  <si>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</si>
  <si>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</si>
  <si>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</si>
  <si>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</si>
  <si>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</si>
  <si>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</si>
  <si>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</si>
  <si>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</si>
  <si>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</si>
  <si>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</si>
  <si>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</si>
  <si>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</si>
  <si>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</si>
  <si>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</si>
  <si>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</si>
  <si>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</si>
  <si>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</si>
  <si>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</si>
  <si>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</si>
  <si>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</si>
  <si>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</si>
  <si>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</si>
  <si>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</si>
  <si>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</si>
  <si>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</si>
  <si>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</si>
  <si>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</si>
  <si>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</si>
  <si>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</si>
  <si>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</si>
  <si>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</si>
  <si>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</si>
  <si>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</si>
  <si>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</si>
  <si>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</si>
  <si>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</si>
  <si>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</si>
  <si>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</si>
  <si>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</si>
  <si>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</si>
  <si>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</si>
  <si>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</si>
  <si>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</si>
  <si>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</si>
  <si>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</si>
  <si>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</si>
  <si>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</si>
  <si>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</si>
  <si>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</si>
  <si>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</si>
  <si>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</si>
  <si>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</si>
  <si>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</si>
  <si>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</si>
  <si>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</si>
  <si>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</si>
  <si>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</si>
  <si>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</si>
  <si>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</si>
  <si>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</si>
  <si>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</si>
  <si>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</si>
  <si>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</si>
  <si>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</si>
  <si>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</si>
  <si>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</si>
  <si>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</si>
  <si>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</si>
  <si>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</si>
  <si>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</si>
  <si>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</si>
  <si>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</si>
  <si>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</si>
  <si>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</si>
  <si>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</si>
  <si>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</si>
  <si>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</si>
  <si>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</si>
  <si>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</si>
  <si>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</si>
  <si>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</si>
  <si>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</si>
  <si>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</si>
  <si>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</si>
  <si>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</si>
  <si>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</si>
  <si>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</si>
  <si>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</si>
  <si>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</si>
  <si>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</si>
  <si>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</si>
  <si>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</si>
  <si>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</si>
  <si>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</si>
  <si>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</si>
  <si>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</si>
  <si>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</si>
  <si>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</si>
  <si>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</si>
  <si>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</si>
  <si>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</si>
  <si>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</si>
  <si>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</si>
  <si>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</si>
  <si>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</si>
  <si>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</si>
  <si>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</si>
  <si>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</si>
  <si>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</si>
  <si>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</si>
  <si>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</si>
  <si>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</si>
  <si>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</si>
  <si>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</si>
  <si>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</si>
  <si>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</si>
  <si>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</si>
  <si>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</si>
  <si>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</si>
  <si>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</si>
  <si>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</si>
  <si>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</si>
  <si>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</si>
  <si>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</si>
  <si>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</si>
  <si>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</si>
  <si>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</si>
  <si>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</si>
  <si>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</si>
  <si>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</si>
  <si>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</si>
  <si>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</si>
  <si>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</si>
  <si>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</si>
  <si>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</si>
  <si>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</si>
  <si>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</si>
  <si>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</si>
  <si>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</si>
  <si>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</si>
  <si>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</si>
  <si>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</si>
  <si>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</si>
  <si>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</si>
  <si>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</si>
  <si>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</si>
  <si>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</si>
  <si>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</si>
  <si>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</si>
  <si>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</si>
  <si>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</si>
  <si>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</si>
  <si>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</si>
  <si>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</si>
  <si>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</si>
  <si>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</si>
  <si>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</si>
  <si>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</si>
  <si>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</si>
  <si>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</si>
  <si>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</si>
  <si>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</si>
  <si>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</si>
  <si>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</si>
  <si>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</si>
  <si>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</si>
  <si>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</si>
  <si>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</si>
  <si>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</si>
  <si>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</si>
  <si>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</si>
  <si>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</si>
  <si>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</si>
  <si>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</si>
  <si>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</si>
  <si>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</si>
  <si>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</si>
  <si>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</si>
  <si>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</si>
  <si>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</si>
  <si>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</si>
  <si>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</si>
  <si>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</si>
  <si>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</si>
  <si>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</si>
  <si>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</si>
  <si>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</si>
  <si>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</si>
  <si>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</si>
  <si>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</si>
  <si>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</si>
  <si>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</si>
  <si>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</si>
  <si>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</si>
  <si>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</si>
  <si>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</si>
  <si>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</si>
  <si>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</si>
  <si>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</si>
  <si>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</si>
  <si>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</si>
  <si>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</si>
  <si>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</si>
  <si>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</si>
  <si>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</si>
  <si>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</si>
  <si>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</si>
  <si>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</si>
  <si>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</si>
  <si>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</si>
  <si>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</si>
  <si>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</si>
  <si>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</si>
  <si>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</si>
  <si>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</si>
  <si>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</si>
  <si>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</si>
  <si>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</si>
  <si>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 Passed Through Illinois State Board of Education</t>
  </si>
  <si>
    <t xml:space="preserve">        National School Lunch Program</t>
  </si>
  <si>
    <t>18-4210-00</t>
  </si>
  <si>
    <t>N/A</t>
  </si>
  <si>
    <t xml:space="preserve">        National School Lunch Program (1)</t>
  </si>
  <si>
    <t>19-4210-00</t>
  </si>
  <si>
    <t xml:space="preserve">        Food Donation Program</t>
  </si>
  <si>
    <t>19-4299-00</t>
  </si>
  <si>
    <t>Total Child Nutrition Cluster</t>
  </si>
  <si>
    <t>Subtotal CFDA "10"</t>
  </si>
  <si>
    <t>U.S. Department of Education Passed Through Illinois State Board of Education</t>
  </si>
  <si>
    <t>18-4300-00</t>
  </si>
  <si>
    <t>19-4300-00</t>
  </si>
  <si>
    <t xml:space="preserve">        Title III - Lang Inst Prog-Limited Eng LIPLEP</t>
  </si>
  <si>
    <t>18-4909-00</t>
  </si>
  <si>
    <t>19-4909-00</t>
  </si>
  <si>
    <t xml:space="preserve">        Title II - Teacher Quality</t>
  </si>
  <si>
    <t>18-4932-00</t>
  </si>
  <si>
    <t>19-4932-00</t>
  </si>
  <si>
    <t xml:space="preserve">  (1) Project End Date is 9/30/19</t>
  </si>
  <si>
    <t>U.S. Department of Education Passed Through Illinois State Board of Education (continued):</t>
  </si>
  <si>
    <t>18-4625-00</t>
  </si>
  <si>
    <t>U.S. Department of Education Passed Through Mid-Valley Special Education Joint Agreement:</t>
  </si>
  <si>
    <t>18-4620-00</t>
  </si>
  <si>
    <t>19-4620-00</t>
  </si>
  <si>
    <t>18-4600-00</t>
  </si>
  <si>
    <t>19-4600-00</t>
  </si>
  <si>
    <t>Total Special Education Cluster</t>
  </si>
  <si>
    <t>U.S. Department of Education Passed Through Kane Regional Vocational System:</t>
  </si>
  <si>
    <t xml:space="preserve">        Carl Perkins II Grant</t>
  </si>
  <si>
    <t>18-4745-00</t>
  </si>
  <si>
    <t>19-4745-00</t>
  </si>
  <si>
    <t>Subtotal - CFDA "84"</t>
  </si>
  <si>
    <t>U.S. Department of Health and Human Services Passed Through</t>
  </si>
  <si>
    <t xml:space="preserve">    Northwestern Illinois Association:</t>
  </si>
  <si>
    <t xml:space="preserve">        Medicaid - Admin Outreach</t>
  </si>
  <si>
    <t>18-4991-00</t>
  </si>
  <si>
    <t>19-4991-00</t>
  </si>
  <si>
    <t>Subtotal - CFDA "93"</t>
  </si>
  <si>
    <t>Total Federal Assistance</t>
  </si>
  <si>
    <t>(2) Project End Date is 8/31/19</t>
  </si>
  <si>
    <t>Medicaid Admin Assessment Fee</t>
  </si>
  <si>
    <t>Rounding</t>
  </si>
  <si>
    <t>U.S. Department of Defense Passed Through  Illinois State Board of Education</t>
  </si>
  <si>
    <t xml:space="preserve">        Title I - Low Income (M)</t>
  </si>
  <si>
    <t xml:space="preserve">        Title I - Low Income (2) (M)</t>
  </si>
  <si>
    <t xml:space="preserve">        Special Education - Room &amp; Board Grants (M)</t>
  </si>
  <si>
    <t xml:space="preserve">        Special Education - Grants to States (M)</t>
  </si>
  <si>
    <t xml:space="preserve">        Special Education - Preschool Grants (M)</t>
  </si>
  <si>
    <t xml:space="preserve">        Title III - Lang Inst Prog-Limited Eng LIPLEP (2)</t>
  </si>
  <si>
    <t>x</t>
  </si>
  <si>
    <t>KANE</t>
  </si>
  <si>
    <t>CHERYDEN JUERGENSEN</t>
  </si>
  <si>
    <t>275 SOUTH STREET</t>
  </si>
  <si>
    <t>BURLINGTON</t>
  </si>
  <si>
    <t>DIANA.PFLUG@CENTRAL301.NET</t>
  </si>
  <si>
    <t>X</t>
  </si>
  <si>
    <t>SCHOOL BONDS</t>
  </si>
  <si>
    <t>G.O. CAPITAL APPRECIATION BONDS SERIES 2013</t>
  </si>
  <si>
    <t>G.O. DEBT CERTIFICATES, SERIES 2016</t>
  </si>
  <si>
    <t>G.O. LIMITED SCHOOL BONDS, SERIES 2016A</t>
  </si>
  <si>
    <t>G.O. SCHOOL BONDS, SERIES 2017</t>
  </si>
  <si>
    <t>G.O. BOND SEREIS 2006</t>
  </si>
  <si>
    <t>DEBT CERTIFICATES</t>
  </si>
  <si>
    <t>ED-Instruction-Supplies</t>
  </si>
  <si>
    <t>Midland/Veritiv Operating Co-Copy Paper</t>
  </si>
  <si>
    <t>10-1000-400</t>
  </si>
  <si>
    <t>O&amp;M-O&amp;M Plant Services-Supplies</t>
  </si>
  <si>
    <t>20-2540-300</t>
  </si>
  <si>
    <t>Waste Management/Groot Inc-Refuse</t>
  </si>
  <si>
    <t>20-2540-400</t>
  </si>
  <si>
    <t>Constellation New Energy/Vanguard Energy Services-Natural Gas</t>
  </si>
  <si>
    <t>Direct Energy Business-Electricity</t>
  </si>
  <si>
    <t>O&amp;M-O&amp;M Plant Services-Purchase Services</t>
  </si>
  <si>
    <t>Transportation-Pupil Transportation-Supplies</t>
  </si>
  <si>
    <t>40-2550-400</t>
  </si>
  <si>
    <t>Petrochoice-Fuel</t>
  </si>
  <si>
    <t>NORTHERN KANE VOCATIONAL-REGIONAL PATHWAYS</t>
  </si>
  <si>
    <t>NORTHERN ILLINOIS INDEPENDENT PURCHASING COOP</t>
  </si>
  <si>
    <t>NORTHERN ILLINOIS HEALTH INSURANCE PROGRAM, PRAIRIE STATE INSURANCE COOP</t>
  </si>
  <si>
    <t>SEE 2 BELOW</t>
  </si>
  <si>
    <t>SEE 1 BELOW</t>
  </si>
  <si>
    <t>KANE COUNTY SHERIFF'S OFFICE</t>
  </si>
  <si>
    <t>KANE COUNTY REGIONAL OFFICE OF EDUCATION</t>
  </si>
  <si>
    <t>KANE COUNTY HUMAN RESOURCE CONSORTIUM</t>
  </si>
  <si>
    <t>1. MID VALLEY SPECIAL EDUCATION COOPERATIVE, U.S. DEPARTMENT OF HEALTH AND HUMAN SERVICES FUNDS FROM HEALTHCARE AND FAMILY SERVICES PASSED THROUGH NORTHERN ILLINOIS ASSOCIATION</t>
  </si>
  <si>
    <t>2. NORTHERN KANE REGIONAL SYSTEM - CAREER &amp; TECH ED/PERKINS, FOX VALLEY CAREER CENTER</t>
  </si>
  <si>
    <t>Page 10, Line 92 - Other Textbook Income</t>
  </si>
  <si>
    <t xml:space="preserve">- Technology Fees, Chromebook Purchases </t>
  </si>
  <si>
    <t>- Central Education Foundation for Career Pathways, USAC e-rate rebates, PGAP professional development, Insurance claims reimbursement</t>
  </si>
  <si>
    <t>- Library Grant, Safety Maintenance Grant</t>
  </si>
  <si>
    <t>- Dean Salary, Assistant Salary, and Benefits</t>
  </si>
  <si>
    <t>- Contracted Services</t>
  </si>
  <si>
    <t>Page 16, Line 73 - Other Support Services</t>
  </si>
  <si>
    <t>- Service Charge</t>
  </si>
  <si>
    <t>- IMRF, FICA &amp; Medicare</t>
  </si>
  <si>
    <r>
      <t xml:space="preserve">The accompanying Schedule of Expenditures of Federal Awards includes the federal grant activity of </t>
    </r>
    <r>
      <rPr>
        <b/>
        <sz val="9"/>
        <rFont val="Calibri"/>
        <family val="2"/>
        <scheme val="minor"/>
      </rPr>
      <t>Central Community Unit School District No. 301</t>
    </r>
    <r>
      <rPr>
        <sz val="9"/>
        <rFont val="Calibri"/>
        <family val="2"/>
        <scheme val="minor"/>
      </rPr>
      <t xml:space="preserve"> and is presented on the </t>
    </r>
    <r>
      <rPr>
        <b/>
        <sz val="9"/>
        <rFont val="Calibri"/>
        <family val="2"/>
        <scheme val="minor"/>
      </rPr>
      <t>Cash Basis</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</si>
  <si>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</si>
  <si>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Of the federal expenditures presented in the schedule, </t>
    </r>
    <r>
      <rPr>
        <b/>
        <sz val="9"/>
        <rFont val="Calibri"/>
        <family val="2"/>
        <scheme val="minor"/>
      </rPr>
      <t>Central Community Unit School District No. 301</t>
    </r>
    <r>
      <rPr>
        <sz val="9"/>
        <rFont val="Calibri"/>
        <family val="2"/>
        <scheme val="minor"/>
      </rPr>
      <t xml:space="preserve"> provided federal awards to subrecipients as follows:</t>
    </r>
  </si>
  <si>
    <t>ADVERSE</t>
  </si>
  <si>
    <t>Special Education Cluster</t>
  </si>
  <si>
    <t>Eder, Casella &amp; Co.</t>
  </si>
  <si>
    <r>
      <t xml:space="preserve">The following amounts were expended in the form of non-cash assistance by </t>
    </r>
    <r>
      <rPr>
        <b/>
        <sz val="9"/>
        <rFont val="Calibri"/>
        <family val="2"/>
        <scheme val="minor"/>
      </rPr>
      <t>Central Community Unit School District No. 301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</si>
  <si>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</si>
  <si>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&amp; 84.173</t>
  </si>
  <si>
    <t>Page 11, Line 107 - Other Local Revenues</t>
  </si>
  <si>
    <t>Page 12, Line 168 - Other Restricted Revenue from State Sources</t>
  </si>
  <si>
    <t>Page 16, Line 56 - Other Support Services</t>
  </si>
  <si>
    <t>Page 18, Line 171 - Debt Services - Other</t>
  </si>
  <si>
    <t>Page 20, Line 292 - Other Support Services - School Administration</t>
  </si>
  <si>
    <t>Central CUSD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</si>
</sst>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9" fillId="0" borderId="0" xfId="0" quotePrefix="1" applyFont="1"/>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59" fillId="0" borderId="0" xfId="0" quotePrefix="1" applyFont="1" applyAlignment="1">
      <alignment horizontal="left"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85" t="s">
        <v>405</v>
      </c>
      <c r="J1" s="2086"/>
      <c r="K1" s="2086"/>
      <c r="L1" s="2086"/>
      <c r="M1" s="2086"/>
      <c r="N1" s="2086"/>
      <c r="O1" s="2086"/>
      <c r="P1" s="2086"/>
      <c r="Q1" s="2086"/>
      <c r="R1" s="2086"/>
      <c r="S1" s="2086"/>
    </row>
    <row r="2" spans="1:28" ht="12" customHeight="1" x14ac:dyDescent="0.2">
      <c r="A2" s="47" t="s">
        <v>1990</v>
      </c>
      <c r="D2" s="48"/>
      <c r="I2" s="2087" t="s">
        <v>979</v>
      </c>
      <c r="J2" s="2086"/>
      <c r="K2" s="2086"/>
      <c r="L2" s="2086"/>
      <c r="M2" s="2086"/>
      <c r="N2" s="2086"/>
      <c r="O2" s="2086"/>
      <c r="P2" s="2086"/>
      <c r="Q2" s="2086"/>
      <c r="R2" s="2086"/>
      <c r="S2" s="2086"/>
    </row>
    <row r="3" spans="1:28" ht="12" customHeight="1" x14ac:dyDescent="0.2">
      <c r="A3" s="155" t="s">
        <v>1942</v>
      </c>
      <c r="B3" s="156"/>
      <c r="C3" s="156"/>
      <c r="D3" s="157"/>
      <c r="I3" s="2087" t="s">
        <v>52</v>
      </c>
      <c r="J3" s="2086"/>
      <c r="K3" s="2086"/>
      <c r="L3" s="2086"/>
      <c r="M3" s="2086"/>
      <c r="N3" s="2086"/>
      <c r="O3" s="2086"/>
      <c r="P3" s="2086"/>
      <c r="Q3" s="2086"/>
      <c r="R3" s="2086"/>
      <c r="S3" s="2086"/>
    </row>
    <row r="4" spans="1:28" ht="12" customHeight="1" x14ac:dyDescent="0.2">
      <c r="A4" s="37"/>
      <c r="I4" s="2087" t="s">
        <v>524</v>
      </c>
      <c r="J4" s="2086"/>
      <c r="K4" s="2086"/>
      <c r="L4" s="2086"/>
      <c r="M4" s="2086"/>
      <c r="N4" s="2086"/>
      <c r="O4" s="2086"/>
      <c r="P4" s="2086"/>
      <c r="Q4" s="2086"/>
      <c r="R4" s="2086"/>
      <c r="S4" s="2086"/>
    </row>
    <row r="5" spans="1:28" ht="14.1" customHeight="1" x14ac:dyDescent="0.2">
      <c r="B5" s="104" t="s">
        <v>2119</v>
      </c>
      <c r="C5" s="26" t="s">
        <v>910</v>
      </c>
      <c r="D5" s="84"/>
      <c r="E5" s="84"/>
      <c r="H5" s="38"/>
      <c r="I5" s="2094" t="s">
        <v>680</v>
      </c>
      <c r="J5" s="2039"/>
      <c r="K5" s="2039"/>
      <c r="L5" s="2039"/>
      <c r="M5" s="2039"/>
      <c r="N5" s="2039"/>
      <c r="O5" s="2039"/>
      <c r="P5" s="2039"/>
      <c r="Q5" s="2039"/>
      <c r="R5" s="2039"/>
      <c r="S5" s="2039"/>
    </row>
    <row r="6" spans="1:28" ht="14.1" customHeight="1" x14ac:dyDescent="0.2">
      <c r="B6" s="104"/>
      <c r="C6" s="26" t="s">
        <v>911</v>
      </c>
      <c r="D6" s="84"/>
      <c r="E6" s="84"/>
      <c r="I6" s="2093" t="s">
        <v>883</v>
      </c>
      <c r="J6" s="2039"/>
      <c r="K6" s="2039"/>
      <c r="L6" s="2039"/>
      <c r="M6" s="2039"/>
      <c r="N6" s="2039"/>
      <c r="O6" s="2039"/>
      <c r="P6" s="2039"/>
      <c r="Q6" s="2039"/>
      <c r="R6" s="2039"/>
      <c r="S6" s="2039"/>
    </row>
    <row r="7" spans="1:28" ht="12.2" customHeight="1" x14ac:dyDescent="0.2">
      <c r="I7" s="2088">
        <v>43646</v>
      </c>
      <c r="J7" s="2089"/>
      <c r="K7" s="2089"/>
      <c r="L7" s="2089"/>
      <c r="M7" s="2089"/>
      <c r="N7" s="2089"/>
      <c r="O7" s="2089"/>
      <c r="P7" s="2089"/>
      <c r="Q7" s="2089"/>
      <c r="R7" s="2089"/>
      <c r="S7" s="20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0" t="s">
        <v>674</v>
      </c>
      <c r="J9" s="2091"/>
      <c r="K9" s="2091"/>
      <c r="L9" s="2091"/>
      <c r="M9" s="2091"/>
      <c r="N9" s="2091"/>
      <c r="O9" s="2091"/>
      <c r="P9" s="2091"/>
      <c r="Q9" s="2091"/>
      <c r="R9" s="2091"/>
      <c r="S9" s="2092"/>
      <c r="T9" s="2035" t="s">
        <v>533</v>
      </c>
      <c r="U9" s="2036"/>
      <c r="V9" s="2036"/>
      <c r="W9" s="2036"/>
      <c r="X9" s="2036"/>
      <c r="Y9" s="2036"/>
      <c r="Z9" s="2036"/>
      <c r="AA9" s="2037"/>
    </row>
    <row r="10" spans="1:28" ht="13.5" customHeight="1" x14ac:dyDescent="0.2">
      <c r="A10" s="2044" t="s">
        <v>675</v>
      </c>
      <c r="B10" s="2045"/>
      <c r="C10" s="2045"/>
      <c r="D10" s="2045"/>
      <c r="E10" s="2045"/>
      <c r="F10" s="2045"/>
      <c r="G10" s="2045"/>
      <c r="H10" s="2046"/>
      <c r="I10" s="29"/>
      <c r="J10" s="30"/>
      <c r="K10" s="28"/>
      <c r="R10" s="30"/>
      <c r="S10" s="30"/>
      <c r="T10" s="2038"/>
      <c r="U10" s="2039"/>
      <c r="V10" s="2039"/>
      <c r="W10" s="2039"/>
      <c r="X10" s="2039"/>
      <c r="Y10" s="2039"/>
      <c r="Z10" s="2039"/>
      <c r="AA10" s="2040"/>
    </row>
    <row r="11" spans="1:28" ht="14.25" customHeight="1" x14ac:dyDescent="0.2">
      <c r="A11" s="2047" t="s">
        <v>955</v>
      </c>
      <c r="B11" s="2048"/>
      <c r="C11" s="2048"/>
      <c r="D11" s="2048"/>
      <c r="E11" s="2048"/>
      <c r="F11" s="2048"/>
      <c r="G11" s="2048"/>
      <c r="H11" s="2049"/>
      <c r="I11" s="27"/>
      <c r="J11" s="74"/>
      <c r="K11" s="27"/>
      <c r="O11" s="148" t="s">
        <v>2125</v>
      </c>
      <c r="P11" s="100" t="s">
        <v>201</v>
      </c>
      <c r="Q11" s="30"/>
      <c r="R11" s="28"/>
      <c r="S11" s="27"/>
      <c r="T11" s="2041"/>
      <c r="U11" s="2042"/>
      <c r="V11" s="2042"/>
      <c r="W11" s="2042"/>
      <c r="X11" s="2042"/>
      <c r="Y11" s="2042"/>
      <c r="Z11" s="2042"/>
      <c r="AA11" s="204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5">
        <v>31045301026</v>
      </c>
      <c r="B13" s="2056"/>
      <c r="C13" s="2056"/>
      <c r="D13" s="2056"/>
      <c r="E13" s="2056"/>
      <c r="F13" s="2056"/>
      <c r="G13" s="2056"/>
      <c r="H13" s="2057"/>
      <c r="I13" s="31"/>
      <c r="J13" s="30"/>
      <c r="K13" s="28"/>
      <c r="L13" s="30"/>
      <c r="M13" s="30"/>
      <c r="N13" s="30"/>
      <c r="O13" s="30"/>
      <c r="P13" s="30"/>
      <c r="Q13" s="30"/>
      <c r="R13" s="30"/>
      <c r="S13" s="30"/>
      <c r="T13" s="2060" t="s">
        <v>2061</v>
      </c>
      <c r="U13" s="2061"/>
      <c r="V13" s="2061"/>
      <c r="W13" s="2061"/>
      <c r="X13" s="2061"/>
      <c r="Y13" s="2062"/>
      <c r="Z13" s="2062"/>
      <c r="AA13" s="206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3" t="s">
        <v>2120</v>
      </c>
      <c r="B15" s="2058"/>
      <c r="C15" s="2058"/>
      <c r="D15" s="2058"/>
      <c r="E15" s="2058"/>
      <c r="F15" s="2058"/>
      <c r="G15" s="2058"/>
      <c r="H15" s="2059"/>
      <c r="T15" s="2021" t="s">
        <v>2121</v>
      </c>
      <c r="U15" s="2022"/>
      <c r="V15" s="2022"/>
      <c r="W15" s="2022"/>
      <c r="X15" s="2022"/>
      <c r="Y15" s="2064"/>
      <c r="Z15" s="2064"/>
      <c r="AA15" s="206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3" t="s">
        <v>2179</v>
      </c>
      <c r="B17" s="2083"/>
      <c r="C17" s="2083"/>
      <c r="D17" s="2083"/>
      <c r="E17" s="2083"/>
      <c r="F17" s="2083"/>
      <c r="G17" s="2083"/>
      <c r="H17" s="2084"/>
      <c r="T17" s="2070" t="s">
        <v>2062</v>
      </c>
      <c r="U17" s="2071"/>
      <c r="V17" s="2071"/>
      <c r="W17" s="2071"/>
      <c r="X17" s="2071"/>
      <c r="Y17" s="2071"/>
      <c r="Z17" s="2071"/>
      <c r="AA17" s="2072"/>
    </row>
    <row r="18" spans="1:27" ht="13.5" customHeight="1" x14ac:dyDescent="0.2">
      <c r="A18" s="85" t="s">
        <v>530</v>
      </c>
      <c r="B18" s="76"/>
      <c r="C18" s="72"/>
      <c r="D18" s="76"/>
      <c r="E18" s="76"/>
      <c r="F18" s="76"/>
      <c r="G18" s="76"/>
      <c r="H18" s="56"/>
      <c r="I18" s="2080" t="s">
        <v>676</v>
      </c>
      <c r="J18" s="2081"/>
      <c r="K18" s="2081"/>
      <c r="L18" s="2081"/>
      <c r="M18" s="2081"/>
      <c r="N18" s="2081"/>
      <c r="O18" s="2081"/>
      <c r="P18" s="2081"/>
      <c r="Q18" s="2081"/>
      <c r="R18" s="2081"/>
      <c r="S18" s="2082"/>
      <c r="T18" s="85" t="s">
        <v>711</v>
      </c>
      <c r="U18" s="51"/>
      <c r="V18" s="72"/>
      <c r="W18" s="50"/>
      <c r="X18" s="85" t="s">
        <v>266</v>
      </c>
      <c r="Y18" s="81"/>
      <c r="Z18" s="159" t="s">
        <v>677</v>
      </c>
      <c r="AA18" s="46"/>
    </row>
    <row r="19" spans="1:27" ht="13.5" customHeight="1" x14ac:dyDescent="0.2">
      <c r="A19" s="2053" t="s">
        <v>2122</v>
      </c>
      <c r="B19" s="2054"/>
      <c r="C19" s="2054"/>
      <c r="D19" s="2054"/>
      <c r="E19" s="2054"/>
      <c r="F19" s="2054"/>
      <c r="G19" s="2054"/>
      <c r="H19" s="2052"/>
      <c r="I19" s="30"/>
      <c r="J19" s="99"/>
      <c r="K19" s="40"/>
      <c r="L19" s="38"/>
      <c r="M19" s="112" t="s">
        <v>315</v>
      </c>
      <c r="P19" s="27"/>
      <c r="Q19" s="27"/>
      <c r="R19" s="27"/>
      <c r="S19" s="31"/>
      <c r="T19" s="2053" t="s">
        <v>2063</v>
      </c>
      <c r="U19" s="2051"/>
      <c r="V19" s="2051"/>
      <c r="W19" s="2052"/>
      <c r="X19" s="2068" t="s">
        <v>2064</v>
      </c>
      <c r="Y19" s="2069"/>
      <c r="Z19" s="2066">
        <v>60050</v>
      </c>
      <c r="AA19" s="206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50" t="s">
        <v>2123</v>
      </c>
      <c r="B21" s="2051"/>
      <c r="C21" s="2051"/>
      <c r="D21" s="2051"/>
      <c r="E21" s="2051"/>
      <c r="F21" s="2051"/>
      <c r="G21" s="2051"/>
      <c r="H21" s="2052"/>
      <c r="I21" s="2076" t="s">
        <v>678</v>
      </c>
      <c r="J21" s="2039"/>
      <c r="K21" s="2039"/>
      <c r="L21" s="2039"/>
      <c r="M21" s="2039"/>
      <c r="N21" s="2039"/>
      <c r="O21" s="2039"/>
      <c r="P21" s="2039"/>
      <c r="Q21" s="2039"/>
      <c r="R21" s="2039"/>
      <c r="S21" s="2040"/>
      <c r="T21" s="2018" t="s">
        <v>2065</v>
      </c>
      <c r="U21" s="2019"/>
      <c r="V21" s="2019"/>
      <c r="W21" s="2019"/>
      <c r="X21" s="2032" t="s">
        <v>2066</v>
      </c>
      <c r="Y21" s="2033"/>
      <c r="Z21" s="2033"/>
      <c r="AA21" s="2034"/>
    </row>
    <row r="22" spans="1:27" ht="13.5" customHeight="1" x14ac:dyDescent="0.2">
      <c r="A22" s="87" t="s">
        <v>531</v>
      </c>
      <c r="B22" s="59"/>
      <c r="C22" s="59"/>
      <c r="D22" s="59"/>
      <c r="E22" s="59"/>
      <c r="F22" s="59"/>
      <c r="G22" s="59"/>
      <c r="H22" s="60"/>
      <c r="I22" s="2077" t="s">
        <v>1429</v>
      </c>
      <c r="J22" s="2078"/>
      <c r="K22" s="2078"/>
      <c r="L22" s="2078"/>
      <c r="M22" s="2078"/>
      <c r="N22" s="2078"/>
      <c r="O22" s="2078"/>
      <c r="P22" s="2078"/>
      <c r="Q22" s="2078"/>
      <c r="R22" s="2078"/>
      <c r="S22" s="2079"/>
      <c r="T22" s="85" t="s">
        <v>1516</v>
      </c>
      <c r="U22" s="51"/>
      <c r="V22" s="72"/>
      <c r="W22" s="51"/>
      <c r="X22" s="160" t="s">
        <v>1318</v>
      </c>
      <c r="Z22" s="45"/>
      <c r="AA22" s="46"/>
    </row>
    <row r="23" spans="1:27" ht="13.5" customHeight="1" x14ac:dyDescent="0.2">
      <c r="A23" s="2073" t="s">
        <v>2124</v>
      </c>
      <c r="B23" s="2074"/>
      <c r="C23" s="2074"/>
      <c r="D23" s="2074"/>
      <c r="E23" s="2074"/>
      <c r="F23" s="2074"/>
      <c r="G23" s="2074"/>
      <c r="H23" s="2075"/>
      <c r="T23" s="2013" t="s">
        <v>2067</v>
      </c>
      <c r="U23" s="2014"/>
      <c r="V23" s="2014"/>
      <c r="W23" s="2014"/>
      <c r="X23" s="2029">
        <v>44530</v>
      </c>
      <c r="Y23" s="2030"/>
      <c r="Z23" s="2030"/>
      <c r="AA23" s="2031"/>
    </row>
    <row r="24" spans="1:27" ht="14.1" customHeight="1" x14ac:dyDescent="0.2">
      <c r="A24" s="88" t="s">
        <v>677</v>
      </c>
      <c r="B24" s="49"/>
      <c r="C24" s="49"/>
      <c r="D24" s="49"/>
      <c r="E24" s="49"/>
      <c r="F24" s="49"/>
      <c r="G24" s="49"/>
      <c r="H24" s="61"/>
      <c r="J24" s="2115">
        <f>IF(B5="x",IF(AUDITCHECK!D29="AFR form Incomplete.","",IF(AUDITCHECK!D29="Deficit reduction plan is required.","School District must complete a deficit reduction plan in the 2019-2020 Budget",)),"")</f>
        <v>0</v>
      </c>
      <c r="K24" s="2115"/>
      <c r="L24" s="2115"/>
      <c r="M24" s="2115"/>
      <c r="N24" s="2115"/>
      <c r="O24" s="2115"/>
      <c r="P24" s="2115"/>
      <c r="Q24" s="2115"/>
      <c r="R24" s="2115"/>
      <c r="S24" s="2116"/>
      <c r="T24" s="105" t="s">
        <v>531</v>
      </c>
      <c r="U24" s="106"/>
      <c r="V24" s="106"/>
      <c r="W24" s="106"/>
      <c r="X24" s="107"/>
      <c r="Y24" s="107"/>
      <c r="Z24" s="107"/>
      <c r="AA24" s="108"/>
    </row>
    <row r="25" spans="1:27" ht="14.1" customHeight="1" x14ac:dyDescent="0.2">
      <c r="A25" s="2050">
        <v>60109</v>
      </c>
      <c r="B25" s="2051"/>
      <c r="C25" s="2051"/>
      <c r="D25" s="2051"/>
      <c r="E25" s="2051"/>
      <c r="F25" s="2051"/>
      <c r="G25" s="2051"/>
      <c r="H25" s="2052"/>
      <c r="I25" s="113"/>
      <c r="J25" s="2117"/>
      <c r="K25" s="2117"/>
      <c r="L25" s="2117"/>
      <c r="M25" s="2117"/>
      <c r="N25" s="2117"/>
      <c r="O25" s="2117"/>
      <c r="P25" s="2117"/>
      <c r="Q25" s="2117"/>
      <c r="R25" s="2117"/>
      <c r="S25" s="2118"/>
      <c r="T25" s="2010" t="s">
        <v>2068</v>
      </c>
      <c r="U25" s="2011"/>
      <c r="V25" s="2011"/>
      <c r="W25" s="2011"/>
      <c r="X25" s="2011"/>
      <c r="Y25" s="2011"/>
      <c r="Z25" s="2011"/>
      <c r="AA25" s="201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8" t="s">
        <v>1511</v>
      </c>
      <c r="J27" s="2081"/>
      <c r="K27" s="2081"/>
      <c r="L27" s="2081"/>
      <c r="M27" s="2081"/>
      <c r="N27" s="2081"/>
      <c r="O27" s="2081"/>
      <c r="P27" s="2081"/>
      <c r="Q27" s="2081"/>
      <c r="R27" s="2081"/>
      <c r="S27" s="208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2125</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2125</v>
      </c>
      <c r="C30" s="124" t="s">
        <v>1164</v>
      </c>
      <c r="D30" s="28"/>
      <c r="E30" s="28"/>
      <c r="F30" s="140"/>
      <c r="G30" s="114"/>
      <c r="H30" s="114"/>
      <c r="I30" s="54"/>
      <c r="J30" s="148" t="s">
        <v>2125</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2125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4"/>
      <c r="Q35" s="2051"/>
      <c r="R35" s="20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3"/>
      <c r="B38" s="2083"/>
      <c r="C38" s="2083"/>
      <c r="D38" s="2083"/>
      <c r="E38" s="2083"/>
      <c r="F38" s="2051"/>
      <c r="G38" s="2051"/>
      <c r="H38" s="2052"/>
      <c r="I38" s="2102"/>
      <c r="J38" s="2022"/>
      <c r="K38" s="2022"/>
      <c r="L38" s="2022"/>
      <c r="M38" s="2022"/>
      <c r="N38" s="2022"/>
      <c r="O38" s="2022"/>
      <c r="P38" s="2023"/>
      <c r="Q38" s="2023"/>
      <c r="R38" s="2023"/>
      <c r="S38" s="2024"/>
      <c r="T38" s="2021"/>
      <c r="U38" s="2022"/>
      <c r="V38" s="2022"/>
      <c r="W38" s="2022"/>
      <c r="X38" s="2023"/>
      <c r="Y38" s="2023"/>
      <c r="Z38" s="2023"/>
      <c r="AA38" s="2024"/>
    </row>
    <row r="39" spans="1:27" ht="12" customHeight="1" x14ac:dyDescent="0.2">
      <c r="A39" s="2106" t="s">
        <v>531</v>
      </c>
      <c r="B39" s="2107"/>
      <c r="C39" s="72"/>
      <c r="D39" s="69"/>
      <c r="E39" s="69"/>
      <c r="F39" s="79"/>
      <c r="G39" s="69"/>
      <c r="H39" s="56"/>
      <c r="I39" s="2106" t="s">
        <v>531</v>
      </c>
      <c r="J39" s="2107"/>
      <c r="K39" s="2107"/>
      <c r="L39" s="2107"/>
      <c r="M39" s="2107"/>
      <c r="N39" s="67"/>
      <c r="O39" s="72"/>
      <c r="P39" s="72"/>
      <c r="Q39" s="78"/>
      <c r="R39" s="72"/>
      <c r="S39" s="56"/>
      <c r="T39" s="72" t="s">
        <v>531</v>
      </c>
      <c r="U39" s="51"/>
      <c r="V39" s="72"/>
      <c r="W39" s="50"/>
      <c r="X39" s="78"/>
      <c r="Y39" s="45"/>
      <c r="Z39" s="45"/>
      <c r="AA39" s="46"/>
    </row>
    <row r="40" spans="1:27" ht="13.5" customHeight="1" x14ac:dyDescent="0.2">
      <c r="A40" s="2109"/>
      <c r="B40" s="2110"/>
      <c r="C40" s="2111"/>
      <c r="D40" s="2111"/>
      <c r="E40" s="2111"/>
      <c r="F40" s="2112"/>
      <c r="G40" s="2112"/>
      <c r="H40" s="2113"/>
      <c r="I40" s="2025"/>
      <c r="J40" s="2027"/>
      <c r="K40" s="2027"/>
      <c r="L40" s="2027"/>
      <c r="M40" s="2027"/>
      <c r="N40" s="2027"/>
      <c r="O40" s="2027"/>
      <c r="P40" s="2027"/>
      <c r="Q40" s="2027"/>
      <c r="R40" s="2027"/>
      <c r="S40" s="2028"/>
      <c r="T40" s="2025"/>
      <c r="U40" s="2026"/>
      <c r="V40" s="2027"/>
      <c r="W40" s="2027"/>
      <c r="X40" s="2027"/>
      <c r="Y40" s="2027"/>
      <c r="Z40" s="2027"/>
      <c r="AA40" s="202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9"/>
      <c r="B42" s="2100"/>
      <c r="C42" s="2101"/>
      <c r="D42" s="2114"/>
      <c r="E42" s="2100"/>
      <c r="F42" s="2100"/>
      <c r="G42" s="2100"/>
      <c r="H42" s="2101"/>
      <c r="I42" s="2020"/>
      <c r="J42" s="2016"/>
      <c r="K42" s="2016"/>
      <c r="L42" s="2016"/>
      <c r="M42" s="2016"/>
      <c r="N42" s="2016"/>
      <c r="O42" s="2017"/>
      <c r="P42" s="2015"/>
      <c r="Q42" s="2016"/>
      <c r="R42" s="2016"/>
      <c r="S42" s="2017"/>
      <c r="T42" s="2020"/>
      <c r="U42" s="2016"/>
      <c r="V42" s="2016"/>
      <c r="W42" s="2017"/>
      <c r="X42" s="2015"/>
      <c r="Y42" s="2016"/>
      <c r="Z42" s="2016"/>
      <c r="AA42" s="201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3"/>
      <c r="B44" s="2104"/>
      <c r="C44" s="2104"/>
      <c r="D44" s="2104"/>
      <c r="E44" s="2104"/>
      <c r="F44" s="2104"/>
      <c r="G44" s="2104"/>
      <c r="H44" s="2105"/>
      <c r="I44" s="2095"/>
      <c r="J44" s="2097"/>
      <c r="K44" s="2097"/>
      <c r="L44" s="2097"/>
      <c r="M44" s="2097"/>
      <c r="N44" s="2097"/>
      <c r="O44" s="2097"/>
      <c r="P44" s="2097"/>
      <c r="Q44" s="2097"/>
      <c r="R44" s="2097"/>
      <c r="S44" s="2098"/>
      <c r="T44" s="2095"/>
      <c r="U44" s="2096"/>
      <c r="V44" s="2096"/>
      <c r="W44" s="2096"/>
      <c r="X44" s="2096"/>
      <c r="Y44" s="2096"/>
      <c r="Z44" s="2097"/>
      <c r="AA44" s="209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79" zoomScale="110" zoomScaleNormal="110" workbookViewId="0">
      <selection activeCell="F20" sqref="F2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9" t="s">
        <v>1611</v>
      </c>
    </row>
    <row r="23" spans="1:5" x14ac:dyDescent="0.2">
      <c r="A23" s="168"/>
      <c r="B23" s="162" t="s">
        <v>1854</v>
      </c>
      <c r="D23" s="167" t="s">
        <v>637</v>
      </c>
      <c r="E23" s="1809"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2" t="s">
        <v>1065</v>
      </c>
      <c r="B35" s="2122"/>
      <c r="C35" s="2122"/>
      <c r="D35" s="2122"/>
      <c r="E35" s="21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9" t="s">
        <v>691</v>
      </c>
      <c r="B40" s="2119"/>
      <c r="C40" s="2119"/>
      <c r="D40" s="2119"/>
      <c r="E40" s="2119"/>
    </row>
    <row r="41" spans="1:5" x14ac:dyDescent="0.2">
      <c r="A41" s="2120" t="s">
        <v>1608</v>
      </c>
      <c r="B41" s="2120"/>
      <c r="C41" s="2120"/>
      <c r="D41" s="2120"/>
      <c r="E41" s="2120"/>
    </row>
    <row r="42" spans="1:5" ht="12.75" customHeight="1" x14ac:dyDescent="0.2">
      <c r="A42" s="2121" t="s">
        <v>1022</v>
      </c>
      <c r="B42" s="2121"/>
      <c r="C42" s="2121"/>
      <c r="D42" s="2121"/>
      <c r="E42" s="212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8" t="s">
        <v>1773</v>
      </c>
    </row>
    <row r="60" spans="1:3" x14ac:dyDescent="0.2">
      <c r="A60" s="196"/>
      <c r="B60" s="1458"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6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9"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1"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3" t="s">
        <v>1168</v>
      </c>
      <c r="B2" s="2123"/>
      <c r="C2" s="2123"/>
      <c r="D2" s="2123"/>
      <c r="E2" s="2123"/>
      <c r="F2" s="2123"/>
      <c r="G2" s="2123"/>
      <c r="H2" s="2123"/>
      <c r="I2" s="2123"/>
      <c r="J2" s="212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7" t="s">
        <v>1633</v>
      </c>
      <c r="B35" s="2138"/>
      <c r="C35" s="2138"/>
      <c r="D35" s="2138"/>
      <c r="E35" s="2139"/>
      <c r="F35" s="2139"/>
      <c r="G35" s="2139"/>
      <c r="H35" s="2139"/>
      <c r="I35" s="213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7" t="s">
        <v>313</v>
      </c>
      <c r="B47" s="2140"/>
      <c r="C47" s="2140"/>
      <c r="D47" s="2140"/>
      <c r="E47" s="2141"/>
      <c r="F47" s="2141"/>
      <c r="G47" s="2141"/>
      <c r="H47" s="2141"/>
      <c r="I47" s="214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2125</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4"/>
      <c r="C57" s="2145"/>
      <c r="D57" s="2145"/>
      <c r="E57" s="2145"/>
      <c r="F57" s="2145"/>
      <c r="G57" s="2145"/>
      <c r="H57" s="2145"/>
      <c r="I57" s="2145"/>
      <c r="J57" s="2146"/>
    </row>
    <row r="58" spans="1:10" s="181" customFormat="1" x14ac:dyDescent="0.2">
      <c r="A58" s="253"/>
      <c r="B58" s="2147"/>
      <c r="C58" s="2148"/>
      <c r="D58" s="2148"/>
      <c r="E58" s="2148"/>
      <c r="F58" s="2148"/>
      <c r="G58" s="2148"/>
      <c r="H58" s="2148"/>
      <c r="I58" s="2148"/>
      <c r="J58" s="2149"/>
    </row>
    <row r="59" spans="1:10" s="181" customFormat="1" x14ac:dyDescent="0.2">
      <c r="A59" s="253"/>
      <c r="B59" s="2147"/>
      <c r="C59" s="2148"/>
      <c r="D59" s="2148"/>
      <c r="E59" s="2148"/>
      <c r="F59" s="2148"/>
      <c r="G59" s="2148"/>
      <c r="H59" s="2148"/>
      <c r="I59" s="2148"/>
      <c r="J59" s="2149"/>
    </row>
    <row r="60" spans="1:10" s="181" customFormat="1" x14ac:dyDescent="0.2">
      <c r="A60" s="253"/>
      <c r="B60" s="2147"/>
      <c r="C60" s="2148"/>
      <c r="D60" s="2148"/>
      <c r="E60" s="2148"/>
      <c r="F60" s="2148"/>
      <c r="G60" s="2148"/>
      <c r="H60" s="2148"/>
      <c r="I60" s="2148"/>
      <c r="J60" s="2149"/>
    </row>
    <row r="61" spans="1:10" s="181" customFormat="1" x14ac:dyDescent="0.2">
      <c r="A61" s="253"/>
      <c r="B61" s="2147"/>
      <c r="C61" s="2148"/>
      <c r="D61" s="2148"/>
      <c r="E61" s="2148"/>
      <c r="F61" s="2148"/>
      <c r="G61" s="2148"/>
      <c r="H61" s="2148"/>
      <c r="I61" s="2148"/>
      <c r="J61" s="2149"/>
    </row>
    <row r="62" spans="1:10" s="181" customFormat="1" x14ac:dyDescent="0.2">
      <c r="A62" s="253"/>
      <c r="B62" s="2147"/>
      <c r="C62" s="2148"/>
      <c r="D62" s="2148"/>
      <c r="E62" s="2148"/>
      <c r="F62" s="2148"/>
      <c r="G62" s="2148"/>
      <c r="H62" s="2148"/>
      <c r="I62" s="2148"/>
      <c r="J62" s="2149"/>
    </row>
    <row r="63" spans="1:10" s="181" customFormat="1" x14ac:dyDescent="0.2">
      <c r="A63" s="253"/>
      <c r="B63" s="2147"/>
      <c r="C63" s="2148"/>
      <c r="D63" s="2148"/>
      <c r="E63" s="2148"/>
      <c r="F63" s="2148"/>
      <c r="G63" s="2148"/>
      <c r="H63" s="2148"/>
      <c r="I63" s="2148"/>
      <c r="J63" s="2149"/>
    </row>
    <row r="64" spans="1:10" s="181" customFormat="1" x14ac:dyDescent="0.2">
      <c r="A64" s="253"/>
      <c r="B64" s="2147"/>
      <c r="C64" s="2148"/>
      <c r="D64" s="2148"/>
      <c r="E64" s="2148"/>
      <c r="F64" s="2148"/>
      <c r="G64" s="2148"/>
      <c r="H64" s="2148"/>
      <c r="I64" s="2148"/>
      <c r="J64" s="2149"/>
    </row>
    <row r="65" spans="1:10" s="181" customFormat="1" x14ac:dyDescent="0.2">
      <c r="A65" s="253"/>
      <c r="B65" s="2147"/>
      <c r="C65" s="2148"/>
      <c r="D65" s="2148"/>
      <c r="E65" s="2148"/>
      <c r="F65" s="2148"/>
      <c r="G65" s="2148"/>
      <c r="H65" s="2148"/>
      <c r="I65" s="2148"/>
      <c r="J65" s="2149"/>
    </row>
    <row r="66" spans="1:10" s="181" customFormat="1" x14ac:dyDescent="0.2">
      <c r="A66" s="253"/>
      <c r="B66" s="2147"/>
      <c r="C66" s="2148"/>
      <c r="D66" s="2148"/>
      <c r="E66" s="2148"/>
      <c r="F66" s="2148"/>
      <c r="G66" s="2148"/>
      <c r="H66" s="2148"/>
      <c r="I66" s="2148"/>
      <c r="J66" s="2149"/>
    </row>
    <row r="67" spans="1:10" s="181" customFormat="1" ht="9" customHeight="1" x14ac:dyDescent="0.2">
      <c r="A67" s="254"/>
      <c r="B67" s="2150"/>
      <c r="C67" s="2151"/>
      <c r="D67" s="2151"/>
      <c r="E67" s="2151"/>
      <c r="F67" s="2151"/>
      <c r="G67" s="2151"/>
      <c r="H67" s="2151"/>
      <c r="I67" s="2151"/>
      <c r="J67" s="215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7" t="s">
        <v>1323</v>
      </c>
      <c r="B70" s="2140"/>
      <c r="C70" s="2140"/>
      <c r="D70" s="2140"/>
      <c r="E70" s="2141"/>
      <c r="F70" s="2141"/>
      <c r="G70" s="2141"/>
      <c r="H70" s="2141"/>
      <c r="I70" s="214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2" t="s">
        <v>1320</v>
      </c>
      <c r="B83" s="2142"/>
      <c r="C83" s="2142"/>
      <c r="D83" s="214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4"/>
      <c r="C102" s="2125"/>
      <c r="D102" s="2125"/>
      <c r="E102" s="2125"/>
      <c r="F102" s="2125"/>
      <c r="G102" s="2125"/>
      <c r="H102" s="2125"/>
      <c r="I102" s="2126"/>
    </row>
    <row r="103" spans="1:9" s="181" customFormat="1" ht="11.25" customHeight="1" x14ac:dyDescent="0.2">
      <c r="A103" s="316"/>
      <c r="B103" s="2127"/>
      <c r="C103" s="2128"/>
      <c r="D103" s="2128"/>
      <c r="E103" s="2128"/>
      <c r="F103" s="2128"/>
      <c r="G103" s="2128"/>
      <c r="H103" s="2128"/>
      <c r="I103" s="2129"/>
    </row>
    <row r="104" spans="1:9" s="181" customFormat="1" ht="11.25" customHeight="1" x14ac:dyDescent="0.2">
      <c r="A104" s="316"/>
      <c r="B104" s="2127"/>
      <c r="C104" s="2128"/>
      <c r="D104" s="2128"/>
      <c r="E104" s="2128"/>
      <c r="F104" s="2128"/>
      <c r="G104" s="2128"/>
      <c r="H104" s="2128"/>
      <c r="I104" s="2129"/>
    </row>
    <row r="105" spans="1:9" s="181" customFormat="1" x14ac:dyDescent="0.2">
      <c r="A105" s="316"/>
      <c r="B105" s="2127"/>
      <c r="C105" s="2128"/>
      <c r="D105" s="2128"/>
      <c r="E105" s="2128"/>
      <c r="F105" s="2128"/>
      <c r="G105" s="2128"/>
      <c r="H105" s="2128"/>
      <c r="I105" s="2129"/>
    </row>
    <row r="106" spans="1:9" s="181" customFormat="1" ht="11.25" customHeight="1" x14ac:dyDescent="0.2">
      <c r="A106" s="316"/>
      <c r="B106" s="2127"/>
      <c r="C106" s="2128"/>
      <c r="D106" s="2128"/>
      <c r="E106" s="2128"/>
      <c r="F106" s="2128"/>
      <c r="G106" s="2128"/>
      <c r="H106" s="2128"/>
      <c r="I106" s="2129"/>
    </row>
    <row r="107" spans="1:9" s="181" customFormat="1" ht="11.25" customHeight="1" x14ac:dyDescent="0.2">
      <c r="A107" s="316"/>
      <c r="B107" s="2127"/>
      <c r="C107" s="2128"/>
      <c r="D107" s="2128"/>
      <c r="E107" s="2128"/>
      <c r="F107" s="2128"/>
      <c r="G107" s="2128"/>
      <c r="H107" s="2128"/>
      <c r="I107" s="2129"/>
    </row>
    <row r="108" spans="1:9" s="181" customFormat="1" ht="11.25" customHeight="1" x14ac:dyDescent="0.2">
      <c r="A108" s="316"/>
      <c r="B108" s="2127"/>
      <c r="C108" s="2128"/>
      <c r="D108" s="2128"/>
      <c r="E108" s="2128"/>
      <c r="F108" s="2128"/>
      <c r="G108" s="2128"/>
      <c r="H108" s="2128"/>
      <c r="I108" s="2129"/>
    </row>
    <row r="109" spans="1:9" s="181" customFormat="1" ht="11.25" customHeight="1" x14ac:dyDescent="0.2">
      <c r="A109" s="316"/>
      <c r="B109" s="2127"/>
      <c r="C109" s="2128"/>
      <c r="D109" s="2128"/>
      <c r="E109" s="2128"/>
      <c r="F109" s="2128"/>
      <c r="G109" s="2128"/>
      <c r="H109" s="2128"/>
      <c r="I109" s="2129"/>
    </row>
    <row r="110" spans="1:9" s="181" customFormat="1" ht="11.25" customHeight="1" x14ac:dyDescent="0.2">
      <c r="A110" s="316"/>
      <c r="B110" s="2127"/>
      <c r="C110" s="2128"/>
      <c r="D110" s="2128"/>
      <c r="E110" s="2128"/>
      <c r="F110" s="2128"/>
      <c r="G110" s="2128"/>
      <c r="H110" s="2128"/>
      <c r="I110" s="2129"/>
    </row>
    <row r="111" spans="1:9" s="181" customFormat="1" ht="11.25" customHeight="1" x14ac:dyDescent="0.2">
      <c r="A111" s="316"/>
      <c r="B111" s="2127"/>
      <c r="C111" s="2128"/>
      <c r="D111" s="2128"/>
      <c r="E111" s="2128"/>
      <c r="F111" s="2128"/>
      <c r="G111" s="2128"/>
      <c r="H111" s="2128"/>
      <c r="I111" s="2129"/>
    </row>
    <row r="112" spans="1:9" s="181" customFormat="1" ht="11.25" customHeight="1" x14ac:dyDescent="0.2">
      <c r="A112" s="316"/>
      <c r="B112" s="2130"/>
      <c r="C112" s="2131"/>
      <c r="D112" s="2131"/>
      <c r="E112" s="2131"/>
      <c r="F112" s="2131"/>
      <c r="G112" s="2131"/>
      <c r="H112" s="2131"/>
      <c r="I112" s="213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3" t="s">
        <v>2170</v>
      </c>
      <c r="D114" s="213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4" t="s">
        <v>1330</v>
      </c>
      <c r="D117" s="2135"/>
      <c r="E117" s="2136"/>
      <c r="F117" s="2136"/>
      <c r="G117" s="2136"/>
      <c r="H117" s="2136"/>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1903</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6" colorId="8" zoomScale="110" zoomScaleNormal="110" workbookViewId="0">
      <selection activeCell="M33" sqref="M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3" t="s">
        <v>386</v>
      </c>
      <c r="B1" s="2153"/>
      <c r="C1" s="2153"/>
      <c r="D1" s="2153"/>
      <c r="E1" s="2153"/>
      <c r="F1" s="2153"/>
      <c r="G1" s="2153"/>
      <c r="H1" s="2153"/>
      <c r="I1" s="2153"/>
      <c r="J1" s="2153"/>
      <c r="K1" s="2153"/>
      <c r="L1" s="2153"/>
      <c r="M1" s="215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736761207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3.6761219999999997E-2</v>
      </c>
      <c r="E10" s="356" t="s">
        <v>1005</v>
      </c>
      <c r="F10" s="355">
        <v>6.4635099999999996E-3</v>
      </c>
      <c r="G10" s="356" t="s">
        <v>1005</v>
      </c>
      <c r="H10" s="355">
        <v>3.2317600000000002E-3</v>
      </c>
      <c r="I10" s="356" t="s">
        <v>1006</v>
      </c>
      <c r="J10" s="1705">
        <f>ROUND(D10+F10+H10,5)</f>
        <v>4.6460000000000001E-2</v>
      </c>
      <c r="K10" s="222"/>
      <c r="L10" s="355">
        <v>2.0197999999999999E-4</v>
      </c>
      <c r="M10" s="222"/>
    </row>
    <row r="11" spans="1:14" ht="7.5" customHeight="1" x14ac:dyDescent="0.2">
      <c r="B11" s="222"/>
      <c r="C11" s="222"/>
      <c r="D11" s="2163" t="str">
        <f>IF(SUM(J10)&lt;=0.0999999,"","Enter the Tax Rates by moving the decimal two places to the left.")</f>
        <v/>
      </c>
      <c r="E11" s="2164"/>
      <c r="F11" s="2164"/>
      <c r="G11" s="2164"/>
      <c r="H11" s="2164"/>
      <c r="I11" s="2164"/>
      <c r="J11" s="216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50149080</v>
      </c>
      <c r="E16" s="356"/>
      <c r="F16" s="1706">
        <f>SUM('Acct Summary 7-8'!C17,'Acct Summary 7-8'!D17,'Acct Summary 7-8'!F17)</f>
        <v>49663711</v>
      </c>
      <c r="G16" s="356"/>
      <c r="H16" s="1706">
        <f>SUM(D16-F16)</f>
        <v>485369</v>
      </c>
      <c r="I16" s="222"/>
      <c r="J16" s="1706">
        <f>SUM('Acct Summary 7-8'!C81,'Acct Summary 7-8'!D81,'Acct Summary 7-8'!F81,'Acct Summary 7-8'!I81)</f>
        <v>33633570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8">
        <f>IF(B31="X",(J7*0.069),IF(B32="X",(J7*0.138),"Enter x in a.or b."))</f>
        <v>101673046.56600001</v>
      </c>
      <c r="I31" s="368"/>
      <c r="J31" s="222"/>
      <c r="K31" s="222"/>
      <c r="L31" s="222"/>
      <c r="M31" s="222"/>
    </row>
    <row r="32" spans="1:13" ht="13.35" customHeight="1" x14ac:dyDescent="0.2">
      <c r="B32" s="369" t="s">
        <v>2125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45808189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4"/>
      <c r="C54" s="2155"/>
      <c r="D54" s="2155"/>
      <c r="E54" s="2155"/>
      <c r="F54" s="2155"/>
      <c r="G54" s="2155"/>
      <c r="H54" s="2155"/>
      <c r="I54" s="2155"/>
      <c r="J54" s="2155"/>
      <c r="K54" s="2155"/>
      <c r="L54" s="2156"/>
      <c r="M54" s="380"/>
    </row>
    <row r="55" spans="1:13" ht="12.75" customHeight="1" x14ac:dyDescent="0.2">
      <c r="B55" s="2157"/>
      <c r="C55" s="2158"/>
      <c r="D55" s="2158"/>
      <c r="E55" s="2158"/>
      <c r="F55" s="2158"/>
      <c r="G55" s="2158"/>
      <c r="H55" s="2158"/>
      <c r="I55" s="2158"/>
      <c r="J55" s="2158"/>
      <c r="K55" s="2158"/>
      <c r="L55" s="2159"/>
      <c r="M55" s="380"/>
    </row>
    <row r="56" spans="1:13" ht="12.75" customHeight="1" x14ac:dyDescent="0.2">
      <c r="B56" s="2157"/>
      <c r="C56" s="2158"/>
      <c r="D56" s="2158"/>
      <c r="E56" s="2158"/>
      <c r="F56" s="2158"/>
      <c r="G56" s="2158"/>
      <c r="H56" s="2158"/>
      <c r="I56" s="2158"/>
      <c r="J56" s="2158"/>
      <c r="K56" s="2158"/>
      <c r="L56" s="2159"/>
      <c r="M56" s="222"/>
    </row>
    <row r="57" spans="1:13" ht="12.75" customHeight="1" x14ac:dyDescent="0.2">
      <c r="B57" s="2157"/>
      <c r="C57" s="2158"/>
      <c r="D57" s="2158"/>
      <c r="E57" s="2158"/>
      <c r="F57" s="2158"/>
      <c r="G57" s="2158"/>
      <c r="H57" s="2158"/>
      <c r="I57" s="2158"/>
      <c r="J57" s="2158"/>
      <c r="K57" s="2158"/>
      <c r="L57" s="2159"/>
      <c r="M57" s="222"/>
    </row>
    <row r="58" spans="1:13" x14ac:dyDescent="0.2">
      <c r="B58" s="2160"/>
      <c r="C58" s="2161"/>
      <c r="D58" s="2161"/>
      <c r="E58" s="2161"/>
      <c r="F58" s="2161"/>
      <c r="G58" s="2161"/>
      <c r="H58" s="2161"/>
      <c r="I58" s="2161"/>
      <c r="J58" s="2161"/>
      <c r="K58" s="2161"/>
      <c r="L58" s="216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5"/>
      <c r="D61" s="216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F34" sqref="F3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8"/>
      <c r="B1" s="2169"/>
      <c r="C1" s="2169"/>
      <c r="D1" s="384"/>
      <c r="E1" s="384"/>
      <c r="F1" s="384"/>
      <c r="G1" s="384"/>
      <c r="H1" s="384"/>
      <c r="I1" s="384"/>
      <c r="J1" s="384"/>
      <c r="K1" s="384"/>
      <c r="L1" s="384"/>
      <c r="M1" s="384"/>
      <c r="N1" s="384"/>
      <c r="O1" s="2168"/>
      <c r="P1" s="2169"/>
      <c r="Q1" s="2169"/>
    </row>
    <row r="2" spans="1:18" ht="15" x14ac:dyDescent="0.2">
      <c r="A2" s="2172" t="s">
        <v>556</v>
      </c>
      <c r="B2" s="2172"/>
      <c r="C2" s="2172"/>
      <c r="D2" s="2172"/>
      <c r="E2" s="2172"/>
      <c r="F2" s="2172"/>
      <c r="G2" s="2172"/>
      <c r="H2" s="2172"/>
      <c r="I2" s="2172"/>
      <c r="J2" s="2172"/>
      <c r="K2" s="2172"/>
      <c r="L2" s="2172"/>
      <c r="M2" s="2172"/>
      <c r="N2" s="2172"/>
      <c r="O2" s="2172"/>
      <c r="P2" s="2172"/>
      <c r="Q2" s="2172"/>
      <c r="R2" s="2172"/>
    </row>
    <row r="3" spans="1:18" ht="12.75" x14ac:dyDescent="0.2">
      <c r="A3" s="2173" t="s">
        <v>1413</v>
      </c>
      <c r="B3" s="2173"/>
      <c r="C3" s="2173"/>
      <c r="D3" s="2173"/>
      <c r="E3" s="2173"/>
      <c r="F3" s="2173"/>
      <c r="G3" s="2173"/>
      <c r="H3" s="2173"/>
      <c r="I3" s="2173"/>
      <c r="J3" s="2173"/>
      <c r="K3" s="2173"/>
      <c r="L3" s="2173"/>
      <c r="M3" s="2173"/>
      <c r="N3" s="2173"/>
      <c r="O3" s="2173"/>
      <c r="P3" s="2173"/>
      <c r="Q3" s="2173"/>
      <c r="R3" s="2173"/>
    </row>
    <row r="4" spans="1:18" x14ac:dyDescent="0.2">
      <c r="A4" s="2174" t="s">
        <v>1554</v>
      </c>
      <c r="B4" s="2174"/>
      <c r="C4" s="2174"/>
      <c r="D4" s="2174"/>
      <c r="E4" s="2174"/>
      <c r="F4" s="2174"/>
      <c r="G4" s="2174"/>
      <c r="H4" s="2174"/>
      <c r="I4" s="2174"/>
      <c r="J4" s="2174"/>
      <c r="K4" s="2174"/>
      <c r="L4" s="2174"/>
      <c r="M4" s="2174"/>
      <c r="N4" s="2174"/>
      <c r="O4" s="2174"/>
      <c r="P4" s="2174"/>
      <c r="Q4" s="2174"/>
      <c r="R4" s="217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Central CUSD 301</v>
      </c>
      <c r="E7" s="391"/>
      <c r="G7" s="252"/>
      <c r="H7" s="387"/>
      <c r="I7" s="387"/>
      <c r="J7" s="387"/>
      <c r="K7" s="387"/>
      <c r="L7" s="329"/>
      <c r="M7" s="329"/>
      <c r="N7" s="329"/>
      <c r="O7" s="329"/>
      <c r="P7" s="329"/>
    </row>
    <row r="8" spans="1:18" ht="12.75" x14ac:dyDescent="0.2">
      <c r="A8" s="329"/>
      <c r="B8" s="329"/>
      <c r="C8" s="389" t="s">
        <v>1125</v>
      </c>
      <c r="D8" s="392">
        <f>COVER!A13</f>
        <v>31045301026</v>
      </c>
      <c r="E8" s="393"/>
      <c r="G8" s="329"/>
      <c r="H8" s="329"/>
      <c r="I8" s="329"/>
      <c r="J8" s="329"/>
      <c r="K8" s="329"/>
      <c r="L8" s="329"/>
      <c r="M8" s="329"/>
      <c r="N8" s="329"/>
      <c r="O8" s="329"/>
      <c r="P8" s="329"/>
    </row>
    <row r="9" spans="1:18" ht="12.75" x14ac:dyDescent="0.2">
      <c r="A9" s="329"/>
      <c r="B9" s="329"/>
      <c r="C9" s="389" t="s">
        <v>713</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33633570</v>
      </c>
      <c r="I12" s="404"/>
      <c r="J12" s="404"/>
      <c r="K12" s="405">
        <f>TRUNC((H12/H13*100000),5)/100000</f>
        <v>0.67067172510000006</v>
      </c>
      <c r="L12" s="406"/>
      <c r="M12" s="360" t="s">
        <v>1144</v>
      </c>
      <c r="N12" s="360"/>
      <c r="O12" s="407">
        <v>0.35</v>
      </c>
      <c r="P12" s="218"/>
      <c r="Q12" s="218"/>
    </row>
    <row r="13" spans="1:18" s="408" customFormat="1" ht="12.75" x14ac:dyDescent="0.2">
      <c r="A13" s="218"/>
      <c r="B13" s="401"/>
      <c r="C13" s="2170" t="s">
        <v>1324</v>
      </c>
      <c r="D13" s="2171"/>
      <c r="E13" s="218"/>
      <c r="F13" s="409" t="s">
        <v>793</v>
      </c>
      <c r="G13" s="402"/>
      <c r="H13" s="403">
        <f>SUM('Acct Summary 7-8'!C8+'Acct Summary 7-8'!D8+'Acct Summary 7-8'!F8+'Acct Summary 7-8'!I8)+H14</f>
        <v>50149080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49663711</v>
      </c>
      <c r="I17" s="404"/>
      <c r="J17" s="416"/>
      <c r="K17" s="405">
        <f>TRUNC((H17/H18*100000),5)/100000</f>
        <v>0.99032147739999998</v>
      </c>
      <c r="L17" s="406"/>
      <c r="M17" s="417" t="s">
        <v>1171</v>
      </c>
      <c r="O17" s="418" t="str">
        <f>IF(AND(O16="2", J20 &gt; 2),"1",IF(AND(O16 = "1", J20 &gt; 2),"2",IF(AND(O16="1", J20 &gt;1),"1","0")))</f>
        <v>0</v>
      </c>
      <c r="P17" s="218"/>
    </row>
    <row r="18" spans="1:18" s="408" customFormat="1" ht="11.25" x14ac:dyDescent="0.2">
      <c r="A18" s="218"/>
      <c r="B18" s="401"/>
      <c r="C18" s="2170" t="s">
        <v>1317</v>
      </c>
      <c r="D18" s="2171"/>
      <c r="E18" s="218"/>
      <c r="F18" s="419" t="s">
        <v>794</v>
      </c>
      <c r="G18" s="402"/>
      <c r="H18" s="403">
        <f>SUM('Acct Summary 7-8'!C8+'Acct Summary 7-8'!D8+'Acct Summary 7-8'!F8+'Acct Summary 7-8'!I8)+H19</f>
        <v>50149080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7" t="s">
        <v>1412</v>
      </c>
      <c r="D24" s="2167"/>
      <c r="E24" s="218"/>
      <c r="F24" s="218" t="s">
        <v>445</v>
      </c>
      <c r="G24" s="402"/>
      <c r="H24" s="403">
        <f>SUM('Assets-Liab 5-6'!C4+'Assets-Liab 5-6'!D4+'Assets-Liab 5-6'!F4+'Assets-Liab 5-6'!I4+'Assets-Liab 5-6'!C5+'Assets-Liab 5-6'!D5+'Assets-Liab 5-6'!F5+'Assets-Liab 5-6'!I5)</f>
        <v>33728436</v>
      </c>
      <c r="I24" s="422"/>
      <c r="J24" s="422"/>
      <c r="K24" s="423">
        <f>TRUNC(((H24/H25*100000)/100000),2)</f>
        <v>244.48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137954.75278000001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29095436.82564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45808189</v>
      </c>
      <c r="I32" s="420"/>
      <c r="J32" s="420"/>
      <c r="K32" s="423">
        <f>TRUNC(100-((((H32/H33*100))*100)/100),2)</f>
        <v>54.94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101673046.56600001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7" t="s">
        <v>973</v>
      </c>
      <c r="B3" s="2178"/>
      <c r="C3" s="1532"/>
      <c r="D3" s="1533"/>
      <c r="E3" s="1533"/>
      <c r="F3" s="1533"/>
      <c r="G3" s="1533"/>
      <c r="H3" s="1533"/>
      <c r="I3" s="1533"/>
      <c r="J3" s="1533"/>
      <c r="K3" s="1533"/>
      <c r="L3" s="1533"/>
      <c r="M3" s="1534"/>
      <c r="N3" s="1535"/>
    </row>
    <row r="4" spans="1:14" ht="13.5" customHeight="1" x14ac:dyDescent="0.2">
      <c r="A4" s="463" t="s">
        <v>1651</v>
      </c>
      <c r="B4" s="464"/>
      <c r="C4" s="1910">
        <v>21255407</v>
      </c>
      <c r="D4" s="1911">
        <v>6809310</v>
      </c>
      <c r="E4" s="1911">
        <v>4133737</v>
      </c>
      <c r="F4" s="1911">
        <v>3420897</v>
      </c>
      <c r="G4" s="1911">
        <v>1425893</v>
      </c>
      <c r="H4" s="1911">
        <v>2348802</v>
      </c>
      <c r="I4" s="1911">
        <v>2242822</v>
      </c>
      <c r="J4" s="1912">
        <v>386649</v>
      </c>
      <c r="K4" s="1991">
        <v>0</v>
      </c>
      <c r="L4" s="1911">
        <v>149638</v>
      </c>
      <c r="M4" s="467"/>
      <c r="N4" s="468"/>
    </row>
    <row r="5" spans="1:14" x14ac:dyDescent="0.2">
      <c r="A5" s="463" t="s">
        <v>992</v>
      </c>
      <c r="B5" s="469">
        <v>120</v>
      </c>
      <c r="C5" s="1910">
        <v>0</v>
      </c>
      <c r="D5" s="1911">
        <v>0</v>
      </c>
      <c r="E5" s="1911">
        <v>0</v>
      </c>
      <c r="F5" s="1911">
        <v>0</v>
      </c>
      <c r="G5" s="1911">
        <v>0</v>
      </c>
      <c r="H5" s="1911">
        <v>0</v>
      </c>
      <c r="I5" s="1911">
        <v>0</v>
      </c>
      <c r="J5" s="1912">
        <v>0</v>
      </c>
      <c r="K5" s="1913">
        <v>0</v>
      </c>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21255407</v>
      </c>
      <c r="D13" s="1710">
        <f t="shared" ref="D13:L13" si="0">SUM(D4:D12)</f>
        <v>6809310</v>
      </c>
      <c r="E13" s="1710">
        <f t="shared" si="0"/>
        <v>4133737</v>
      </c>
      <c r="F13" s="1710">
        <f t="shared" si="0"/>
        <v>3420897</v>
      </c>
      <c r="G13" s="1710">
        <f t="shared" si="0"/>
        <v>1425893</v>
      </c>
      <c r="H13" s="1710">
        <f t="shared" si="0"/>
        <v>2348802</v>
      </c>
      <c r="I13" s="1710">
        <f t="shared" si="0"/>
        <v>2242822</v>
      </c>
      <c r="J13" s="1710">
        <f t="shared" si="0"/>
        <v>386649</v>
      </c>
      <c r="K13" s="1710">
        <f t="shared" si="0"/>
        <v>0</v>
      </c>
      <c r="L13" s="1710">
        <f t="shared" si="0"/>
        <v>149638</v>
      </c>
      <c r="M13" s="467"/>
      <c r="N13" s="468"/>
    </row>
    <row r="14" spans="1:14" ht="18" customHeight="1" thickTop="1" x14ac:dyDescent="0.2">
      <c r="A14" s="2179" t="s">
        <v>147</v>
      </c>
      <c r="B14" s="2180"/>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6004268</v>
      </c>
      <c r="N16" s="480"/>
    </row>
    <row r="17" spans="1:14" s="481" customFormat="1" ht="12.75" customHeight="1" x14ac:dyDescent="0.2">
      <c r="A17" s="478" t="s">
        <v>1403</v>
      </c>
      <c r="B17" s="479">
        <v>230</v>
      </c>
      <c r="C17" s="473"/>
      <c r="D17" s="473"/>
      <c r="E17" s="473"/>
      <c r="F17" s="473"/>
      <c r="G17" s="473"/>
      <c r="H17" s="473"/>
      <c r="I17" s="473"/>
      <c r="J17" s="473"/>
      <c r="K17" s="473"/>
      <c r="L17" s="473"/>
      <c r="M17" s="1912">
        <v>132390578</v>
      </c>
      <c r="N17" s="480"/>
    </row>
    <row r="18" spans="1:14" s="481" customFormat="1" ht="12.75" customHeight="1" x14ac:dyDescent="0.2">
      <c r="A18" s="478" t="s">
        <v>1404</v>
      </c>
      <c r="B18" s="479">
        <v>240</v>
      </c>
      <c r="C18" s="473"/>
      <c r="D18" s="473"/>
      <c r="E18" s="473"/>
      <c r="F18" s="473"/>
      <c r="G18" s="473"/>
      <c r="H18" s="473"/>
      <c r="I18" s="473"/>
      <c r="J18" s="473"/>
      <c r="K18" s="473"/>
      <c r="L18" s="473"/>
      <c r="M18" s="1912">
        <v>4332905</v>
      </c>
      <c r="N18" s="480"/>
    </row>
    <row r="19" spans="1:14" s="481" customFormat="1" ht="12.75" customHeight="1" x14ac:dyDescent="0.2">
      <c r="A19" s="478" t="s">
        <v>1405</v>
      </c>
      <c r="B19" s="479">
        <v>250</v>
      </c>
      <c r="C19" s="473"/>
      <c r="D19" s="473"/>
      <c r="E19" s="473"/>
      <c r="F19" s="473"/>
      <c r="G19" s="473"/>
      <c r="H19" s="473"/>
      <c r="I19" s="473"/>
      <c r="J19" s="473"/>
      <c r="K19" s="473"/>
      <c r="L19" s="473"/>
      <c r="M19" s="1912">
        <v>5031161</v>
      </c>
      <c r="N19" s="480"/>
    </row>
    <row r="20" spans="1:14" s="481" customFormat="1" ht="12.75" customHeight="1" x14ac:dyDescent="0.2">
      <c r="A20" s="478" t="s">
        <v>1406</v>
      </c>
      <c r="B20" s="479">
        <v>260</v>
      </c>
      <c r="C20" s="473"/>
      <c r="D20" s="473"/>
      <c r="E20" s="473"/>
      <c r="F20" s="473"/>
      <c r="G20" s="473"/>
      <c r="H20" s="473"/>
      <c r="I20" s="473"/>
      <c r="J20" s="473"/>
      <c r="K20" s="473"/>
      <c r="L20" s="473"/>
      <c r="M20" s="1912">
        <v>367068</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+E4</f>
        <v>4133737</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41674452</v>
      </c>
    </row>
    <row r="23" spans="1:14" ht="13.5" customHeight="1" thickBot="1" x14ac:dyDescent="0.25">
      <c r="A23" s="1709" t="s">
        <v>643</v>
      </c>
      <c r="B23" s="1714"/>
      <c r="C23" s="467"/>
      <c r="D23" s="467"/>
      <c r="E23" s="467"/>
      <c r="F23" s="467"/>
      <c r="G23" s="467"/>
      <c r="H23" s="467"/>
      <c r="I23" s="467"/>
      <c r="J23" s="467"/>
      <c r="K23" s="467"/>
      <c r="L23" s="467"/>
      <c r="M23" s="1661">
        <f>SUM(M15:M22)</f>
        <v>148125980</v>
      </c>
      <c r="N23" s="1661">
        <f>SUM(N21:N22)</f>
        <v>45808189</v>
      </c>
    </row>
    <row r="24" spans="1:14" ht="18" customHeight="1" thickTop="1" x14ac:dyDescent="0.2">
      <c r="A24" s="2181" t="s">
        <v>598</v>
      </c>
      <c r="B24" s="2182"/>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89394</v>
      </c>
      <c r="D31" s="1912">
        <v>4896</v>
      </c>
      <c r="E31" s="1912">
        <v>0</v>
      </c>
      <c r="F31" s="1911">
        <v>576</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149638</v>
      </c>
      <c r="M33" s="467"/>
      <c r="N33" s="468"/>
    </row>
    <row r="34" spans="1:14" ht="13.5" customHeight="1" thickBot="1" x14ac:dyDescent="0.25">
      <c r="A34" s="1711" t="s">
        <v>654</v>
      </c>
      <c r="B34" s="1712"/>
      <c r="C34" s="1713">
        <f>SUM(C25:C33)</f>
        <v>89394</v>
      </c>
      <c r="D34" s="1713">
        <f t="shared" ref="D34:K34" si="1">SUM(D25:D33)</f>
        <v>4896</v>
      </c>
      <c r="E34" s="1713">
        <f t="shared" si="1"/>
        <v>0</v>
      </c>
      <c r="F34" s="1713">
        <f t="shared" si="1"/>
        <v>576</v>
      </c>
      <c r="G34" s="1713">
        <f t="shared" si="1"/>
        <v>0</v>
      </c>
      <c r="H34" s="1713">
        <f t="shared" si="1"/>
        <v>0</v>
      </c>
      <c r="I34" s="1713">
        <f t="shared" si="1"/>
        <v>0</v>
      </c>
      <c r="J34" s="1713">
        <f t="shared" si="1"/>
        <v>0</v>
      </c>
      <c r="K34" s="1713">
        <f t="shared" si="1"/>
        <v>0</v>
      </c>
      <c r="L34" s="1694">
        <f>SUM(L33)</f>
        <v>149638</v>
      </c>
      <c r="M34" s="467"/>
      <c r="N34" s="476"/>
    </row>
    <row r="35" spans="1:14" ht="18" customHeight="1" thickTop="1" x14ac:dyDescent="0.2">
      <c r="A35" s="2183" t="s">
        <v>529</v>
      </c>
      <c r="B35" s="2184"/>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45808189</v>
      </c>
    </row>
    <row r="37" spans="1:14" ht="13.5" thickBot="1" x14ac:dyDescent="0.25">
      <c r="A37" s="1709" t="s">
        <v>653</v>
      </c>
      <c r="B37" s="1714"/>
      <c r="C37" s="473"/>
      <c r="D37" s="473"/>
      <c r="E37" s="473"/>
      <c r="F37" s="473"/>
      <c r="G37" s="473"/>
      <c r="H37" s="473"/>
      <c r="I37" s="473"/>
      <c r="J37" s="473"/>
      <c r="K37" s="473"/>
      <c r="L37" s="476"/>
      <c r="M37" s="467"/>
      <c r="N37" s="1661">
        <f>SUM(N36:N36)</f>
        <v>45808189</v>
      </c>
    </row>
    <row r="38" spans="1:14" s="329" customFormat="1" ht="13.5" customHeight="1" thickTop="1" x14ac:dyDescent="0.2">
      <c r="A38" s="489" t="s">
        <v>420</v>
      </c>
      <c r="B38" s="479">
        <v>714</v>
      </c>
      <c r="C38" s="1911">
        <v>149128</v>
      </c>
      <c r="D38" s="1911"/>
      <c r="E38" s="1911">
        <v>769643</v>
      </c>
      <c r="F38" s="1911"/>
      <c r="G38" s="1911">
        <v>668298</v>
      </c>
      <c r="H38" s="1911"/>
      <c r="I38" s="1911"/>
      <c r="J38" s="1912"/>
      <c r="K38" s="1911"/>
      <c r="L38" s="477"/>
      <c r="M38" s="490"/>
      <c r="N38" s="490"/>
    </row>
    <row r="39" spans="1:14" s="329" customFormat="1" ht="13.5" customHeight="1" x14ac:dyDescent="0.2">
      <c r="A39" s="489" t="s">
        <v>342</v>
      </c>
      <c r="B39" s="479">
        <v>730</v>
      </c>
      <c r="C39" s="1911">
        <v>21016885</v>
      </c>
      <c r="D39" s="1911">
        <v>6804414</v>
      </c>
      <c r="E39" s="1911">
        <v>3364094</v>
      </c>
      <c r="F39" s="1911">
        <v>3420321</v>
      </c>
      <c r="G39" s="1911">
        <v>757595</v>
      </c>
      <c r="H39" s="1911">
        <v>2348802</v>
      </c>
      <c r="I39" s="1911">
        <v>2242822</v>
      </c>
      <c r="J39" s="1912">
        <v>386649</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148125980</v>
      </c>
      <c r="N40" s="490"/>
    </row>
    <row r="41" spans="1:14" ht="13.5" customHeight="1" thickBot="1" x14ac:dyDescent="0.25">
      <c r="A41" s="1709" t="s">
        <v>655</v>
      </c>
      <c r="B41" s="1679"/>
      <c r="C41" s="1661">
        <f>(SUM(C34,C37,C38,C39))</f>
        <v>21255407</v>
      </c>
      <c r="D41" s="1661">
        <f t="shared" ref="D41:L41" si="2">SUM(D34,D37,D38:D39)</f>
        <v>6809310</v>
      </c>
      <c r="E41" s="1661">
        <f t="shared" si="2"/>
        <v>4133737</v>
      </c>
      <c r="F41" s="1661">
        <f t="shared" si="2"/>
        <v>3420897</v>
      </c>
      <c r="G41" s="1661">
        <f t="shared" si="2"/>
        <v>1425893</v>
      </c>
      <c r="H41" s="1661">
        <f t="shared" si="2"/>
        <v>2348802</v>
      </c>
      <c r="I41" s="1661">
        <f t="shared" si="2"/>
        <v>2242822</v>
      </c>
      <c r="J41" s="1661">
        <f t="shared" si="2"/>
        <v>386649</v>
      </c>
      <c r="K41" s="1661">
        <f t="shared" si="2"/>
        <v>0</v>
      </c>
      <c r="L41" s="1661">
        <f t="shared" si="2"/>
        <v>149638</v>
      </c>
      <c r="M41" s="1661">
        <f>SUM(M40)</f>
        <v>148125980</v>
      </c>
      <c r="N41" s="1661">
        <f>SUM(N37)</f>
        <v>45808189</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AF22" sqref="AF22"/>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3"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4"/>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5" t="s">
        <v>1175</v>
      </c>
      <c r="B3" s="2206"/>
      <c r="C3" s="1546"/>
      <c r="D3" s="1547"/>
      <c r="E3" s="1547"/>
      <c r="F3" s="1547"/>
      <c r="G3" s="1547"/>
      <c r="H3" s="1547"/>
      <c r="I3" s="1547"/>
      <c r="J3" s="1547"/>
      <c r="K3" s="1548"/>
      <c r="L3" s="499"/>
    </row>
    <row r="4" spans="1:13" ht="15.75" customHeight="1" x14ac:dyDescent="0.2">
      <c r="A4" s="1901" t="s">
        <v>1499</v>
      </c>
      <c r="B4" s="1902">
        <v>1000</v>
      </c>
      <c r="C4" s="1715">
        <f>'Revenues 9-14'!C109</f>
        <v>32429263</v>
      </c>
      <c r="D4" s="1715">
        <f>'Revenues 9-14'!D109</f>
        <v>4756481</v>
      </c>
      <c r="E4" s="1715">
        <f>'Revenues 9-14'!E109</f>
        <v>7018531</v>
      </c>
      <c r="F4" s="1715">
        <f>'Revenues 9-14'!F109</f>
        <v>2079376</v>
      </c>
      <c r="G4" s="1715">
        <f>'Revenues 9-14'!G109</f>
        <v>1714683</v>
      </c>
      <c r="H4" s="1715">
        <f>'Revenues 9-14'!H109</f>
        <v>367544</v>
      </c>
      <c r="I4" s="1715">
        <f>'Revenues 9-14'!I109</f>
        <v>175282</v>
      </c>
      <c r="J4" s="1715">
        <f>'Revenues 9-14'!J109</f>
        <v>508455</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6598543</v>
      </c>
      <c r="D6" s="1716">
        <f>'Revenues 9-14'!D170</f>
        <v>982000</v>
      </c>
      <c r="E6" s="1716">
        <f>'Revenues 9-14'!E170</f>
        <v>0</v>
      </c>
      <c r="F6" s="1716">
        <f>'Revenues 9-14'!F170</f>
        <v>1862540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1265595</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40293401</v>
      </c>
      <c r="D8" s="1661">
        <f t="shared" ref="D8:K8" si="0">SUM(D4:D7)</f>
        <v>5738481</v>
      </c>
      <c r="E8" s="1661">
        <f t="shared" si="0"/>
        <v>7018531</v>
      </c>
      <c r="F8" s="1661">
        <f t="shared" si="0"/>
        <v>3941916</v>
      </c>
      <c r="G8" s="1661">
        <f t="shared" si="0"/>
        <v>1714683</v>
      </c>
      <c r="H8" s="1661">
        <f t="shared" si="0"/>
        <v>367544</v>
      </c>
      <c r="I8" s="1661">
        <f t="shared" si="0"/>
        <v>175282</v>
      </c>
      <c r="J8" s="1661">
        <f t="shared" si="0"/>
        <v>508455</v>
      </c>
      <c r="K8" s="1661">
        <f t="shared" si="0"/>
        <v>0</v>
      </c>
      <c r="L8" s="347"/>
    </row>
    <row r="9" spans="1:13" ht="15.75" thickTop="1" x14ac:dyDescent="0.2">
      <c r="A9" s="507" t="s">
        <v>1653</v>
      </c>
      <c r="B9" s="508">
        <v>3998</v>
      </c>
      <c r="C9" s="477">
        <v>16492210</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56785611</v>
      </c>
      <c r="D10" s="1661">
        <f t="shared" ref="D10:K10" si="1">SUM(D8:D9)</f>
        <v>5738481</v>
      </c>
      <c r="E10" s="1661">
        <f t="shared" si="1"/>
        <v>7018531</v>
      </c>
      <c r="F10" s="1661">
        <f t="shared" si="1"/>
        <v>3941916</v>
      </c>
      <c r="G10" s="1661">
        <f t="shared" si="1"/>
        <v>1714683</v>
      </c>
      <c r="H10" s="1661">
        <f t="shared" si="1"/>
        <v>367544</v>
      </c>
      <c r="I10" s="1661">
        <f t="shared" si="1"/>
        <v>175282</v>
      </c>
      <c r="J10" s="1661">
        <f t="shared" si="1"/>
        <v>508455</v>
      </c>
      <c r="K10" s="1661">
        <f t="shared" si="1"/>
        <v>0</v>
      </c>
      <c r="L10" s="511"/>
    </row>
    <row r="11" spans="1:13" s="512" customFormat="1" ht="16.7" customHeight="1" thickTop="1" x14ac:dyDescent="0.2">
      <c r="A11" s="2179" t="s">
        <v>1176</v>
      </c>
      <c r="B11" s="2180"/>
      <c r="C11" s="1543"/>
      <c r="D11" s="1544"/>
      <c r="E11" s="1544"/>
      <c r="F11" s="1544"/>
      <c r="G11" s="1544"/>
      <c r="H11" s="1544"/>
      <c r="I11" s="1544"/>
      <c r="J11" s="1544"/>
      <c r="K11" s="1545"/>
      <c r="L11" s="511"/>
    </row>
    <row r="12" spans="1:13" ht="15.75" customHeight="1" x14ac:dyDescent="0.2">
      <c r="A12" s="1549" t="s">
        <v>456</v>
      </c>
      <c r="B12" s="1551">
        <v>1000</v>
      </c>
      <c r="C12" s="1715">
        <f>'Expenditures 15-22'!K33</f>
        <v>26840445</v>
      </c>
      <c r="D12" s="513" t="s">
        <v>1169</v>
      </c>
      <c r="E12" s="467" t="s">
        <v>1169</v>
      </c>
      <c r="F12" s="467" t="s">
        <v>1169</v>
      </c>
      <c r="G12" s="1715">
        <f>'Expenditures 15-22'!K229</f>
        <v>386963</v>
      </c>
      <c r="H12" s="514"/>
      <c r="I12" s="467" t="s">
        <v>1169</v>
      </c>
      <c r="J12" s="467" t="s">
        <v>1169</v>
      </c>
      <c r="K12" s="514" t="s">
        <v>1169</v>
      </c>
      <c r="L12" s="347"/>
    </row>
    <row r="13" spans="1:13" ht="15.75" customHeight="1" x14ac:dyDescent="0.2">
      <c r="A13" s="1549" t="s">
        <v>457</v>
      </c>
      <c r="B13" s="1551">
        <v>2000</v>
      </c>
      <c r="C13" s="1716">
        <f>'Expenditures 15-22'!K74</f>
        <v>11900627</v>
      </c>
      <c r="D13" s="1716">
        <f>'Expenditures 15-22'!K129</f>
        <v>5006248</v>
      </c>
      <c r="E13" s="468" t="s">
        <v>1169</v>
      </c>
      <c r="F13" s="1716">
        <f>'Expenditures 15-22'!K184</f>
        <v>3375386</v>
      </c>
      <c r="G13" s="1716">
        <f>'Expenditures 15-22'!K279</f>
        <v>1200811</v>
      </c>
      <c r="H13" s="1716">
        <f>'Expenditures 15-22'!K303</f>
        <v>5217234</v>
      </c>
      <c r="I13" s="467" t="s">
        <v>1169</v>
      </c>
      <c r="J13" s="1716">
        <f>'Expenditures 15-22'!K330</f>
        <v>697785</v>
      </c>
      <c r="K13" s="1720">
        <f>'Expenditures 15-22'!K352</f>
        <v>0</v>
      </c>
      <c r="L13" s="347"/>
    </row>
    <row r="14" spans="1:13" ht="15.75" customHeight="1" x14ac:dyDescent="0.2">
      <c r="A14" s="1549" t="s">
        <v>449</v>
      </c>
      <c r="B14" s="1551">
        <v>3000</v>
      </c>
      <c r="C14" s="1716">
        <f>'Expenditures 15-22'!K75</f>
        <v>5712</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2535293</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7320416</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41282077</v>
      </c>
      <c r="D17" s="1661">
        <f t="shared" si="2"/>
        <v>5006248</v>
      </c>
      <c r="E17" s="1661">
        <f t="shared" si="2"/>
        <v>7320416</v>
      </c>
      <c r="F17" s="1661">
        <f t="shared" si="2"/>
        <v>3375386</v>
      </c>
      <c r="G17" s="1661">
        <f t="shared" si="2"/>
        <v>1587774</v>
      </c>
      <c r="H17" s="1661">
        <f t="shared" si="2"/>
        <v>5217234</v>
      </c>
      <c r="I17" s="467"/>
      <c r="J17" s="1661">
        <f>SUM(J12:J16)</f>
        <v>697785</v>
      </c>
      <c r="K17" s="1661">
        <f>SUM(K12:K16)</f>
        <v>0</v>
      </c>
      <c r="L17" s="347"/>
    </row>
    <row r="18" spans="1:12" ht="15" customHeight="1" thickTop="1" x14ac:dyDescent="0.2">
      <c r="A18" s="1717" t="s">
        <v>1654</v>
      </c>
      <c r="B18" s="1718">
        <v>4180</v>
      </c>
      <c r="C18" s="1715">
        <f t="shared" ref="C18:H18" si="3">C9</f>
        <v>16492210</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57774287</v>
      </c>
      <c r="D19" s="1661">
        <f t="shared" si="4"/>
        <v>5006248</v>
      </c>
      <c r="E19" s="1661">
        <f t="shared" si="4"/>
        <v>7320416</v>
      </c>
      <c r="F19" s="1661">
        <f t="shared" si="4"/>
        <v>3375386</v>
      </c>
      <c r="G19" s="1661">
        <f t="shared" si="4"/>
        <v>1587774</v>
      </c>
      <c r="H19" s="1661">
        <f t="shared" si="4"/>
        <v>5217234</v>
      </c>
      <c r="I19" s="467"/>
      <c r="J19" s="1661">
        <f>SUM(J17:J18)</f>
        <v>697785</v>
      </c>
      <c r="K19" s="1661">
        <f>SUM(K17:K18)</f>
        <v>0</v>
      </c>
      <c r="L19" s="347"/>
    </row>
    <row r="20" spans="1:12" ht="16.5" thickTop="1" thickBot="1" x14ac:dyDescent="0.25">
      <c r="A20" s="2195" t="s">
        <v>1655</v>
      </c>
      <c r="B20" s="2196"/>
      <c r="C20" s="1719">
        <f>C8-C17</f>
        <v>-988676</v>
      </c>
      <c r="D20" s="1719">
        <f t="shared" ref="D20:K20" si="5">D8-D17</f>
        <v>732233</v>
      </c>
      <c r="E20" s="1719">
        <f t="shared" si="5"/>
        <v>-301885</v>
      </c>
      <c r="F20" s="1719">
        <f t="shared" si="5"/>
        <v>566530</v>
      </c>
      <c r="G20" s="1719">
        <f t="shared" si="5"/>
        <v>126909</v>
      </c>
      <c r="H20" s="1719">
        <f t="shared" si="5"/>
        <v>-4849690</v>
      </c>
      <c r="I20" s="1719">
        <f t="shared" si="5"/>
        <v>175282</v>
      </c>
      <c r="J20" s="1719">
        <f t="shared" si="5"/>
        <v>-189330</v>
      </c>
      <c r="K20" s="1719">
        <f t="shared" si="5"/>
        <v>0</v>
      </c>
      <c r="L20" s="347"/>
    </row>
    <row r="21" spans="1:12" ht="16.7" customHeight="1" thickTop="1" x14ac:dyDescent="0.2">
      <c r="A21" s="2207" t="s">
        <v>595</v>
      </c>
      <c r="B21" s="2208"/>
      <c r="C21" s="1543"/>
      <c r="D21" s="1544"/>
      <c r="E21" s="1544"/>
      <c r="F21" s="1544"/>
      <c r="G21" s="1544"/>
      <c r="H21" s="1544"/>
      <c r="I21" s="1544"/>
      <c r="J21" s="1544"/>
      <c r="K21" s="1545"/>
      <c r="L21" s="517"/>
    </row>
    <row r="22" spans="1:12" ht="15.75" customHeight="1" collapsed="1" x14ac:dyDescent="0.2">
      <c r="A22" s="2203" t="s">
        <v>596</v>
      </c>
      <c r="B22" s="2204"/>
      <c r="C22" s="473"/>
      <c r="D22" s="473"/>
      <c r="E22" s="473"/>
      <c r="F22" s="473"/>
      <c r="G22" s="473"/>
      <c r="H22" s="473"/>
      <c r="I22" s="473"/>
      <c r="J22" s="473"/>
      <c r="K22" s="473"/>
      <c r="L22" s="347"/>
    </row>
    <row r="23" spans="1:12" s="481" customFormat="1" ht="15.75" customHeight="1" x14ac:dyDescent="0.2">
      <c r="A23" s="2199" t="s">
        <v>293</v>
      </c>
      <c r="B23" s="2200"/>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1791</v>
      </c>
      <c r="B30" s="520">
        <v>7160</v>
      </c>
      <c r="C30" s="473"/>
      <c r="D30" s="1922">
        <v>0</v>
      </c>
      <c r="E30" s="473"/>
      <c r="F30" s="473"/>
      <c r="G30" s="473"/>
      <c r="H30" s="473"/>
      <c r="I30" s="473"/>
      <c r="J30" s="473"/>
      <c r="K30" s="473"/>
      <c r="L30" s="517"/>
    </row>
    <row r="31" spans="1:12" s="481" customFormat="1" ht="26.25" x14ac:dyDescent="0.2">
      <c r="A31" s="1462" t="s">
        <v>1795</v>
      </c>
      <c r="B31" s="520">
        <v>7170</v>
      </c>
      <c r="C31" s="473"/>
      <c r="D31" s="473"/>
      <c r="E31" s="1923">
        <v>0</v>
      </c>
      <c r="F31" s="473"/>
      <c r="G31" s="473"/>
      <c r="H31" s="473"/>
      <c r="I31" s="473"/>
      <c r="J31" s="473"/>
      <c r="K31" s="473"/>
      <c r="L31" s="517"/>
    </row>
    <row r="32" spans="1:12" s="481" customFormat="1" ht="15.75" customHeight="1" x14ac:dyDescent="0.2">
      <c r="A32" s="2201" t="s">
        <v>981</v>
      </c>
      <c r="B32" s="2202"/>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09" t="s">
        <v>374</v>
      </c>
      <c r="B44" s="2210"/>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3" t="s">
        <v>108</v>
      </c>
      <c r="B45" s="2204"/>
      <c r="C45" s="521"/>
      <c r="D45" s="521"/>
      <c r="E45" s="521"/>
      <c r="F45" s="521"/>
      <c r="G45" s="521"/>
      <c r="H45" s="521"/>
      <c r="I45" s="521"/>
      <c r="J45" s="521"/>
      <c r="K45" s="521"/>
      <c r="L45" s="347"/>
    </row>
    <row r="46" spans="1:12" s="481" customFormat="1" ht="15.75" customHeight="1" x14ac:dyDescent="0.2">
      <c r="A46" s="2211" t="s">
        <v>109</v>
      </c>
      <c r="B46" s="2212"/>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1794</v>
      </c>
      <c r="B52" s="479">
        <v>8160</v>
      </c>
      <c r="C52" s="473"/>
      <c r="D52" s="473"/>
      <c r="E52" s="473"/>
      <c r="F52" s="473"/>
      <c r="G52" s="473"/>
      <c r="H52" s="473"/>
      <c r="I52" s="473"/>
      <c r="J52" s="473"/>
      <c r="K52" s="1716">
        <f>D30</f>
        <v>0</v>
      </c>
      <c r="L52" s="517"/>
    </row>
    <row r="53" spans="1:12" s="481" customFormat="1" ht="26.25" x14ac:dyDescent="0.2">
      <c r="A53" s="1463" t="s">
        <v>1793</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5" t="s">
        <v>440</v>
      </c>
      <c r="B76" s="2186"/>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7" t="s">
        <v>1177</v>
      </c>
      <c r="B77" s="2188"/>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1" t="s">
        <v>597</v>
      </c>
      <c r="B78" s="2192"/>
      <c r="C78" s="1675">
        <f t="shared" ref="C78:K78" si="9">C20+C77</f>
        <v>-988676</v>
      </c>
      <c r="D78" s="1675">
        <f t="shared" si="9"/>
        <v>732233</v>
      </c>
      <c r="E78" s="1675">
        <f t="shared" si="9"/>
        <v>-301885</v>
      </c>
      <c r="F78" s="1675">
        <f t="shared" si="9"/>
        <v>566530</v>
      </c>
      <c r="G78" s="1675">
        <f t="shared" si="9"/>
        <v>126909</v>
      </c>
      <c r="H78" s="1675">
        <f t="shared" si="9"/>
        <v>-4849690</v>
      </c>
      <c r="I78" s="1675">
        <f t="shared" si="9"/>
        <v>175282</v>
      </c>
      <c r="J78" s="1675">
        <f t="shared" si="9"/>
        <v>-189330</v>
      </c>
      <c r="K78" s="1675">
        <f t="shared" si="9"/>
        <v>0</v>
      </c>
      <c r="L78" s="524"/>
    </row>
    <row r="79" spans="1:12" ht="13.5" thickTop="1" x14ac:dyDescent="0.2">
      <c r="A79" s="1467" t="s">
        <v>1946</v>
      </c>
      <c r="B79" s="525"/>
      <c r="C79" s="474">
        <v>22154689</v>
      </c>
      <c r="D79" s="1930">
        <v>6072181</v>
      </c>
      <c r="E79" s="1930">
        <v>4435622</v>
      </c>
      <c r="F79" s="1930">
        <v>2853791</v>
      </c>
      <c r="G79" s="1930">
        <v>1298984</v>
      </c>
      <c r="H79" s="1930">
        <v>7198492</v>
      </c>
      <c r="I79" s="1930">
        <v>2067540</v>
      </c>
      <c r="J79" s="1930">
        <v>575979</v>
      </c>
      <c r="K79" s="1930">
        <v>0</v>
      </c>
      <c r="L79" s="347"/>
    </row>
    <row r="80" spans="1:12" x14ac:dyDescent="0.2">
      <c r="A80" s="2197" t="s">
        <v>1792</v>
      </c>
      <c r="B80" s="2198"/>
      <c r="C80" s="466"/>
      <c r="D80" s="466"/>
      <c r="E80" s="466"/>
      <c r="F80" s="466"/>
      <c r="G80" s="466"/>
      <c r="H80" s="466"/>
      <c r="I80" s="466"/>
      <c r="J80" s="466"/>
      <c r="K80" s="466"/>
      <c r="L80" s="347"/>
    </row>
    <row r="81" spans="1:12" ht="13.5" thickBot="1" x14ac:dyDescent="0.25">
      <c r="A81" s="2189" t="s">
        <v>1947</v>
      </c>
      <c r="B81" s="2190"/>
      <c r="C81" s="1661">
        <f>(SUM(C78:C80))</f>
        <v>21166013</v>
      </c>
      <c r="D81" s="1661">
        <f>SUM(D78:D80)</f>
        <v>6804414</v>
      </c>
      <c r="E81" s="1661">
        <f t="shared" ref="E81:K81" si="10">SUM(E78:E80)</f>
        <v>4133737</v>
      </c>
      <c r="F81" s="1661">
        <f t="shared" si="10"/>
        <v>3420321</v>
      </c>
      <c r="G81" s="1661">
        <f t="shared" si="10"/>
        <v>1425893</v>
      </c>
      <c r="H81" s="1661">
        <f t="shared" si="10"/>
        <v>2348802</v>
      </c>
      <c r="I81" s="1661">
        <f t="shared" si="10"/>
        <v>2242822</v>
      </c>
      <c r="J81" s="1661">
        <f t="shared" si="10"/>
        <v>386649</v>
      </c>
      <c r="K81" s="1661">
        <f t="shared" si="10"/>
        <v>0</v>
      </c>
      <c r="L81" s="347"/>
    </row>
    <row r="82" spans="1:12" ht="0.75" customHeight="1" thickTop="1" thickBot="1" x14ac:dyDescent="0.25">
      <c r="A82" s="526" t="s">
        <v>343</v>
      </c>
      <c r="B82" s="527"/>
      <c r="C82" s="528">
        <f>(C81-C79)</f>
        <v>-988676</v>
      </c>
      <c r="D82" s="528">
        <f t="shared" ref="D82:K82" si="11">(D81-D79)</f>
        <v>732233</v>
      </c>
      <c r="E82" s="528">
        <f t="shared" si="11"/>
        <v>-301885</v>
      </c>
      <c r="F82" s="528">
        <f t="shared" si="11"/>
        <v>566530</v>
      </c>
      <c r="G82" s="528">
        <f t="shared" si="11"/>
        <v>126909</v>
      </c>
      <c r="H82" s="528">
        <f t="shared" si="11"/>
        <v>-4849690</v>
      </c>
      <c r="I82" s="528">
        <f t="shared" si="11"/>
        <v>175282</v>
      </c>
      <c r="J82" s="528">
        <f t="shared" si="11"/>
        <v>-189330</v>
      </c>
      <c r="K82" s="528">
        <f t="shared" si="11"/>
        <v>0</v>
      </c>
    </row>
    <row r="83" spans="1:12" ht="14.25" hidden="1" thickTop="1" thickBot="1" x14ac:dyDescent="0.25">
      <c r="A83" s="529" t="s">
        <v>344</v>
      </c>
      <c r="B83" s="464"/>
      <c r="C83" s="530">
        <f>C82/C81</f>
        <v>-4.6710544872102272E-2</v>
      </c>
      <c r="D83" s="530">
        <f t="shared" ref="D83:K83" si="12">D82/D81</f>
        <v>0.10761147102454377</v>
      </c>
      <c r="E83" s="530">
        <f t="shared" si="12"/>
        <v>-7.3029561387190328E-2</v>
      </c>
      <c r="F83" s="530">
        <f t="shared" si="12"/>
        <v>0.16563650019983506</v>
      </c>
      <c r="G83" s="530">
        <f t="shared" si="12"/>
        <v>8.9003172047271428E-2</v>
      </c>
      <c r="H83" s="530">
        <f t="shared" si="12"/>
        <v>-2.0647504557642575</v>
      </c>
      <c r="I83" s="530">
        <f t="shared" si="12"/>
        <v>7.8152434745155874E-2</v>
      </c>
      <c r="J83" s="530">
        <f t="shared" si="12"/>
        <v>-0.48966892452844829</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selection activeCell="F5" sqref="F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3" t="s">
        <v>1799</v>
      </c>
      <c r="B1" s="452"/>
      <c r="C1" s="453" t="s">
        <v>425</v>
      </c>
      <c r="D1" s="453" t="s">
        <v>426</v>
      </c>
      <c r="E1" s="453" t="s">
        <v>427</v>
      </c>
      <c r="F1" s="453" t="s">
        <v>428</v>
      </c>
      <c r="G1" s="453" t="s">
        <v>429</v>
      </c>
      <c r="H1" s="453" t="s">
        <v>430</v>
      </c>
      <c r="I1" s="453" t="s">
        <v>431</v>
      </c>
      <c r="J1" s="453" t="s">
        <v>432</v>
      </c>
      <c r="K1" s="453" t="s">
        <v>756</v>
      </c>
    </row>
    <row r="2" spans="1:12" ht="36" x14ac:dyDescent="0.2">
      <c r="A2" s="2194"/>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24479703</v>
      </c>
      <c r="D5" s="477">
        <v>4315990</v>
      </c>
      <c r="E5" s="1926">
        <v>6445056</v>
      </c>
      <c r="F5" s="1934">
        <v>2018236</v>
      </c>
      <c r="G5" s="1932">
        <v>834312</v>
      </c>
      <c r="H5" s="1932">
        <v>0</v>
      </c>
      <c r="I5" s="1932">
        <v>136787</v>
      </c>
      <c r="J5" s="1936">
        <v>496985</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4939111</v>
      </c>
      <c r="D7" s="1926">
        <v>0</v>
      </c>
      <c r="E7" s="467"/>
      <c r="F7" s="1933">
        <v>0</v>
      </c>
      <c r="G7" s="1933">
        <v>0</v>
      </c>
      <c r="H7" s="1933">
        <v>0</v>
      </c>
      <c r="I7" s="467"/>
      <c r="J7" s="467"/>
      <c r="K7" s="467"/>
    </row>
    <row r="8" spans="1:12" x14ac:dyDescent="0.2">
      <c r="A8" s="463" t="s">
        <v>413</v>
      </c>
      <c r="B8" s="469">
        <v>1150</v>
      </c>
      <c r="C8" s="472"/>
      <c r="D8" s="472"/>
      <c r="E8" s="473"/>
      <c r="F8" s="473"/>
      <c r="G8" s="477">
        <v>834312</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29418814</v>
      </c>
      <c r="D12" s="1680">
        <f t="shared" si="0"/>
        <v>4315990</v>
      </c>
      <c r="E12" s="1680">
        <f t="shared" si="0"/>
        <v>6445056</v>
      </c>
      <c r="F12" s="1680">
        <f t="shared" si="0"/>
        <v>2018236</v>
      </c>
      <c r="G12" s="1680">
        <f t="shared" si="0"/>
        <v>1668624</v>
      </c>
      <c r="H12" s="1680">
        <f t="shared" si="0"/>
        <v>0</v>
      </c>
      <c r="I12" s="1680">
        <f t="shared" si="0"/>
        <v>136787</v>
      </c>
      <c r="J12" s="1680">
        <f t="shared" si="0"/>
        <v>496985</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0</v>
      </c>
      <c r="D16" s="1935">
        <v>112338</v>
      </c>
      <c r="E16" s="1935">
        <v>0</v>
      </c>
      <c r="F16" s="1935">
        <v>0</v>
      </c>
      <c r="G16" s="1935">
        <v>21028</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0</v>
      </c>
      <c r="D18" s="1683">
        <f t="shared" ref="D18:K18" si="1">SUM(D14:D17)</f>
        <v>112338</v>
      </c>
      <c r="E18" s="1683">
        <f t="shared" si="1"/>
        <v>0</v>
      </c>
      <c r="F18" s="1683">
        <f t="shared" si="1"/>
        <v>0</v>
      </c>
      <c r="G18" s="1683">
        <f t="shared" si="1"/>
        <v>21028</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5329</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5329</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331244</v>
      </c>
      <c r="D65" s="1935">
        <v>134125</v>
      </c>
      <c r="E65" s="1935">
        <v>47743</v>
      </c>
      <c r="F65" s="1936">
        <v>42126</v>
      </c>
      <c r="G65" s="1935">
        <v>25031</v>
      </c>
      <c r="H65" s="1935">
        <v>199555</v>
      </c>
      <c r="I65" s="1935">
        <v>38495</v>
      </c>
      <c r="J65" s="1936">
        <v>11470</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331244</v>
      </c>
      <c r="D67" s="1661">
        <f t="shared" ref="D67:K67" si="2">SUM(D65:D66)</f>
        <v>134125</v>
      </c>
      <c r="E67" s="1661">
        <f t="shared" si="2"/>
        <v>47743</v>
      </c>
      <c r="F67" s="1661">
        <f t="shared" si="2"/>
        <v>42126</v>
      </c>
      <c r="G67" s="1661">
        <f t="shared" si="2"/>
        <v>25031</v>
      </c>
      <c r="H67" s="1661">
        <f t="shared" si="2"/>
        <v>199555</v>
      </c>
      <c r="I67" s="1661">
        <f t="shared" si="2"/>
        <v>38495</v>
      </c>
      <c r="J67" s="1661">
        <f t="shared" si="2"/>
        <v>11470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927197</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19963</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947160</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31743</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310070</v>
      </c>
      <c r="D79" s="1935">
        <v>25025</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0</v>
      </c>
      <c r="D81" s="1935">
        <v>0</v>
      </c>
      <c r="E81" s="467"/>
      <c r="F81" s="467"/>
      <c r="G81" s="467"/>
      <c r="H81" s="467"/>
      <c r="I81" s="467"/>
      <c r="J81" s="467"/>
      <c r="K81" s="467"/>
    </row>
    <row r="82" spans="1:11" ht="12.75" customHeight="1" thickBot="1" x14ac:dyDescent="0.25">
      <c r="A82" s="1681" t="s">
        <v>241</v>
      </c>
      <c r="B82" s="1682"/>
      <c r="C82" s="1680">
        <f>SUM(C77:C81)</f>
        <v>341813</v>
      </c>
      <c r="D82" s="1661">
        <f>SUM(D77:D81)</f>
        <v>25025</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726332</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328830</v>
      </c>
      <c r="D92" s="467"/>
      <c r="E92" s="467"/>
      <c r="F92" s="467"/>
      <c r="G92" s="467"/>
      <c r="H92" s="467"/>
      <c r="I92" s="467"/>
      <c r="J92" s="467"/>
      <c r="K92" s="467"/>
    </row>
    <row r="93" spans="1:11" ht="12.75" customHeight="1" thickBot="1" x14ac:dyDescent="0.25">
      <c r="A93" s="1681" t="s">
        <v>243</v>
      </c>
      <c r="B93" s="1682"/>
      <c r="C93" s="1661">
        <f>SUM(C84:C92)</f>
        <v>1055162</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87463</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0</v>
      </c>
      <c r="I96" s="474">
        <v>0</v>
      </c>
      <c r="J96" s="474">
        <v>0</v>
      </c>
      <c r="K96" s="474">
        <v>0</v>
      </c>
    </row>
    <row r="97" spans="1:12" ht="12.75" customHeight="1" x14ac:dyDescent="0.2">
      <c r="A97" s="1468" t="s">
        <v>244</v>
      </c>
      <c r="B97" s="547">
        <v>1930</v>
      </c>
      <c r="C97" s="1939">
        <v>46028</v>
      </c>
      <c r="D97" s="1936">
        <v>0</v>
      </c>
      <c r="E97" s="1937">
        <v>525732</v>
      </c>
      <c r="F97" s="1936">
        <v>0</v>
      </c>
      <c r="G97" s="1942">
        <v>0</v>
      </c>
      <c r="H97" s="1942">
        <v>167989</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90499</v>
      </c>
      <c r="D99" s="1935">
        <v>346</v>
      </c>
      <c r="E99" s="1935">
        <v>0</v>
      </c>
      <c r="F99" s="1935">
        <v>1549</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50438</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123485</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24620</v>
      </c>
      <c r="D107" s="1935">
        <v>81194</v>
      </c>
      <c r="E107" s="1935">
        <v>0</v>
      </c>
      <c r="F107" s="1941">
        <v>12136</v>
      </c>
      <c r="G107" s="1941">
        <v>0</v>
      </c>
      <c r="H107" s="1941">
        <v>0</v>
      </c>
      <c r="I107" s="1941">
        <v>0</v>
      </c>
      <c r="J107" s="1942">
        <v>0</v>
      </c>
      <c r="K107" s="1941">
        <v>0</v>
      </c>
    </row>
    <row r="108" spans="1:12" ht="12.75" customHeight="1" thickBot="1" x14ac:dyDescent="0.25">
      <c r="A108" s="1681" t="s">
        <v>487</v>
      </c>
      <c r="B108" s="1685"/>
      <c r="C108" s="1680">
        <f>SUM(C95:C107)</f>
        <v>335070</v>
      </c>
      <c r="D108" s="1680">
        <f t="shared" ref="D108:K108" si="3">SUM(D95:D107)</f>
        <v>169003</v>
      </c>
      <c r="E108" s="1680">
        <f t="shared" si="3"/>
        <v>525732</v>
      </c>
      <c r="F108" s="1680">
        <f t="shared" si="3"/>
        <v>13685</v>
      </c>
      <c r="G108" s="1680">
        <f t="shared" si="3"/>
        <v>0</v>
      </c>
      <c r="H108" s="1680">
        <f t="shared" si="3"/>
        <v>167989</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32429263</v>
      </c>
      <c r="D109" s="1688">
        <f t="shared" si="4"/>
        <v>4756481</v>
      </c>
      <c r="E109" s="1688">
        <f t="shared" si="4"/>
        <v>7018531</v>
      </c>
      <c r="F109" s="1688">
        <f t="shared" si="4"/>
        <v>2079376</v>
      </c>
      <c r="G109" s="1688">
        <f t="shared" si="4"/>
        <v>1714683</v>
      </c>
      <c r="H109" s="1688">
        <f t="shared" si="4"/>
        <v>367544</v>
      </c>
      <c r="I109" s="1688">
        <f t="shared" si="4"/>
        <v>175282</v>
      </c>
      <c r="J109" s="1688">
        <f t="shared" si="4"/>
        <v>508455</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6069419</v>
      </c>
      <c r="D117" s="477">
        <v>982000</v>
      </c>
      <c r="E117" s="1941">
        <v>0</v>
      </c>
      <c r="F117" s="477">
        <v>0</v>
      </c>
      <c r="G117" s="477">
        <v>0</v>
      </c>
      <c r="H117" s="1941">
        <v>0</v>
      </c>
      <c r="I117" s="467"/>
      <c r="J117" s="1942">
        <v>0</v>
      </c>
      <c r="K117" s="1941">
        <v>0</v>
      </c>
    </row>
    <row r="118" spans="1:11" ht="12.75" customHeight="1" x14ac:dyDescent="0.2">
      <c r="A118" s="463" t="s">
        <v>1796</v>
      </c>
      <c r="B118" s="550">
        <v>3002</v>
      </c>
      <c r="C118" s="1944">
        <v>0</v>
      </c>
      <c r="D118" s="1941">
        <v>0</v>
      </c>
      <c r="E118" s="1941">
        <v>0</v>
      </c>
      <c r="F118" s="1941">
        <v>0</v>
      </c>
      <c r="G118" s="1941">
        <v>0</v>
      </c>
      <c r="H118" s="1941">
        <v>0</v>
      </c>
      <c r="I118" s="467"/>
      <c r="J118" s="1942">
        <v>0</v>
      </c>
      <c r="K118" s="1941">
        <v>0</v>
      </c>
    </row>
    <row r="119" spans="1:11" ht="12.75" customHeight="1" x14ac:dyDescent="0.2">
      <c r="A119" s="463" t="s">
        <v>1797</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1933</v>
      </c>
      <c r="B120" s="550">
        <v>3030</v>
      </c>
      <c r="C120" s="1944">
        <v>0</v>
      </c>
      <c r="D120" s="1941">
        <v>0</v>
      </c>
      <c r="E120" s="1941">
        <v>0</v>
      </c>
      <c r="F120" s="1941">
        <v>0</v>
      </c>
      <c r="G120" s="1941">
        <v>0</v>
      </c>
      <c r="H120" s="1941">
        <v>0</v>
      </c>
      <c r="I120" s="467"/>
      <c r="J120" s="466">
        <v>0</v>
      </c>
      <c r="K120" s="465">
        <v>0</v>
      </c>
    </row>
    <row r="121" spans="1:11" x14ac:dyDescent="0.2">
      <c r="A121" s="1469" t="s">
        <v>1798</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6069419</v>
      </c>
      <c r="D122" s="1680">
        <f t="shared" si="5"/>
        <v>982000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328717</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8033</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336750</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42518</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24989</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67507</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2652</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46810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1071971</v>
      </c>
      <c r="G152" s="1946">
        <v>0</v>
      </c>
      <c r="H152" s="467"/>
      <c r="I152" s="467"/>
      <c r="J152" s="467"/>
      <c r="K152" s="467"/>
    </row>
    <row r="153" spans="1:11" ht="12.75" customHeight="1" x14ac:dyDescent="0.2">
      <c r="A153" s="463" t="s">
        <v>1057</v>
      </c>
      <c r="B153" s="550">
        <v>3510</v>
      </c>
      <c r="C153" s="1954">
        <v>0</v>
      </c>
      <c r="D153" s="1945">
        <v>0</v>
      </c>
      <c r="E153" s="549"/>
      <c r="F153" s="1945">
        <v>790569</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1862540</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75405</v>
      </c>
      <c r="D168" s="1961">
        <v>0</v>
      </c>
      <c r="E168" s="1961">
        <v>0</v>
      </c>
      <c r="F168" s="1961">
        <v>0</v>
      </c>
      <c r="G168" s="1962">
        <v>0</v>
      </c>
      <c r="H168" s="1963">
        <v>0</v>
      </c>
      <c r="I168" s="1962">
        <v>0</v>
      </c>
      <c r="J168" s="1962">
        <v>0</v>
      </c>
      <c r="K168" s="1963">
        <v>0</v>
      </c>
    </row>
    <row r="169" spans="1:11" ht="12.75" customHeight="1" thickTop="1" thickBot="1" x14ac:dyDescent="0.25">
      <c r="A169" s="2213" t="s">
        <v>398</v>
      </c>
      <c r="B169" s="2214"/>
      <c r="C169" s="1695">
        <f t="shared" ref="C169:K169" si="6">SUM(C132,C141,C145,C146:C150,C155,C156:C167,C168)</f>
        <v>529124</v>
      </c>
      <c r="D169" s="1695">
        <f t="shared" si="6"/>
        <v>0</v>
      </c>
      <c r="E169" s="1695">
        <f t="shared" si="6"/>
        <v>0</v>
      </c>
      <c r="F169" s="1695">
        <f t="shared" si="6"/>
        <v>1862540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6598543</v>
      </c>
      <c r="D170" s="1688">
        <f t="shared" si="7"/>
        <v>982000</v>
      </c>
      <c r="E170" s="1688">
        <f t="shared" si="7"/>
        <v>0</v>
      </c>
      <c r="F170" s="1688">
        <f t="shared" si="7"/>
        <v>1862540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5" t="s">
        <v>1492</v>
      </c>
      <c r="B172" s="2216"/>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19" t="s">
        <v>1665</v>
      </c>
      <c r="B175" s="2220"/>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3" t="s">
        <v>1664</v>
      </c>
      <c r="B176" s="2224"/>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1" t="s">
        <v>785</v>
      </c>
      <c r="B181" s="2222"/>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7" t="s">
        <v>1800</v>
      </c>
      <c r="B182" s="2218"/>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233175</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233175</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343865</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343865</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5837</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401493</v>
      </c>
      <c r="D213" s="1945">
        <v>0</v>
      </c>
      <c r="E213" s="467"/>
      <c r="F213" s="1945">
        <v>0</v>
      </c>
      <c r="G213" s="1945">
        <v>0</v>
      </c>
      <c r="H213" s="467"/>
      <c r="I213" s="467"/>
      <c r="J213" s="467"/>
      <c r="K213" s="467"/>
    </row>
    <row r="214" spans="1:11" ht="12.75" customHeight="1" x14ac:dyDescent="0.2">
      <c r="A214" s="463" t="s">
        <v>1054</v>
      </c>
      <c r="B214" s="469">
        <v>4625</v>
      </c>
      <c r="C214" s="1954">
        <v>12690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420020</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46014</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46014</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25092</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43556</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1934</v>
      </c>
      <c r="B261" s="469">
        <v>4981</v>
      </c>
      <c r="C261" s="1986">
        <v>0</v>
      </c>
      <c r="D261" s="1987">
        <v>0</v>
      </c>
      <c r="E261" s="467"/>
      <c r="F261" s="1987">
        <v>0</v>
      </c>
      <c r="G261" s="1987">
        <v>0</v>
      </c>
      <c r="H261" s="467"/>
      <c r="I261" s="467"/>
      <c r="J261" s="467"/>
      <c r="K261" s="467"/>
    </row>
    <row r="262" spans="1:11" ht="12.75" customHeight="1" thickTop="1" thickBot="1" x14ac:dyDescent="0.25">
      <c r="A262" s="1904" t="s">
        <v>1935</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77377</v>
      </c>
      <c r="D263" s="1980">
        <v>0</v>
      </c>
      <c r="E263" s="467"/>
      <c r="F263" s="1980">
        <v>0</v>
      </c>
      <c r="G263" s="1980">
        <v>0</v>
      </c>
      <c r="H263" s="467"/>
      <c r="I263" s="467"/>
      <c r="J263" s="467"/>
      <c r="K263" s="467"/>
    </row>
    <row r="264" spans="1:11" ht="12.75" customHeight="1" thickTop="1" thickBot="1" x14ac:dyDescent="0.25">
      <c r="A264" s="463" t="s">
        <v>377</v>
      </c>
      <c r="B264" s="469">
        <v>4992</v>
      </c>
      <c r="C264" s="1979">
        <v>76496</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1265595</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1265595</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40293401</v>
      </c>
      <c r="D268" s="1688">
        <f t="shared" si="12"/>
        <v>5738481</v>
      </c>
      <c r="E268" s="1688">
        <f t="shared" si="12"/>
        <v>7018531</v>
      </c>
      <c r="F268" s="1688">
        <f t="shared" si="12"/>
        <v>3941916</v>
      </c>
      <c r="G268" s="1688">
        <f t="shared" si="12"/>
        <v>1714683</v>
      </c>
      <c r="H268" s="1688">
        <f t="shared" si="12"/>
        <v>367544</v>
      </c>
      <c r="I268" s="1688">
        <f t="shared" si="12"/>
        <v>175282</v>
      </c>
      <c r="J268" s="1688">
        <f t="shared" si="12"/>
        <v>508455</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6" activePane="bottomLeft" state="frozen"/>
      <selection activeCell="AF22" sqref="AF22"/>
      <selection pane="bottomLeft"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3"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5"/>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1" t="s">
        <v>297</v>
      </c>
      <c r="B3" s="2232"/>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14252647</v>
      </c>
      <c r="D5" s="1967">
        <v>4290643</v>
      </c>
      <c r="E5" s="1967">
        <v>304399</v>
      </c>
      <c r="F5" s="1967">
        <v>1726943</v>
      </c>
      <c r="G5" s="1967">
        <v>183990</v>
      </c>
      <c r="H5" s="1967">
        <v>300</v>
      </c>
      <c r="I5" s="1968">
        <v>39316</v>
      </c>
      <c r="J5" s="1968">
        <v>0</v>
      </c>
      <c r="K5" s="1644">
        <f>SUM(C5:J5)</f>
        <v>20798238</v>
      </c>
      <c r="L5" s="1989">
        <v>21553227</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1912815</v>
      </c>
      <c r="D8" s="1967">
        <v>383154</v>
      </c>
      <c r="E8" s="1967">
        <v>5479</v>
      </c>
      <c r="F8" s="1967">
        <v>37254</v>
      </c>
      <c r="G8" s="1967">
        <v>0</v>
      </c>
      <c r="H8" s="1967">
        <v>0</v>
      </c>
      <c r="I8" s="1968">
        <v>0</v>
      </c>
      <c r="J8" s="1968">
        <v>0</v>
      </c>
      <c r="K8" s="1644">
        <f t="shared" si="0"/>
        <v>2338702</v>
      </c>
      <c r="L8" s="1989">
        <v>2512596</v>
      </c>
    </row>
    <row r="9" spans="1:14" x14ac:dyDescent="0.2">
      <c r="A9" s="1477" t="s">
        <v>721</v>
      </c>
      <c r="B9" s="591" t="s">
        <v>968</v>
      </c>
      <c r="C9" s="1968">
        <v>331995</v>
      </c>
      <c r="D9" s="1968">
        <v>85191</v>
      </c>
      <c r="E9" s="1968">
        <v>0</v>
      </c>
      <c r="F9" s="1968">
        <v>818</v>
      </c>
      <c r="G9" s="1990">
        <v>0</v>
      </c>
      <c r="H9" s="1968">
        <v>0</v>
      </c>
      <c r="I9" s="1968">
        <v>0</v>
      </c>
      <c r="J9" s="1968">
        <v>0</v>
      </c>
      <c r="K9" s="1644">
        <f t="shared" si="0"/>
        <v>418004</v>
      </c>
      <c r="L9" s="1989">
        <v>523155</v>
      </c>
    </row>
    <row r="10" spans="1:14" x14ac:dyDescent="0.2">
      <c r="A10" s="1477" t="s">
        <v>722</v>
      </c>
      <c r="B10" s="591">
        <v>1250</v>
      </c>
      <c r="C10" s="1967">
        <v>606548</v>
      </c>
      <c r="D10" s="1967">
        <v>176887</v>
      </c>
      <c r="E10" s="1967">
        <v>0</v>
      </c>
      <c r="F10" s="1967">
        <v>0</v>
      </c>
      <c r="G10" s="1967">
        <v>0</v>
      </c>
      <c r="H10" s="1967">
        <v>0</v>
      </c>
      <c r="I10" s="1968">
        <v>0</v>
      </c>
      <c r="J10" s="1968">
        <v>0</v>
      </c>
      <c r="K10" s="1644">
        <f t="shared" si="0"/>
        <v>783435</v>
      </c>
      <c r="L10" s="1989">
        <v>795505</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169</v>
      </c>
      <c r="F13" s="1967">
        <v>11115</v>
      </c>
      <c r="G13" s="1967">
        <v>0</v>
      </c>
      <c r="H13" s="1967">
        <v>1108</v>
      </c>
      <c r="I13" s="1968">
        <v>0</v>
      </c>
      <c r="J13" s="1968">
        <v>0</v>
      </c>
      <c r="K13" s="1644">
        <f t="shared" si="0"/>
        <v>12392</v>
      </c>
      <c r="L13" s="1989">
        <v>82300</v>
      </c>
    </row>
    <row r="14" spans="1:14" x14ac:dyDescent="0.2">
      <c r="A14" s="1477" t="s">
        <v>963</v>
      </c>
      <c r="B14" s="591">
        <v>1500</v>
      </c>
      <c r="C14" s="1967">
        <v>617392</v>
      </c>
      <c r="D14" s="1967">
        <v>106661</v>
      </c>
      <c r="E14" s="1967">
        <v>144086</v>
      </c>
      <c r="F14" s="1967">
        <v>108735</v>
      </c>
      <c r="G14" s="1967">
        <v>9560</v>
      </c>
      <c r="H14" s="1967">
        <v>35331</v>
      </c>
      <c r="I14" s="1968">
        <v>16406</v>
      </c>
      <c r="J14" s="1968">
        <v>0</v>
      </c>
      <c r="K14" s="1644">
        <f t="shared" si="0"/>
        <v>1038171</v>
      </c>
      <c r="L14" s="1989">
        <v>1038570</v>
      </c>
    </row>
    <row r="15" spans="1:14" x14ac:dyDescent="0.2">
      <c r="A15" s="1477" t="s">
        <v>964</v>
      </c>
      <c r="B15" s="591">
        <v>1600</v>
      </c>
      <c r="C15" s="1967">
        <v>0</v>
      </c>
      <c r="D15" s="1967">
        <v>0</v>
      </c>
      <c r="E15" s="1967">
        <v>0</v>
      </c>
      <c r="F15" s="1967">
        <v>0</v>
      </c>
      <c r="G15" s="1967">
        <v>0</v>
      </c>
      <c r="H15" s="1967">
        <v>0</v>
      </c>
      <c r="I15" s="1968">
        <v>0</v>
      </c>
      <c r="J15" s="1968">
        <v>0</v>
      </c>
      <c r="K15" s="1644">
        <f t="shared" si="0"/>
        <v>0</v>
      </c>
      <c r="L15" s="1989">
        <v>0</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36112</v>
      </c>
      <c r="D17" s="1968">
        <v>1859</v>
      </c>
      <c r="E17" s="1968">
        <v>0</v>
      </c>
      <c r="F17" s="1968">
        <v>1988</v>
      </c>
      <c r="G17" s="1968">
        <v>0</v>
      </c>
      <c r="H17" s="1968">
        <v>0</v>
      </c>
      <c r="I17" s="1968">
        <v>0</v>
      </c>
      <c r="J17" s="1968">
        <v>0</v>
      </c>
      <c r="K17" s="1644">
        <f t="shared" si="0"/>
        <v>39959</v>
      </c>
      <c r="L17" s="1989">
        <v>54700</v>
      </c>
    </row>
    <row r="18" spans="1:12" x14ac:dyDescent="0.2">
      <c r="A18" s="1477" t="s">
        <v>1087</v>
      </c>
      <c r="B18" s="591">
        <v>1800</v>
      </c>
      <c r="C18" s="1967">
        <v>471860</v>
      </c>
      <c r="D18" s="1967">
        <v>131970</v>
      </c>
      <c r="E18" s="1967">
        <v>6351</v>
      </c>
      <c r="F18" s="1967">
        <v>1711</v>
      </c>
      <c r="G18" s="1967">
        <v>0</v>
      </c>
      <c r="H18" s="1967">
        <v>0</v>
      </c>
      <c r="I18" s="1968">
        <v>0</v>
      </c>
      <c r="J18" s="1968">
        <v>0</v>
      </c>
      <c r="K18" s="1644">
        <f t="shared" si="0"/>
        <v>611892</v>
      </c>
      <c r="L18" s="1989">
        <v>726130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799652</v>
      </c>
      <c r="I22" s="593"/>
      <c r="J22" s="473"/>
      <c r="K22" s="1644">
        <f t="shared" si="0"/>
        <v>799652</v>
      </c>
      <c r="L22" s="1991">
        <v>800000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18229369</v>
      </c>
      <c r="D33" s="1643">
        <f t="shared" ref="D33:L33" si="1">SUM(D5:D32)</f>
        <v>5176365</v>
      </c>
      <c r="E33" s="1643">
        <f t="shared" si="1"/>
        <v>460484</v>
      </c>
      <c r="F33" s="1643">
        <f t="shared" si="1"/>
        <v>1888564</v>
      </c>
      <c r="G33" s="1643">
        <f t="shared" si="1"/>
        <v>193550</v>
      </c>
      <c r="H33" s="1643">
        <f t="shared" si="1"/>
        <v>836391</v>
      </c>
      <c r="I33" s="1643">
        <f t="shared" si="1"/>
        <v>55722</v>
      </c>
      <c r="J33" s="1643">
        <f t="shared" si="1"/>
        <v>0</v>
      </c>
      <c r="K33" s="1643">
        <f t="shared" si="1"/>
        <v>26840445</v>
      </c>
      <c r="L33" s="1643">
        <f t="shared" si="1"/>
        <v>28086183</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441682</v>
      </c>
      <c r="D36" s="477">
        <v>153213</v>
      </c>
      <c r="E36" s="477">
        <v>78</v>
      </c>
      <c r="F36" s="477">
        <v>530</v>
      </c>
      <c r="G36" s="477">
        <v>0</v>
      </c>
      <c r="H36" s="477">
        <v>75</v>
      </c>
      <c r="I36" s="1968">
        <v>0</v>
      </c>
      <c r="J36" s="1968">
        <v>0</v>
      </c>
      <c r="K36" s="1644">
        <f t="shared" ref="K36:K41" si="2">SUM(C36:J36)</f>
        <v>595578</v>
      </c>
      <c r="L36" s="1989">
        <v>593669</v>
      </c>
    </row>
    <row r="37" spans="1:14" x14ac:dyDescent="0.2">
      <c r="A37" s="1477" t="s">
        <v>1090</v>
      </c>
      <c r="B37" s="591">
        <v>2120</v>
      </c>
      <c r="C37" s="1967">
        <v>236333</v>
      </c>
      <c r="D37" s="1967">
        <v>70114</v>
      </c>
      <c r="E37" s="1967">
        <v>0</v>
      </c>
      <c r="F37" s="1967">
        <v>2457</v>
      </c>
      <c r="G37" s="1967">
        <v>0</v>
      </c>
      <c r="H37" s="1967">
        <v>0</v>
      </c>
      <c r="I37" s="1968">
        <v>0</v>
      </c>
      <c r="J37" s="1968">
        <v>0</v>
      </c>
      <c r="K37" s="1644">
        <f t="shared" si="2"/>
        <v>308904</v>
      </c>
      <c r="L37" s="1989">
        <v>344300</v>
      </c>
    </row>
    <row r="38" spans="1:14" x14ac:dyDescent="0.2">
      <c r="A38" s="1477" t="s">
        <v>198</v>
      </c>
      <c r="B38" s="591">
        <v>2130</v>
      </c>
      <c r="C38" s="1967">
        <v>259772</v>
      </c>
      <c r="D38" s="1967">
        <v>71227</v>
      </c>
      <c r="E38" s="1967">
        <v>265</v>
      </c>
      <c r="F38" s="1967">
        <v>1343</v>
      </c>
      <c r="G38" s="1967">
        <v>0</v>
      </c>
      <c r="H38" s="1967">
        <v>0</v>
      </c>
      <c r="I38" s="1968">
        <v>0</v>
      </c>
      <c r="J38" s="1968">
        <v>0</v>
      </c>
      <c r="K38" s="1644">
        <f t="shared" si="2"/>
        <v>332607</v>
      </c>
      <c r="L38" s="1989">
        <v>344730</v>
      </c>
    </row>
    <row r="39" spans="1:14" x14ac:dyDescent="0.2">
      <c r="A39" s="1477" t="s">
        <v>199</v>
      </c>
      <c r="B39" s="591">
        <v>2140</v>
      </c>
      <c r="C39" s="1967">
        <v>359065</v>
      </c>
      <c r="D39" s="1967">
        <v>106690</v>
      </c>
      <c r="E39" s="1967">
        <v>49880</v>
      </c>
      <c r="F39" s="1967">
        <v>42</v>
      </c>
      <c r="G39" s="1967">
        <v>0</v>
      </c>
      <c r="H39" s="1967">
        <v>335</v>
      </c>
      <c r="I39" s="1968">
        <v>0</v>
      </c>
      <c r="J39" s="1968">
        <v>0</v>
      </c>
      <c r="K39" s="1644">
        <f t="shared" si="2"/>
        <v>516012</v>
      </c>
      <c r="L39" s="1989">
        <v>596415</v>
      </c>
    </row>
    <row r="40" spans="1:14" x14ac:dyDescent="0.2">
      <c r="A40" s="1477" t="s">
        <v>200</v>
      </c>
      <c r="B40" s="591">
        <v>2150</v>
      </c>
      <c r="C40" s="1967">
        <v>594564</v>
      </c>
      <c r="D40" s="1967">
        <v>179510</v>
      </c>
      <c r="E40" s="1967">
        <v>26608</v>
      </c>
      <c r="F40" s="1967">
        <v>1966</v>
      </c>
      <c r="G40" s="1967">
        <v>0</v>
      </c>
      <c r="H40" s="1967">
        <v>1518</v>
      </c>
      <c r="I40" s="1968">
        <v>0</v>
      </c>
      <c r="J40" s="1968">
        <v>0</v>
      </c>
      <c r="K40" s="1644">
        <f t="shared" si="2"/>
        <v>804166</v>
      </c>
      <c r="L40" s="1989">
        <v>817930</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1891416</v>
      </c>
      <c r="D42" s="1643">
        <f t="shared" ref="D42:L42" si="3">SUM(D36:D41)</f>
        <v>580754</v>
      </c>
      <c r="E42" s="1643">
        <f t="shared" si="3"/>
        <v>76831</v>
      </c>
      <c r="F42" s="1643">
        <f t="shared" si="3"/>
        <v>6338</v>
      </c>
      <c r="G42" s="1643">
        <f t="shared" si="3"/>
        <v>0</v>
      </c>
      <c r="H42" s="1643">
        <f t="shared" si="3"/>
        <v>1928</v>
      </c>
      <c r="I42" s="1643">
        <f t="shared" si="3"/>
        <v>0</v>
      </c>
      <c r="J42" s="1643">
        <f t="shared" si="3"/>
        <v>0</v>
      </c>
      <c r="K42" s="1643">
        <f t="shared" si="3"/>
        <v>2557267</v>
      </c>
      <c r="L42" s="1643">
        <f t="shared" si="3"/>
        <v>2697044</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891929</v>
      </c>
      <c r="D44" s="477">
        <v>270157</v>
      </c>
      <c r="E44" s="477">
        <v>71315</v>
      </c>
      <c r="F44" s="477">
        <v>39240</v>
      </c>
      <c r="G44" s="477">
        <v>0</v>
      </c>
      <c r="H44" s="477">
        <v>77618</v>
      </c>
      <c r="I44" s="1968">
        <v>0</v>
      </c>
      <c r="J44" s="1968">
        <v>0</v>
      </c>
      <c r="K44" s="1645">
        <f>SUM(C44:J44)</f>
        <v>1350259</v>
      </c>
      <c r="L44" s="477">
        <v>1495903</v>
      </c>
    </row>
    <row r="45" spans="1:14" x14ac:dyDescent="0.2">
      <c r="A45" s="1477" t="s">
        <v>815</v>
      </c>
      <c r="B45" s="591">
        <v>2220</v>
      </c>
      <c r="C45" s="1967">
        <v>277416</v>
      </c>
      <c r="D45" s="1967">
        <v>75923</v>
      </c>
      <c r="E45" s="1967">
        <v>132</v>
      </c>
      <c r="F45" s="1967">
        <v>45413</v>
      </c>
      <c r="G45" s="1967">
        <v>0</v>
      </c>
      <c r="H45" s="1967">
        <v>0</v>
      </c>
      <c r="I45" s="1968">
        <v>3657</v>
      </c>
      <c r="J45" s="1968">
        <v>0</v>
      </c>
      <c r="K45" s="1645">
        <f>SUM(C45:J45)</f>
        <v>402541</v>
      </c>
      <c r="L45" s="1989">
        <v>429482</v>
      </c>
    </row>
    <row r="46" spans="1:14" x14ac:dyDescent="0.2">
      <c r="A46" s="1477" t="s">
        <v>816</v>
      </c>
      <c r="B46" s="591">
        <v>2230</v>
      </c>
      <c r="C46" s="1967">
        <v>0</v>
      </c>
      <c r="D46" s="1967">
        <v>0</v>
      </c>
      <c r="E46" s="1967">
        <v>18589</v>
      </c>
      <c r="F46" s="1967">
        <v>0</v>
      </c>
      <c r="G46" s="1967">
        <v>0</v>
      </c>
      <c r="H46" s="1967">
        <v>0</v>
      </c>
      <c r="I46" s="1968">
        <v>0</v>
      </c>
      <c r="J46" s="1968">
        <v>0</v>
      </c>
      <c r="K46" s="1645">
        <f>SUM(C46:J46)</f>
        <v>18589</v>
      </c>
      <c r="L46" s="1989">
        <v>15000</v>
      </c>
    </row>
    <row r="47" spans="1:14" ht="12.75" customHeight="1" thickBot="1" x14ac:dyDescent="0.25">
      <c r="A47" s="1641" t="s">
        <v>561</v>
      </c>
      <c r="B47" s="1642" t="s">
        <v>32</v>
      </c>
      <c r="C47" s="1643">
        <f>SUM(C44:C46)</f>
        <v>1169345</v>
      </c>
      <c r="D47" s="1643">
        <f t="shared" ref="D47:K47" si="4">SUM(D44:D46)</f>
        <v>346080</v>
      </c>
      <c r="E47" s="1643">
        <f t="shared" si="4"/>
        <v>90036</v>
      </c>
      <c r="F47" s="1643">
        <f t="shared" si="4"/>
        <v>84653</v>
      </c>
      <c r="G47" s="1643">
        <f t="shared" si="4"/>
        <v>0</v>
      </c>
      <c r="H47" s="1643">
        <f t="shared" si="4"/>
        <v>77618</v>
      </c>
      <c r="I47" s="1643">
        <f t="shared" si="4"/>
        <v>3657</v>
      </c>
      <c r="J47" s="1643">
        <f t="shared" si="4"/>
        <v>0</v>
      </c>
      <c r="K47" s="1643">
        <f t="shared" si="4"/>
        <v>1771389</v>
      </c>
      <c r="L47" s="1643">
        <f>SUM(L44:L46)</f>
        <v>1940385</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80837</v>
      </c>
      <c r="F49" s="477">
        <v>13895</v>
      </c>
      <c r="G49" s="477">
        <v>0</v>
      </c>
      <c r="H49" s="477">
        <v>51314</v>
      </c>
      <c r="I49" s="1968">
        <v>0</v>
      </c>
      <c r="J49" s="1968">
        <v>0</v>
      </c>
      <c r="K49" s="1645">
        <f>SUM(C49:J49)</f>
        <v>146046</v>
      </c>
      <c r="L49" s="477">
        <v>159500</v>
      </c>
    </row>
    <row r="50" spans="1:14" x14ac:dyDescent="0.2">
      <c r="A50" s="1477" t="s">
        <v>818</v>
      </c>
      <c r="B50" s="591">
        <v>2320</v>
      </c>
      <c r="C50" s="1967">
        <v>418120</v>
      </c>
      <c r="D50" s="1967">
        <v>149093</v>
      </c>
      <c r="E50" s="1967">
        <v>3556</v>
      </c>
      <c r="F50" s="1967">
        <v>9883</v>
      </c>
      <c r="G50" s="1967">
        <v>0</v>
      </c>
      <c r="H50" s="1967">
        <v>22620</v>
      </c>
      <c r="I50" s="1968">
        <v>0</v>
      </c>
      <c r="J50" s="1968">
        <v>0</v>
      </c>
      <c r="K50" s="1645">
        <f>SUM(C50:J50)</f>
        <v>603272</v>
      </c>
      <c r="L50" s="1989">
        <v>613573</v>
      </c>
    </row>
    <row r="51" spans="1:14" x14ac:dyDescent="0.2">
      <c r="A51" s="1477" t="s">
        <v>42</v>
      </c>
      <c r="B51" s="591">
        <v>2330</v>
      </c>
      <c r="C51" s="1967">
        <v>213739</v>
      </c>
      <c r="D51" s="1967">
        <v>56374</v>
      </c>
      <c r="E51" s="1967">
        <v>2078</v>
      </c>
      <c r="F51" s="1967">
        <v>1006</v>
      </c>
      <c r="G51" s="1967">
        <v>0</v>
      </c>
      <c r="H51" s="1967">
        <v>665</v>
      </c>
      <c r="I51" s="1968">
        <v>0</v>
      </c>
      <c r="J51" s="1968">
        <v>0</v>
      </c>
      <c r="K51" s="1645">
        <f>SUM(C51:J51)</f>
        <v>273862</v>
      </c>
      <c r="L51" s="1989">
        <v>289870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631859</v>
      </c>
      <c r="D53" s="1643">
        <f t="shared" ref="D53:L53" si="5">SUM(D49:D52)</f>
        <v>205467</v>
      </c>
      <c r="E53" s="1643">
        <f t="shared" si="5"/>
        <v>86471</v>
      </c>
      <c r="F53" s="1643">
        <f t="shared" si="5"/>
        <v>24784</v>
      </c>
      <c r="G53" s="1643">
        <f t="shared" si="5"/>
        <v>0</v>
      </c>
      <c r="H53" s="1643">
        <f t="shared" si="5"/>
        <v>74599</v>
      </c>
      <c r="I53" s="1643">
        <f t="shared" si="5"/>
        <v>0</v>
      </c>
      <c r="J53" s="1643">
        <f t="shared" si="5"/>
        <v>0</v>
      </c>
      <c r="K53" s="1643">
        <f t="shared" si="5"/>
        <v>1023180</v>
      </c>
      <c r="L53" s="1643">
        <f t="shared" si="5"/>
        <v>1062943</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1904337</v>
      </c>
      <c r="D55" s="477">
        <v>611490</v>
      </c>
      <c r="E55" s="477">
        <v>367892</v>
      </c>
      <c r="F55" s="477">
        <v>101153</v>
      </c>
      <c r="G55" s="477">
        <v>5042</v>
      </c>
      <c r="H55" s="477">
        <v>6020</v>
      </c>
      <c r="I55" s="1968">
        <v>34366</v>
      </c>
      <c r="J55" s="1968">
        <v>0</v>
      </c>
      <c r="K55" s="1645">
        <f>SUM(C55:J55)</f>
        <v>3030300</v>
      </c>
      <c r="L55" s="477">
        <v>3123624</v>
      </c>
    </row>
    <row r="56" spans="1:14" ht="12.75" customHeight="1" x14ac:dyDescent="0.2">
      <c r="A56" s="1481" t="s">
        <v>376</v>
      </c>
      <c r="B56" s="605">
        <v>2490</v>
      </c>
      <c r="C56" s="1967">
        <v>155927</v>
      </c>
      <c r="D56" s="1967">
        <v>55350</v>
      </c>
      <c r="E56" s="1967">
        <v>0</v>
      </c>
      <c r="F56" s="1967">
        <v>0</v>
      </c>
      <c r="G56" s="1967">
        <v>0</v>
      </c>
      <c r="H56" s="1967">
        <v>0</v>
      </c>
      <c r="I56" s="1968">
        <v>0</v>
      </c>
      <c r="J56" s="1968">
        <v>0</v>
      </c>
      <c r="K56" s="1645">
        <f>SUM(C56:J56)</f>
        <v>211277</v>
      </c>
      <c r="L56" s="1989">
        <v>240105</v>
      </c>
    </row>
    <row r="57" spans="1:14" s="343" customFormat="1" ht="12.75" customHeight="1" thickBot="1" x14ac:dyDescent="0.25">
      <c r="A57" s="1641" t="s">
        <v>263</v>
      </c>
      <c r="B57" s="1646" t="s">
        <v>34</v>
      </c>
      <c r="C57" s="1647">
        <f>SUM(C55:C56)</f>
        <v>2060264</v>
      </c>
      <c r="D57" s="1647">
        <f t="shared" ref="D57:K57" si="6">SUM(D55:D56)</f>
        <v>666840</v>
      </c>
      <c r="E57" s="1647">
        <f t="shared" si="6"/>
        <v>367892</v>
      </c>
      <c r="F57" s="1647">
        <f t="shared" si="6"/>
        <v>101153</v>
      </c>
      <c r="G57" s="1647">
        <f t="shared" si="6"/>
        <v>5042</v>
      </c>
      <c r="H57" s="1647">
        <f t="shared" si="6"/>
        <v>6020</v>
      </c>
      <c r="I57" s="1647">
        <f t="shared" si="6"/>
        <v>34366</v>
      </c>
      <c r="J57" s="1647">
        <f t="shared" si="6"/>
        <v>0</v>
      </c>
      <c r="K57" s="1647">
        <f t="shared" si="6"/>
        <v>3241577</v>
      </c>
      <c r="L57" s="1643">
        <f>SUM(L55:L56)</f>
        <v>3363729</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59854</v>
      </c>
      <c r="D59" s="477">
        <v>12349</v>
      </c>
      <c r="E59" s="477">
        <v>498</v>
      </c>
      <c r="F59" s="477">
        <v>35</v>
      </c>
      <c r="G59" s="477">
        <v>0</v>
      </c>
      <c r="H59" s="477">
        <v>1404</v>
      </c>
      <c r="I59" s="1968">
        <v>0</v>
      </c>
      <c r="J59" s="1968">
        <v>0</v>
      </c>
      <c r="K59" s="1645">
        <f t="shared" ref="K59:K64" si="7">SUM(C59:J59)</f>
        <v>74140</v>
      </c>
      <c r="L59" s="477">
        <v>73055</v>
      </c>
      <c r="M59" s="586"/>
      <c r="N59" s="586"/>
    </row>
    <row r="60" spans="1:14" s="343" customFormat="1" x14ac:dyDescent="0.2">
      <c r="A60" s="1477" t="s">
        <v>463</v>
      </c>
      <c r="B60" s="591">
        <v>2520</v>
      </c>
      <c r="C60" s="1967">
        <v>256185</v>
      </c>
      <c r="D60" s="1967">
        <v>85454</v>
      </c>
      <c r="E60" s="1967">
        <v>178931</v>
      </c>
      <c r="F60" s="1967">
        <v>22383</v>
      </c>
      <c r="G60" s="1967">
        <v>0</v>
      </c>
      <c r="H60" s="1967">
        <v>3310</v>
      </c>
      <c r="I60" s="1968">
        <v>3402</v>
      </c>
      <c r="J60" s="1968">
        <v>0</v>
      </c>
      <c r="K60" s="1645">
        <f t="shared" si="7"/>
        <v>549665</v>
      </c>
      <c r="L60" s="1989">
        <v>593155</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6563</v>
      </c>
      <c r="F62" s="1967">
        <v>0</v>
      </c>
      <c r="G62" s="1967">
        <v>0</v>
      </c>
      <c r="H62" s="1967">
        <v>0</v>
      </c>
      <c r="I62" s="1968">
        <v>0</v>
      </c>
      <c r="J62" s="1968">
        <v>0</v>
      </c>
      <c r="K62" s="1645">
        <f t="shared" si="7"/>
        <v>6563</v>
      </c>
      <c r="L62" s="1989">
        <v>4500</v>
      </c>
      <c r="M62" s="586"/>
      <c r="N62" s="586"/>
    </row>
    <row r="63" spans="1:14" s="586" customFormat="1" x14ac:dyDescent="0.2">
      <c r="A63" s="1477" t="s">
        <v>100</v>
      </c>
      <c r="B63" s="591">
        <v>2560</v>
      </c>
      <c r="C63" s="1967">
        <v>512309</v>
      </c>
      <c r="D63" s="1967">
        <v>19845</v>
      </c>
      <c r="E63" s="1967">
        <v>60731</v>
      </c>
      <c r="F63" s="1967">
        <v>595399</v>
      </c>
      <c r="G63" s="1967">
        <v>0</v>
      </c>
      <c r="H63" s="1967">
        <v>8834</v>
      </c>
      <c r="I63" s="1968">
        <v>9438</v>
      </c>
      <c r="J63" s="1968">
        <v>0</v>
      </c>
      <c r="K63" s="1645">
        <f t="shared" si="7"/>
        <v>1206556</v>
      </c>
      <c r="L63" s="1989">
        <v>1264550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828348</v>
      </c>
      <c r="D65" s="1643">
        <f t="shared" ref="D65:L65" si="8">SUM(D59:D64)</f>
        <v>117648</v>
      </c>
      <c r="E65" s="1643">
        <f t="shared" si="8"/>
        <v>246723</v>
      </c>
      <c r="F65" s="1643">
        <f t="shared" si="8"/>
        <v>617817</v>
      </c>
      <c r="G65" s="1643">
        <f t="shared" si="8"/>
        <v>0</v>
      </c>
      <c r="H65" s="1643">
        <f t="shared" si="8"/>
        <v>13548</v>
      </c>
      <c r="I65" s="1643">
        <f t="shared" si="8"/>
        <v>12840</v>
      </c>
      <c r="J65" s="1643">
        <f t="shared" si="8"/>
        <v>0</v>
      </c>
      <c r="K65" s="1643">
        <f t="shared" si="8"/>
        <v>1836924</v>
      </c>
      <c r="L65" s="1643">
        <f t="shared" si="8"/>
        <v>1935260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1324</v>
      </c>
      <c r="M70" s="586"/>
      <c r="N70" s="586"/>
    </row>
    <row r="71" spans="1:14" s="343" customFormat="1" x14ac:dyDescent="0.2">
      <c r="A71" s="1477" t="s">
        <v>404</v>
      </c>
      <c r="B71" s="591">
        <v>2660</v>
      </c>
      <c r="C71" s="1967">
        <v>497883</v>
      </c>
      <c r="D71" s="1967">
        <v>113682</v>
      </c>
      <c r="E71" s="1967">
        <v>413866</v>
      </c>
      <c r="F71" s="1967">
        <v>112499</v>
      </c>
      <c r="G71" s="1967">
        <v>107398</v>
      </c>
      <c r="H71" s="1967">
        <v>970</v>
      </c>
      <c r="I71" s="1968">
        <v>202187</v>
      </c>
      <c r="J71" s="1968">
        <v>0</v>
      </c>
      <c r="K71" s="1645">
        <f>SUM(C71:J71)</f>
        <v>1448485</v>
      </c>
      <c r="L71" s="1989">
        <v>1436510</v>
      </c>
      <c r="M71" s="586"/>
      <c r="N71" s="586"/>
    </row>
    <row r="72" spans="1:14" s="343" customFormat="1" ht="12.75" customHeight="1" thickBot="1" x14ac:dyDescent="0.25">
      <c r="A72" s="1641" t="s">
        <v>37</v>
      </c>
      <c r="B72" s="1648" t="s">
        <v>36</v>
      </c>
      <c r="C72" s="1643">
        <f>SUM(C67:C71)</f>
        <v>497883</v>
      </c>
      <c r="D72" s="1643">
        <f t="shared" ref="D72:K72" si="9">SUM(D67:D71)</f>
        <v>113682</v>
      </c>
      <c r="E72" s="1643">
        <f t="shared" si="9"/>
        <v>413866</v>
      </c>
      <c r="F72" s="1643">
        <f t="shared" si="9"/>
        <v>112499</v>
      </c>
      <c r="G72" s="1643">
        <f t="shared" si="9"/>
        <v>107398</v>
      </c>
      <c r="H72" s="1643">
        <f t="shared" si="9"/>
        <v>970</v>
      </c>
      <c r="I72" s="1643">
        <f t="shared" si="9"/>
        <v>202187</v>
      </c>
      <c r="J72" s="1643">
        <f t="shared" si="9"/>
        <v>0</v>
      </c>
      <c r="K72" s="1643">
        <f t="shared" si="9"/>
        <v>1448485</v>
      </c>
      <c r="L72" s="1643">
        <f>SUM(L67:L71)</f>
        <v>1437834</v>
      </c>
      <c r="M72" s="586"/>
      <c r="N72" s="586"/>
    </row>
    <row r="73" spans="1:14" s="343" customFormat="1" ht="14.25" thickTop="1" thickBot="1" x14ac:dyDescent="0.25">
      <c r="A73" s="1483" t="s">
        <v>980</v>
      </c>
      <c r="B73" s="609" t="s">
        <v>574</v>
      </c>
      <c r="C73" s="1978">
        <v>0</v>
      </c>
      <c r="D73" s="1978">
        <v>0</v>
      </c>
      <c r="E73" s="1978">
        <v>21805</v>
      </c>
      <c r="F73" s="1978">
        <v>0</v>
      </c>
      <c r="G73" s="1978">
        <v>0</v>
      </c>
      <c r="H73" s="1978">
        <v>0</v>
      </c>
      <c r="I73" s="1975">
        <v>0</v>
      </c>
      <c r="J73" s="1975">
        <v>0</v>
      </c>
      <c r="K73" s="1643">
        <f>SUM(C73:J73)</f>
        <v>21805</v>
      </c>
      <c r="L73" s="2002">
        <v>23382</v>
      </c>
      <c r="M73" s="586"/>
      <c r="N73" s="586"/>
    </row>
    <row r="74" spans="1:14" ht="12.75" customHeight="1" thickTop="1" thickBot="1" x14ac:dyDescent="0.25">
      <c r="A74" s="1641" t="s">
        <v>811</v>
      </c>
      <c r="B74" s="1649">
        <v>2000</v>
      </c>
      <c r="C74" s="1650">
        <f>SUM(C42,C47,C53,C57,C65,C72,C73)</f>
        <v>7079115</v>
      </c>
      <c r="D74" s="1650">
        <f t="shared" ref="D74:K74" si="10">SUM(D42,D47,D53,D57,D65,D72,D73)</f>
        <v>2030471</v>
      </c>
      <c r="E74" s="1650">
        <f t="shared" si="10"/>
        <v>1303624</v>
      </c>
      <c r="F74" s="1650">
        <f t="shared" si="10"/>
        <v>947244</v>
      </c>
      <c r="G74" s="1650">
        <f t="shared" si="10"/>
        <v>112440</v>
      </c>
      <c r="H74" s="1650">
        <f t="shared" si="10"/>
        <v>174683</v>
      </c>
      <c r="I74" s="1650">
        <f t="shared" si="10"/>
        <v>253050</v>
      </c>
      <c r="J74" s="1650">
        <f t="shared" si="10"/>
        <v>0</v>
      </c>
      <c r="K74" s="1650">
        <f t="shared" si="10"/>
        <v>11900627</v>
      </c>
      <c r="L74" s="1650">
        <f>SUM(L42,L47,L53,L57,L65,L72,L73)</f>
        <v>12460577</v>
      </c>
    </row>
    <row r="75" spans="1:14" s="259" customFormat="1" ht="15.75" customHeight="1" thickTop="1" thickBot="1" x14ac:dyDescent="0.25">
      <c r="A75" s="1583" t="s">
        <v>47</v>
      </c>
      <c r="B75" s="1584" t="s">
        <v>575</v>
      </c>
      <c r="C75" s="1978">
        <v>0</v>
      </c>
      <c r="D75" s="1978">
        <v>0</v>
      </c>
      <c r="E75" s="1978">
        <v>5712</v>
      </c>
      <c r="F75" s="1978">
        <v>0</v>
      </c>
      <c r="G75" s="1978">
        <v>0</v>
      </c>
      <c r="H75" s="1978">
        <v>0</v>
      </c>
      <c r="I75" s="1975">
        <v>0</v>
      </c>
      <c r="J75" s="1975">
        <v>0</v>
      </c>
      <c r="K75" s="1643">
        <f>SUM(C75:J75)</f>
        <v>5712</v>
      </c>
      <c r="L75" s="2002">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847512</v>
      </c>
      <c r="F79" s="593"/>
      <c r="G79" s="593"/>
      <c r="H79" s="1967">
        <v>0</v>
      </c>
      <c r="I79" s="473"/>
      <c r="J79" s="473"/>
      <c r="K79" s="1644">
        <f t="shared" si="11"/>
        <v>847512</v>
      </c>
      <c r="L79" s="1989">
        <v>745000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847512</v>
      </c>
      <c r="F84" s="593"/>
      <c r="G84" s="593"/>
      <c r="H84" s="1643">
        <f>SUM(H78:H83)</f>
        <v>0</v>
      </c>
      <c r="I84" s="473"/>
      <c r="J84" s="473"/>
      <c r="K84" s="1643">
        <f>SUM(K78:K83)</f>
        <v>847512</v>
      </c>
      <c r="L84" s="1643">
        <f>SUM(L78:L83)</f>
        <v>745000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1482554</v>
      </c>
      <c r="I86" s="473"/>
      <c r="J86" s="473"/>
      <c r="K86" s="1650">
        <f t="shared" ref="K86:K98" si="12">H86</f>
        <v>1482554</v>
      </c>
      <c r="L86" s="1997">
        <v>1475000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151257</v>
      </c>
      <c r="I88" s="473"/>
      <c r="J88" s="473"/>
      <c r="K88" s="1650">
        <f t="shared" si="12"/>
        <v>151257</v>
      </c>
      <c r="L88" s="1997">
        <v>150000</v>
      </c>
    </row>
    <row r="89" spans="1:12" ht="12.75" customHeight="1" thickTop="1" thickBot="1" x14ac:dyDescent="0.25">
      <c r="A89" s="1486" t="s">
        <v>701</v>
      </c>
      <c r="B89" s="616">
        <v>4270</v>
      </c>
      <c r="C89" s="593"/>
      <c r="D89" s="593"/>
      <c r="E89" s="615"/>
      <c r="F89" s="593"/>
      <c r="G89" s="593"/>
      <c r="H89" s="1968">
        <v>27930</v>
      </c>
      <c r="I89" s="473"/>
      <c r="J89" s="473"/>
      <c r="K89" s="1650">
        <f t="shared" si="12"/>
        <v>27930</v>
      </c>
      <c r="L89" s="1997">
        <v>50000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2000</v>
      </c>
    </row>
    <row r="91" spans="1:12" ht="12.75" customHeight="1" thickTop="1" thickBot="1" x14ac:dyDescent="0.25">
      <c r="A91" s="1486" t="s">
        <v>687</v>
      </c>
      <c r="B91" s="616">
        <v>4290</v>
      </c>
      <c r="C91" s="593"/>
      <c r="D91" s="593"/>
      <c r="E91" s="615"/>
      <c r="F91" s="593"/>
      <c r="G91" s="593"/>
      <c r="H91" s="1968">
        <v>26040</v>
      </c>
      <c r="I91" s="473"/>
      <c r="J91" s="473"/>
      <c r="K91" s="1650">
        <f t="shared" si="12"/>
        <v>26040</v>
      </c>
      <c r="L91" s="1997">
        <v>25000</v>
      </c>
    </row>
    <row r="92" spans="1:12" ht="14.25" thickTop="1" thickBot="1" x14ac:dyDescent="0.25">
      <c r="A92" s="1653" t="s">
        <v>1560</v>
      </c>
      <c r="B92" s="1651">
        <v>4200</v>
      </c>
      <c r="C92" s="593"/>
      <c r="D92" s="593"/>
      <c r="E92" s="615"/>
      <c r="F92" s="593"/>
      <c r="G92" s="593"/>
      <c r="H92" s="1643">
        <f>SUM(H85:H91)</f>
        <v>1687781</v>
      </c>
      <c r="I92" s="473"/>
      <c r="J92" s="473"/>
      <c r="K92" s="1650">
        <f t="shared" si="12"/>
        <v>1687781</v>
      </c>
      <c r="L92" s="1643">
        <f>SUM(L85:L91)</f>
        <v>1702000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847512</v>
      </c>
      <c r="F102" s="593"/>
      <c r="G102" s="593"/>
      <c r="H102" s="1650">
        <f>SUM(H84,H92,H100,H101)</f>
        <v>1687781</v>
      </c>
      <c r="I102" s="473"/>
      <c r="J102" s="473"/>
      <c r="K102" s="1650">
        <f>SUM(K84,K92,K100,K101)</f>
        <v>2535293</v>
      </c>
      <c r="L102" s="1650">
        <f>SUM(L84,L92,L100,L101)</f>
        <v>2447000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250000</v>
      </c>
      <c r="M113" s="590"/>
      <c r="N113" s="590"/>
    </row>
    <row r="114" spans="1:14" ht="12.75" customHeight="1" thickTop="1" thickBot="1" x14ac:dyDescent="0.25">
      <c r="A114" s="1641" t="s">
        <v>48</v>
      </c>
      <c r="B114" s="1655"/>
      <c r="C114" s="1643">
        <f>SUM(C33,C74,C75,C102,C112,C113)</f>
        <v>25308484</v>
      </c>
      <c r="D114" s="1643">
        <f t="shared" ref="D114:K114" si="13">SUM(D33,D74,D75,D102,D112,D113)</f>
        <v>7206836</v>
      </c>
      <c r="E114" s="1643">
        <f t="shared" si="13"/>
        <v>2617332</v>
      </c>
      <c r="F114" s="1643">
        <f t="shared" si="13"/>
        <v>2835808</v>
      </c>
      <c r="G114" s="1643">
        <f t="shared" si="13"/>
        <v>305990</v>
      </c>
      <c r="H114" s="1643">
        <f>SUM(H33,H74,H75,H102,H112,H113)</f>
        <v>2698855</v>
      </c>
      <c r="I114" s="1643">
        <f t="shared" si="13"/>
        <v>308772</v>
      </c>
      <c r="J114" s="1643">
        <f t="shared" si="13"/>
        <v>0</v>
      </c>
      <c r="K114" s="1643">
        <f t="shared" si="13"/>
        <v>41282077</v>
      </c>
      <c r="L114" s="1643">
        <f>SUM(L33,L74,L75,L102,L112,L113)</f>
        <v>43243760</v>
      </c>
    </row>
    <row r="115" spans="1:14" ht="13.5" thickTop="1" x14ac:dyDescent="0.2">
      <c r="A115" s="2250" t="s">
        <v>996</v>
      </c>
      <c r="B115" s="2251"/>
      <c r="C115" s="595"/>
      <c r="D115" s="595"/>
      <c r="E115" s="595"/>
      <c r="F115" s="595"/>
      <c r="G115" s="595"/>
      <c r="H115" s="595"/>
      <c r="I115" s="595"/>
      <c r="J115" s="595"/>
      <c r="K115" s="1657">
        <f>'Revenues 9-14'!C268-'Expenditures 15-22'!K114</f>
        <v>-988676</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8" t="s">
        <v>296</v>
      </c>
      <c r="B117" s="2229"/>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2057</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1625849</v>
      </c>
      <c r="D124" s="1967">
        <v>390747</v>
      </c>
      <c r="E124" s="1967">
        <v>980799</v>
      </c>
      <c r="F124" s="1967">
        <v>1215148</v>
      </c>
      <c r="G124" s="1967">
        <v>604048</v>
      </c>
      <c r="H124" s="1967">
        <v>2822</v>
      </c>
      <c r="I124" s="1968">
        <v>186835</v>
      </c>
      <c r="J124" s="1968">
        <v>0</v>
      </c>
      <c r="K124" s="1643">
        <f>SUM(C124:J124)</f>
        <v>5006248</v>
      </c>
      <c r="L124" s="1989">
        <v>6136050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1625849</v>
      </c>
      <c r="D127" s="1643">
        <f t="shared" ref="D127:L127" si="14">SUM(D122:D126)</f>
        <v>390747</v>
      </c>
      <c r="E127" s="1643">
        <f t="shared" si="14"/>
        <v>980799</v>
      </c>
      <c r="F127" s="1643">
        <f t="shared" si="14"/>
        <v>1215148</v>
      </c>
      <c r="G127" s="1643">
        <f t="shared" si="14"/>
        <v>604048</v>
      </c>
      <c r="H127" s="1643">
        <f t="shared" si="14"/>
        <v>2822</v>
      </c>
      <c r="I127" s="1643">
        <f t="shared" si="14"/>
        <v>186835</v>
      </c>
      <c r="J127" s="1643">
        <f t="shared" si="14"/>
        <v>0</v>
      </c>
      <c r="K127" s="1643">
        <f t="shared" si="14"/>
        <v>5006248</v>
      </c>
      <c r="L127" s="1643">
        <f t="shared" si="14"/>
        <v>6136050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1625849</v>
      </c>
      <c r="D129" s="1650">
        <f t="shared" ref="D129:L129" si="15">SUM(D120,D127,D128)</f>
        <v>390747</v>
      </c>
      <c r="E129" s="1650">
        <f t="shared" si="15"/>
        <v>980799</v>
      </c>
      <c r="F129" s="1650">
        <f t="shared" si="15"/>
        <v>1215148</v>
      </c>
      <c r="G129" s="1650">
        <f t="shared" si="15"/>
        <v>604048</v>
      </c>
      <c r="H129" s="1650">
        <f t="shared" si="15"/>
        <v>2822</v>
      </c>
      <c r="I129" s="1650">
        <f t="shared" si="15"/>
        <v>186835</v>
      </c>
      <c r="J129" s="1650">
        <f t="shared" si="15"/>
        <v>0</v>
      </c>
      <c r="K129" s="1650">
        <f t="shared" si="15"/>
        <v>5006248</v>
      </c>
      <c r="L129" s="1650">
        <f t="shared" si="15"/>
        <v>6136050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1842</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100000</v>
      </c>
    </row>
    <row r="151" spans="1:14" ht="12.75" customHeight="1" thickTop="1" thickBot="1" x14ac:dyDescent="0.25">
      <c r="A151" s="2240" t="s">
        <v>620</v>
      </c>
      <c r="B151" s="2222"/>
      <c r="C151" s="1643">
        <f>SUM(C129,C130,C139,C149,C150)</f>
        <v>1625849</v>
      </c>
      <c r="D151" s="1643">
        <f t="shared" ref="D151:K151" si="16">SUM(D129,D130,D139,D149,D150)</f>
        <v>390747</v>
      </c>
      <c r="E151" s="1643">
        <f t="shared" si="16"/>
        <v>980799</v>
      </c>
      <c r="F151" s="1643">
        <f t="shared" si="16"/>
        <v>1215148</v>
      </c>
      <c r="G151" s="1643">
        <f t="shared" si="16"/>
        <v>604048</v>
      </c>
      <c r="H151" s="1643">
        <f t="shared" si="16"/>
        <v>2822</v>
      </c>
      <c r="I151" s="1643">
        <f t="shared" si="16"/>
        <v>186835</v>
      </c>
      <c r="J151" s="1643">
        <f t="shared" si="16"/>
        <v>0</v>
      </c>
      <c r="K151" s="1643">
        <f t="shared" si="16"/>
        <v>5006248</v>
      </c>
      <c r="L151" s="1643">
        <f>SUM(L129,L130,L139,L149,L150)</f>
        <v>6236050</v>
      </c>
    </row>
    <row r="152" spans="1:14" ht="12.75" customHeight="1" thickTop="1" x14ac:dyDescent="0.2">
      <c r="A152" s="2243" t="s">
        <v>1178</v>
      </c>
      <c r="B152" s="2244"/>
      <c r="C152" s="595"/>
      <c r="D152" s="595"/>
      <c r="E152" s="595"/>
      <c r="F152" s="595"/>
      <c r="G152" s="595"/>
      <c r="H152" s="595"/>
      <c r="I152" s="595"/>
      <c r="J152" s="593"/>
      <c r="K152" s="1657">
        <f>'Revenues 9-14'!D268-'Expenditures 15-22'!K151</f>
        <v>732233</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8" t="s">
        <v>621</v>
      </c>
      <c r="B154" s="2230"/>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1843</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1842</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1844</v>
      </c>
      <c r="C158" s="593"/>
      <c r="D158" s="593"/>
      <c r="E158" s="593"/>
      <c r="F158" s="593"/>
      <c r="G158" s="593"/>
      <c r="H158" s="1968">
        <v>0</v>
      </c>
      <c r="I158" s="593"/>
      <c r="J158" s="593"/>
      <c r="K158" s="1644">
        <f>H158</f>
        <v>0</v>
      </c>
      <c r="L158" s="1990">
        <v>0</v>
      </c>
      <c r="M158" s="596"/>
      <c r="N158" s="596"/>
    </row>
    <row r="159" spans="1:14" s="597" customFormat="1" ht="12" x14ac:dyDescent="0.2">
      <c r="A159" s="1799" t="s">
        <v>1845</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1846</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4332740</v>
      </c>
      <c r="I169" s="593"/>
      <c r="J169" s="593"/>
      <c r="K169" s="1644">
        <f>SUM(C169:H169)</f>
        <v>4332740</v>
      </c>
      <c r="L169" s="2004">
        <v>4332740</v>
      </c>
    </row>
    <row r="170" spans="1:14" ht="33.75" customHeight="1" x14ac:dyDescent="0.2">
      <c r="A170" s="644" t="s">
        <v>1670</v>
      </c>
      <c r="B170" s="646" t="s">
        <v>31</v>
      </c>
      <c r="C170" s="593"/>
      <c r="D170" s="593"/>
      <c r="E170" s="593"/>
      <c r="F170" s="593"/>
      <c r="G170" s="593"/>
      <c r="H170" s="1973">
        <v>2982710</v>
      </c>
      <c r="I170" s="593"/>
      <c r="J170" s="593"/>
      <c r="K170" s="1644">
        <f>SUM(C170:J170)</f>
        <v>2982710</v>
      </c>
      <c r="L170" s="1995">
        <v>2982710</v>
      </c>
    </row>
    <row r="171" spans="1:14" ht="15.75" customHeight="1" x14ac:dyDescent="0.2">
      <c r="A171" s="598" t="s">
        <v>766</v>
      </c>
      <c r="B171" s="647" t="s">
        <v>84</v>
      </c>
      <c r="C171" s="593"/>
      <c r="D171" s="593"/>
      <c r="E171" s="1967">
        <v>4966</v>
      </c>
      <c r="F171" s="593"/>
      <c r="G171" s="593"/>
      <c r="H171" s="1973">
        <v>0</v>
      </c>
      <c r="I171" s="473"/>
      <c r="J171" s="593"/>
      <c r="K171" s="1644">
        <f>SUM(C171:J171)</f>
        <v>4966</v>
      </c>
      <c r="L171" s="1995">
        <v>5000</v>
      </c>
    </row>
    <row r="172" spans="1:14" ht="12.75" customHeight="1" thickBot="1" x14ac:dyDescent="0.25">
      <c r="A172" s="1641" t="s">
        <v>638</v>
      </c>
      <c r="B172" s="1642" t="s">
        <v>492</v>
      </c>
      <c r="C172" s="593"/>
      <c r="D172" s="593"/>
      <c r="E172" s="1650">
        <f>SUM(E168,E169,E170,E171)</f>
        <v>4966</v>
      </c>
      <c r="F172" s="593"/>
      <c r="G172" s="593"/>
      <c r="H172" s="1650">
        <f>SUM(H168,H169,H170,H171)</f>
        <v>7315450</v>
      </c>
      <c r="I172" s="615"/>
      <c r="J172" s="593"/>
      <c r="K172" s="1650">
        <f>SUM(K168,K169,K170,K171)</f>
        <v>7320416</v>
      </c>
      <c r="L172" s="1650">
        <f>SUM(L168,L169,L170,L171)</f>
        <v>7320450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4966</v>
      </c>
      <c r="F174" s="593"/>
      <c r="G174" s="593"/>
      <c r="H174" s="1650">
        <f>SUM(H160,H172,H173)</f>
        <v>7315450</v>
      </c>
      <c r="I174" s="615"/>
      <c r="J174" s="593"/>
      <c r="K174" s="1650">
        <f>SUM(K160,K172,K173)</f>
        <v>7320416</v>
      </c>
      <c r="L174" s="1650">
        <f>SUM(L160,L172,L173)</f>
        <v>7320450</v>
      </c>
    </row>
    <row r="175" spans="1:14" ht="13.5" thickTop="1" x14ac:dyDescent="0.2">
      <c r="A175" s="2250" t="s">
        <v>996</v>
      </c>
      <c r="B175" s="2251"/>
      <c r="C175" s="593"/>
      <c r="D175" s="593"/>
      <c r="E175" s="593"/>
      <c r="F175" s="593"/>
      <c r="G175" s="593"/>
      <c r="H175" s="595"/>
      <c r="I175" s="593"/>
      <c r="J175" s="593"/>
      <c r="K175" s="1657">
        <f>'Revenues 9-14'!E268-'Expenditures 15-22'!K174</f>
        <v>-301885</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2057</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2061051</v>
      </c>
      <c r="D182" s="1967">
        <v>83264</v>
      </c>
      <c r="E182" s="1967">
        <v>907958</v>
      </c>
      <c r="F182" s="1967">
        <v>314809</v>
      </c>
      <c r="G182" s="1967">
        <v>0</v>
      </c>
      <c r="H182" s="1967">
        <v>5285</v>
      </c>
      <c r="I182" s="1968">
        <v>3019</v>
      </c>
      <c r="J182" s="1968">
        <v>0</v>
      </c>
      <c r="K182" s="1644">
        <f>SUM(C182:J182)</f>
        <v>3375386</v>
      </c>
      <c r="L182" s="1989">
        <v>3601150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2061051</v>
      </c>
      <c r="D184" s="1650">
        <f t="shared" ref="D184:J184" si="17">SUM(D180,D182,D183)</f>
        <v>83264</v>
      </c>
      <c r="E184" s="1650">
        <f t="shared" si="17"/>
        <v>907958</v>
      </c>
      <c r="F184" s="1650">
        <f t="shared" si="17"/>
        <v>314809</v>
      </c>
      <c r="G184" s="1650">
        <f t="shared" si="17"/>
        <v>0</v>
      </c>
      <c r="H184" s="1650">
        <f t="shared" si="17"/>
        <v>5285</v>
      </c>
      <c r="I184" s="1650">
        <f t="shared" si="17"/>
        <v>3019</v>
      </c>
      <c r="J184" s="1650">
        <f t="shared" si="17"/>
        <v>0</v>
      </c>
      <c r="K184" s="1650">
        <f>SUM(K180,K182,K183)</f>
        <v>3375386</v>
      </c>
      <c r="L184" s="1650">
        <f>SUM(L180, L182:L183)</f>
        <v>3601150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100000</v>
      </c>
    </row>
    <row r="210" spans="1:14" ht="12.75" customHeight="1" thickTop="1" thickBot="1" x14ac:dyDescent="0.25">
      <c r="A210" s="1665" t="s">
        <v>277</v>
      </c>
      <c r="B210" s="1666"/>
      <c r="C210" s="1643">
        <f>SUM(C184,C185)</f>
        <v>2061051</v>
      </c>
      <c r="D210" s="1643">
        <f>SUM(D184,D185)</f>
        <v>83264</v>
      </c>
      <c r="E210" s="1643">
        <f>SUM(E184,E185,E196)</f>
        <v>907958</v>
      </c>
      <c r="F210" s="1643">
        <f>SUM(F184,F185)</f>
        <v>314809</v>
      </c>
      <c r="G210" s="1643">
        <f>SUM(G184,G185)</f>
        <v>0</v>
      </c>
      <c r="H210" s="1643">
        <f>SUM(H184,H185,H196,H208,H209)</f>
        <v>5285</v>
      </c>
      <c r="I210" s="1643">
        <f>SUM(I184,I185)</f>
        <v>3019</v>
      </c>
      <c r="J210" s="1643">
        <f>SUM(J184,J185)</f>
        <v>0</v>
      </c>
      <c r="K210" s="1644">
        <f>SUM(K184,K185,K196,K208,K209)</f>
        <v>3375386</v>
      </c>
      <c r="L210" s="1643">
        <f>SUM(L184,L185,L196,L208,L209)</f>
        <v>3701150</v>
      </c>
    </row>
    <row r="211" spans="1:14" ht="13.5" thickTop="1" x14ac:dyDescent="0.2">
      <c r="A211" s="2250" t="s">
        <v>996</v>
      </c>
      <c r="B211" s="2251"/>
      <c r="C211" s="595"/>
      <c r="D211" s="595"/>
      <c r="E211" s="595"/>
      <c r="F211" s="595"/>
      <c r="G211" s="595"/>
      <c r="H211" s="595"/>
      <c r="I211" s="593"/>
      <c r="J211" s="593"/>
      <c r="K211" s="1657">
        <f>'Revenues 9-14'!F268-'Expenditures 15-22'!K210</f>
        <v>566530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5" t="s">
        <v>965</v>
      </c>
      <c r="B213" s="2246"/>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210805</v>
      </c>
      <c r="E215" s="593"/>
      <c r="F215" s="593"/>
      <c r="G215" s="593"/>
      <c r="H215" s="593"/>
      <c r="I215" s="593"/>
      <c r="J215" s="593"/>
      <c r="K215" s="1644">
        <f>D215</f>
        <v>210805</v>
      </c>
      <c r="L215" s="1989">
        <v>160550</v>
      </c>
    </row>
    <row r="216" spans="1:14" x14ac:dyDescent="0.2">
      <c r="A216" s="1477" t="s">
        <v>163</v>
      </c>
      <c r="B216" s="591" t="s">
        <v>967</v>
      </c>
      <c r="C216" s="593"/>
      <c r="D216" s="1968">
        <v>0</v>
      </c>
      <c r="E216" s="593"/>
      <c r="F216" s="593"/>
      <c r="G216" s="593"/>
      <c r="H216" s="593"/>
      <c r="I216" s="593"/>
      <c r="J216" s="593"/>
      <c r="K216" s="1644">
        <f t="shared" ref="K216:K228" si="19">D216</f>
        <v>0</v>
      </c>
      <c r="L216" s="1989">
        <v>76200</v>
      </c>
    </row>
    <row r="217" spans="1:14" x14ac:dyDescent="0.2">
      <c r="A217" s="1477" t="s">
        <v>164</v>
      </c>
      <c r="B217" s="591">
        <v>1200</v>
      </c>
      <c r="C217" s="593"/>
      <c r="D217" s="1967">
        <v>122274</v>
      </c>
      <c r="E217" s="593"/>
      <c r="F217" s="593"/>
      <c r="G217" s="593"/>
      <c r="H217" s="593"/>
      <c r="I217" s="593"/>
      <c r="J217" s="593"/>
      <c r="K217" s="1644">
        <f t="shared" si="19"/>
        <v>122274</v>
      </c>
      <c r="L217" s="1989">
        <v>150700</v>
      </c>
    </row>
    <row r="218" spans="1:14" x14ac:dyDescent="0.2">
      <c r="A218" s="1477" t="s">
        <v>278</v>
      </c>
      <c r="B218" s="591" t="s">
        <v>968</v>
      </c>
      <c r="C218" s="593"/>
      <c r="D218" s="1968">
        <v>17899</v>
      </c>
      <c r="E218" s="593"/>
      <c r="F218" s="593"/>
      <c r="G218" s="593"/>
      <c r="H218" s="593"/>
      <c r="I218" s="593"/>
      <c r="J218" s="593"/>
      <c r="K218" s="1644">
        <f t="shared" si="19"/>
        <v>17899</v>
      </c>
      <c r="L218" s="1989">
        <v>24700</v>
      </c>
    </row>
    <row r="219" spans="1:14" x14ac:dyDescent="0.2">
      <c r="A219" s="1477" t="s">
        <v>279</v>
      </c>
      <c r="B219" s="591">
        <v>1250</v>
      </c>
      <c r="C219" s="593"/>
      <c r="D219" s="1967">
        <v>8422</v>
      </c>
      <c r="E219" s="593"/>
      <c r="F219" s="593"/>
      <c r="G219" s="593"/>
      <c r="H219" s="593"/>
      <c r="I219" s="593"/>
      <c r="J219" s="593"/>
      <c r="K219" s="1644">
        <f t="shared" si="19"/>
        <v>8422</v>
      </c>
      <c r="L219" s="1989">
        <v>9300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19044</v>
      </c>
      <c r="E223" s="593"/>
      <c r="F223" s="593"/>
      <c r="G223" s="593"/>
      <c r="H223" s="593"/>
      <c r="I223" s="593"/>
      <c r="J223" s="593"/>
      <c r="K223" s="1644">
        <f t="shared" si="19"/>
        <v>19044</v>
      </c>
      <c r="L223" s="1989">
        <v>21950</v>
      </c>
    </row>
    <row r="224" spans="1:14" x14ac:dyDescent="0.2">
      <c r="A224" s="1477" t="s">
        <v>964</v>
      </c>
      <c r="B224" s="591">
        <v>1600</v>
      </c>
      <c r="C224" s="593"/>
      <c r="D224" s="1967">
        <v>0</v>
      </c>
      <c r="E224" s="593"/>
      <c r="F224" s="593"/>
      <c r="G224" s="593"/>
      <c r="H224" s="593"/>
      <c r="I224" s="593"/>
      <c r="J224" s="593"/>
      <c r="K224" s="1644">
        <f t="shared" si="19"/>
        <v>0</v>
      </c>
      <c r="L224" s="1989">
        <v>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514</v>
      </c>
      <c r="E226" s="593"/>
      <c r="F226" s="593"/>
      <c r="G226" s="593"/>
      <c r="H226" s="593"/>
      <c r="I226" s="593"/>
      <c r="J226" s="593"/>
      <c r="K226" s="1644">
        <f t="shared" si="19"/>
        <v>514</v>
      </c>
      <c r="L226" s="1989">
        <v>600</v>
      </c>
    </row>
    <row r="227" spans="1:12" x14ac:dyDescent="0.2">
      <c r="A227" s="1477" t="s">
        <v>1087</v>
      </c>
      <c r="B227" s="591">
        <v>1800</v>
      </c>
      <c r="C227" s="593"/>
      <c r="D227" s="1967">
        <v>8005</v>
      </c>
      <c r="E227" s="593"/>
      <c r="F227" s="593"/>
      <c r="G227" s="593"/>
      <c r="H227" s="593"/>
      <c r="I227" s="593"/>
      <c r="J227" s="593"/>
      <c r="K227" s="1644">
        <f t="shared" si="19"/>
        <v>8005</v>
      </c>
      <c r="L227" s="1989">
        <v>8575</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386963</v>
      </c>
      <c r="E229" s="593"/>
      <c r="F229" s="593"/>
      <c r="G229" s="593"/>
      <c r="H229" s="593"/>
      <c r="I229" s="593"/>
      <c r="J229" s="593"/>
      <c r="K229" s="1643">
        <f>SUM(K215:K228)</f>
        <v>386963</v>
      </c>
      <c r="L229" s="1643">
        <f>SUM(L215:L228)</f>
        <v>452575</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5963</v>
      </c>
      <c r="E232" s="593"/>
      <c r="F232" s="593"/>
      <c r="G232" s="593"/>
      <c r="H232" s="593"/>
      <c r="I232" s="593"/>
      <c r="J232" s="593"/>
      <c r="K232" s="1644">
        <f t="shared" ref="K232:K237" si="20">D232</f>
        <v>5963</v>
      </c>
      <c r="L232" s="1989">
        <v>6625</v>
      </c>
    </row>
    <row r="233" spans="1:12" x14ac:dyDescent="0.2">
      <c r="A233" s="1477" t="s">
        <v>1090</v>
      </c>
      <c r="B233" s="591">
        <v>2120</v>
      </c>
      <c r="C233" s="593"/>
      <c r="D233" s="1967">
        <v>11161</v>
      </c>
      <c r="E233" s="593"/>
      <c r="F233" s="593"/>
      <c r="G233" s="593"/>
      <c r="H233" s="593"/>
      <c r="I233" s="593"/>
      <c r="J233" s="593"/>
      <c r="K233" s="1644">
        <f t="shared" si="20"/>
        <v>11161</v>
      </c>
      <c r="L233" s="1989">
        <v>11800</v>
      </c>
    </row>
    <row r="234" spans="1:12" x14ac:dyDescent="0.2">
      <c r="A234" s="1477" t="s">
        <v>198</v>
      </c>
      <c r="B234" s="591">
        <v>2130</v>
      </c>
      <c r="C234" s="593"/>
      <c r="D234" s="1967">
        <v>32753</v>
      </c>
      <c r="E234" s="593"/>
      <c r="F234" s="593"/>
      <c r="G234" s="593"/>
      <c r="H234" s="593"/>
      <c r="I234" s="593"/>
      <c r="J234" s="593"/>
      <c r="K234" s="1644">
        <f t="shared" si="20"/>
        <v>32753</v>
      </c>
      <c r="L234" s="1989">
        <v>37950</v>
      </c>
    </row>
    <row r="235" spans="1:12" x14ac:dyDescent="0.2">
      <c r="A235" s="1477" t="s">
        <v>199</v>
      </c>
      <c r="B235" s="591">
        <v>2140</v>
      </c>
      <c r="C235" s="593"/>
      <c r="D235" s="1967">
        <v>4951</v>
      </c>
      <c r="E235" s="593"/>
      <c r="F235" s="593"/>
      <c r="G235" s="593"/>
      <c r="H235" s="593"/>
      <c r="I235" s="593"/>
      <c r="J235" s="593"/>
      <c r="K235" s="1644">
        <f t="shared" si="20"/>
        <v>4951</v>
      </c>
      <c r="L235" s="1989">
        <v>7200</v>
      </c>
    </row>
    <row r="236" spans="1:12" x14ac:dyDescent="0.2">
      <c r="A236" s="1477" t="s">
        <v>200</v>
      </c>
      <c r="B236" s="591">
        <v>2150</v>
      </c>
      <c r="C236" s="593"/>
      <c r="D236" s="1967">
        <v>8016</v>
      </c>
      <c r="E236" s="593"/>
      <c r="F236" s="593"/>
      <c r="G236" s="593"/>
      <c r="H236" s="593"/>
      <c r="I236" s="593"/>
      <c r="J236" s="593"/>
      <c r="K236" s="1644">
        <f t="shared" si="20"/>
        <v>8016</v>
      </c>
      <c r="L236" s="1989">
        <v>9300</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62844</v>
      </c>
      <c r="E238" s="593"/>
      <c r="F238" s="593"/>
      <c r="G238" s="593"/>
      <c r="H238" s="593"/>
      <c r="I238" s="593"/>
      <c r="J238" s="593"/>
      <c r="K238" s="1643">
        <f>SUM(K232:K237)</f>
        <v>62844</v>
      </c>
      <c r="L238" s="1643">
        <f>SUM(L232:L237)</f>
        <v>72875</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32691</v>
      </c>
      <c r="E240" s="593"/>
      <c r="F240" s="593"/>
      <c r="G240" s="593"/>
      <c r="H240" s="593"/>
      <c r="I240" s="593"/>
      <c r="J240" s="593"/>
      <c r="K240" s="1645">
        <f>D240</f>
        <v>32691</v>
      </c>
      <c r="L240" s="477">
        <v>32620</v>
      </c>
    </row>
    <row r="241" spans="1:12" x14ac:dyDescent="0.2">
      <c r="A241" s="1477" t="s">
        <v>815</v>
      </c>
      <c r="B241" s="591">
        <v>2220</v>
      </c>
      <c r="C241" s="593"/>
      <c r="D241" s="1967">
        <v>23619</v>
      </c>
      <c r="E241" s="593"/>
      <c r="F241" s="593"/>
      <c r="G241" s="593"/>
      <c r="H241" s="593"/>
      <c r="I241" s="593"/>
      <c r="J241" s="593"/>
      <c r="K241" s="1645">
        <f>D241</f>
        <v>23619</v>
      </c>
      <c r="L241" s="1989">
        <v>26100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56310</v>
      </c>
      <c r="E243" s="593"/>
      <c r="F243" s="593"/>
      <c r="G243" s="593"/>
      <c r="H243" s="593"/>
      <c r="I243" s="593"/>
      <c r="J243" s="593"/>
      <c r="K243" s="1643">
        <f>SUM(K240:K242)</f>
        <v>56310</v>
      </c>
      <c r="L243" s="1643">
        <f>SUM(L240:L242)</f>
        <v>58720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7">
        <v>32426</v>
      </c>
      <c r="E246" s="593"/>
      <c r="F246" s="593"/>
      <c r="G246" s="593"/>
      <c r="H246" s="593"/>
      <c r="I246" s="593"/>
      <c r="J246" s="593"/>
      <c r="K246" s="1645">
        <f t="shared" ref="K246:K256" si="21">D246</f>
        <v>32426</v>
      </c>
      <c r="L246" s="1989">
        <v>37100</v>
      </c>
    </row>
    <row r="247" spans="1:12" x14ac:dyDescent="0.2">
      <c r="A247" s="1477" t="s">
        <v>819</v>
      </c>
      <c r="B247" s="591">
        <v>2330</v>
      </c>
      <c r="C247" s="593"/>
      <c r="D247" s="1967">
        <v>22965</v>
      </c>
      <c r="E247" s="593"/>
      <c r="F247" s="593"/>
      <c r="G247" s="593"/>
      <c r="H247" s="593"/>
      <c r="I247" s="593"/>
      <c r="J247" s="593"/>
      <c r="K247" s="1645">
        <f t="shared" si="21"/>
        <v>22965</v>
      </c>
      <c r="L247" s="1989">
        <v>26500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1802</v>
      </c>
      <c r="B249" s="658" t="s">
        <v>282</v>
      </c>
      <c r="C249" s="593"/>
      <c r="D249" s="1970">
        <v>0</v>
      </c>
      <c r="E249" s="593"/>
      <c r="F249" s="593"/>
      <c r="G249" s="593"/>
      <c r="H249" s="593"/>
      <c r="I249" s="593"/>
      <c r="J249" s="593"/>
      <c r="K249" s="1645">
        <f t="shared" si="21"/>
        <v>0</v>
      </c>
      <c r="L249" s="1989">
        <v>0</v>
      </c>
    </row>
    <row r="250" spans="1:12" x14ac:dyDescent="0.2">
      <c r="A250" s="1478" t="s">
        <v>1803</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55391</v>
      </c>
      <c r="E257" s="593"/>
      <c r="F257" s="593"/>
      <c r="G257" s="593"/>
      <c r="H257" s="593"/>
      <c r="I257" s="593"/>
      <c r="J257" s="593"/>
      <c r="K257" s="1643">
        <f>SUM(K245:K256)</f>
        <v>55391</v>
      </c>
      <c r="L257" s="1643">
        <f>SUM(L245:L256)</f>
        <v>63600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107415</v>
      </c>
      <c r="E259" s="593"/>
      <c r="F259" s="593"/>
      <c r="G259" s="593"/>
      <c r="H259" s="593"/>
      <c r="I259" s="593"/>
      <c r="J259" s="593"/>
      <c r="K259" s="1645">
        <f>D259</f>
        <v>107415</v>
      </c>
      <c r="L259" s="477">
        <v>116700</v>
      </c>
    </row>
    <row r="260" spans="1:14" s="574" customFormat="1" x14ac:dyDescent="0.2">
      <c r="A260" s="1495" t="s">
        <v>1801</v>
      </c>
      <c r="B260" s="605">
        <v>2490</v>
      </c>
      <c r="C260" s="593"/>
      <c r="D260" s="1967">
        <v>12784</v>
      </c>
      <c r="E260" s="593"/>
      <c r="F260" s="593"/>
      <c r="G260" s="593"/>
      <c r="H260" s="593"/>
      <c r="I260" s="593"/>
      <c r="J260" s="593"/>
      <c r="K260" s="1645">
        <f>D260</f>
        <v>12784</v>
      </c>
      <c r="L260" s="1989">
        <v>16500</v>
      </c>
      <c r="M260" s="210"/>
      <c r="N260" s="210"/>
    </row>
    <row r="261" spans="1:14" ht="12.75" customHeight="1" thickBot="1" x14ac:dyDescent="0.25">
      <c r="A261" s="1665" t="s">
        <v>263</v>
      </c>
      <c r="B261" s="1670" t="s">
        <v>34</v>
      </c>
      <c r="C261" s="593"/>
      <c r="D261" s="1643">
        <f>SUM(D259:D260)</f>
        <v>120199</v>
      </c>
      <c r="E261" s="593"/>
      <c r="F261" s="593"/>
      <c r="G261" s="593"/>
      <c r="H261" s="593"/>
      <c r="I261" s="593"/>
      <c r="J261" s="593"/>
      <c r="K261" s="1643">
        <f>SUM(K259:K260)</f>
        <v>120199</v>
      </c>
      <c r="L261" s="1643">
        <f>SUM(L259:L260)</f>
        <v>133200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12793</v>
      </c>
      <c r="E263" s="593"/>
      <c r="F263" s="593"/>
      <c r="G263" s="593"/>
      <c r="H263" s="593"/>
      <c r="I263" s="593"/>
      <c r="J263" s="593"/>
      <c r="K263" s="1645">
        <f>D263</f>
        <v>12793</v>
      </c>
      <c r="L263" s="477">
        <v>13900</v>
      </c>
    </row>
    <row r="264" spans="1:14" x14ac:dyDescent="0.2">
      <c r="A264" s="1477" t="s">
        <v>463</v>
      </c>
      <c r="B264" s="660">
        <v>2520</v>
      </c>
      <c r="C264" s="593"/>
      <c r="D264" s="1967">
        <v>58094</v>
      </c>
      <c r="E264" s="593"/>
      <c r="F264" s="593"/>
      <c r="G264" s="593"/>
      <c r="H264" s="593"/>
      <c r="I264" s="593"/>
      <c r="J264" s="593"/>
      <c r="K264" s="1645">
        <f t="shared" ref="K264:K269" si="22">D264</f>
        <v>58094</v>
      </c>
      <c r="L264" s="1989">
        <v>57200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288248</v>
      </c>
      <c r="E266" s="593"/>
      <c r="F266" s="593"/>
      <c r="G266" s="593"/>
      <c r="H266" s="593"/>
      <c r="I266" s="593"/>
      <c r="J266" s="593"/>
      <c r="K266" s="1645">
        <f t="shared" si="22"/>
        <v>288248</v>
      </c>
      <c r="L266" s="1989">
        <v>331500</v>
      </c>
    </row>
    <row r="267" spans="1:14" x14ac:dyDescent="0.2">
      <c r="A267" s="1477" t="s">
        <v>953</v>
      </c>
      <c r="B267" s="591">
        <v>2550</v>
      </c>
      <c r="C267" s="593"/>
      <c r="D267" s="1967">
        <v>359500</v>
      </c>
      <c r="E267" s="593"/>
      <c r="F267" s="593"/>
      <c r="G267" s="593"/>
      <c r="H267" s="593"/>
      <c r="I267" s="593"/>
      <c r="J267" s="593"/>
      <c r="K267" s="1645">
        <f t="shared" si="22"/>
        <v>359500</v>
      </c>
      <c r="L267" s="1989">
        <v>368000</v>
      </c>
    </row>
    <row r="268" spans="1:14" x14ac:dyDescent="0.2">
      <c r="A268" s="1477" t="s">
        <v>100</v>
      </c>
      <c r="B268" s="591">
        <v>2560</v>
      </c>
      <c r="C268" s="593"/>
      <c r="D268" s="1967">
        <v>91663</v>
      </c>
      <c r="E268" s="593"/>
      <c r="F268" s="593"/>
      <c r="G268" s="593"/>
      <c r="H268" s="593"/>
      <c r="I268" s="593"/>
      <c r="J268" s="593"/>
      <c r="K268" s="1645">
        <f t="shared" si="22"/>
        <v>91663</v>
      </c>
      <c r="L268" s="1989">
        <v>97550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810298</v>
      </c>
      <c r="E270" s="593"/>
      <c r="F270" s="593"/>
      <c r="G270" s="593"/>
      <c r="H270" s="593"/>
      <c r="I270" s="593"/>
      <c r="J270" s="593"/>
      <c r="K270" s="1643">
        <f>SUM(K263:K269)</f>
        <v>810298</v>
      </c>
      <c r="L270" s="1643">
        <f>SUM(L263:L269)</f>
        <v>868150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95769</v>
      </c>
      <c r="E276" s="593"/>
      <c r="F276" s="593"/>
      <c r="G276" s="593"/>
      <c r="H276" s="593"/>
      <c r="I276" s="593"/>
      <c r="J276" s="593"/>
      <c r="K276" s="1645">
        <f>D276</f>
        <v>95769</v>
      </c>
      <c r="L276" s="1989">
        <v>98300</v>
      </c>
    </row>
    <row r="277" spans="1:12" ht="12.75" customHeight="1" thickBot="1" x14ac:dyDescent="0.25">
      <c r="A277" s="1664" t="s">
        <v>37</v>
      </c>
      <c r="B277" s="1642" t="s">
        <v>36</v>
      </c>
      <c r="C277" s="593"/>
      <c r="D277" s="1643">
        <f>SUM(D272:D276)</f>
        <v>95769</v>
      </c>
      <c r="E277" s="593"/>
      <c r="F277" s="593"/>
      <c r="G277" s="593"/>
      <c r="H277" s="593"/>
      <c r="I277" s="593"/>
      <c r="J277" s="593"/>
      <c r="K277" s="1643">
        <f>SUM(K272:K276)</f>
        <v>95769</v>
      </c>
      <c r="L277" s="1643">
        <f>SUM(L272:L276)</f>
        <v>98300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1200811</v>
      </c>
      <c r="E279" s="593"/>
      <c r="F279" s="593"/>
      <c r="G279" s="593"/>
      <c r="H279" s="593"/>
      <c r="I279" s="593"/>
      <c r="J279" s="593"/>
      <c r="K279" s="1650">
        <f>SUM(K238,K243,K257,K261,K270,K277,K278)</f>
        <v>1200811</v>
      </c>
      <c r="L279" s="1650">
        <f>SUM(L238,L243,L257,L261,L270,L277,L278)</f>
        <v>1294845</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1842</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1" t="s">
        <v>505</v>
      </c>
      <c r="B295" s="2242"/>
      <c r="C295" s="593"/>
      <c r="D295" s="1643">
        <f>SUM(D229,D279,D280,D285)</f>
        <v>1587774</v>
      </c>
      <c r="E295" s="593"/>
      <c r="F295" s="593"/>
      <c r="G295" s="593"/>
      <c r="H295" s="1643">
        <f>H293</f>
        <v>0</v>
      </c>
      <c r="I295" s="593"/>
      <c r="J295" s="593"/>
      <c r="K295" s="1643">
        <f>SUM(K229,K279,K280,K285,K293,K294)</f>
        <v>1587774</v>
      </c>
      <c r="L295" s="1643">
        <f>SUM(L229,L279,L280,L285,L293,L294)</f>
        <v>1747420</v>
      </c>
    </row>
    <row r="296" spans="1:14" ht="13.5" thickTop="1" x14ac:dyDescent="0.2">
      <c r="A296" s="2250" t="s">
        <v>996</v>
      </c>
      <c r="B296" s="2251"/>
      <c r="C296" s="593"/>
      <c r="D296" s="595"/>
      <c r="E296" s="593"/>
      <c r="F296" s="593"/>
      <c r="G296" s="593"/>
      <c r="H296" s="662"/>
      <c r="I296" s="593"/>
      <c r="J296" s="593"/>
      <c r="K296" s="1657">
        <f>'Revenues 9-14'!G268-'Expenditures 15-22'!K295</f>
        <v>126909</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3" t="s">
        <v>143</v>
      </c>
      <c r="B298" s="2227"/>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5217234</v>
      </c>
      <c r="H301" s="1967">
        <v>0</v>
      </c>
      <c r="I301" s="1968">
        <v>0</v>
      </c>
      <c r="J301" s="1968">
        <v>0</v>
      </c>
      <c r="K301" s="1644">
        <f>SUM(C301:J301)</f>
        <v>5217234</v>
      </c>
      <c r="L301" s="1990">
        <v>4000000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5217234</v>
      </c>
      <c r="H303" s="1650">
        <f t="shared" si="23"/>
        <v>0</v>
      </c>
      <c r="I303" s="1650">
        <f t="shared" si="23"/>
        <v>0</v>
      </c>
      <c r="J303" s="1650">
        <f t="shared" si="23"/>
        <v>0</v>
      </c>
      <c r="K303" s="1650">
        <f t="shared" si="23"/>
        <v>5217234</v>
      </c>
      <c r="L303" s="1650">
        <f t="shared" si="23"/>
        <v>4000000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1847</v>
      </c>
      <c r="B306" s="665" t="s">
        <v>1842</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8" t="s">
        <v>277</v>
      </c>
      <c r="B312" s="2239"/>
      <c r="C312" s="1643">
        <f>SUM(C303)</f>
        <v>0</v>
      </c>
      <c r="D312" s="1643">
        <f>SUM(D303)</f>
        <v>0</v>
      </c>
      <c r="E312" s="1643">
        <f>SUM(E303,E310)</f>
        <v>0</v>
      </c>
      <c r="F312" s="1643">
        <f>SUM(F303)</f>
        <v>0</v>
      </c>
      <c r="G312" s="1643">
        <f>SUM(G303)</f>
        <v>5217234</v>
      </c>
      <c r="H312" s="1643">
        <f>SUM(H303,H310)</f>
        <v>0</v>
      </c>
      <c r="I312" s="1643">
        <f>SUM(I303)</f>
        <v>0</v>
      </c>
      <c r="J312" s="1643">
        <f>SUM(J303)</f>
        <v>0</v>
      </c>
      <c r="K312" s="1643">
        <f>SUM(K303,K310,K311)</f>
        <v>5217234</v>
      </c>
      <c r="L312" s="1643">
        <f>SUM(L303,L310,L311)</f>
        <v>4000000</v>
      </c>
      <c r="M312" s="640"/>
      <c r="N312" s="640"/>
    </row>
    <row r="313" spans="1:14" ht="13.5" thickTop="1" x14ac:dyDescent="0.2">
      <c r="A313" s="2234" t="s">
        <v>996</v>
      </c>
      <c r="B313" s="2235"/>
      <c r="C313" s="603"/>
      <c r="D313" s="603"/>
      <c r="E313" s="603"/>
      <c r="F313" s="603"/>
      <c r="G313" s="603"/>
      <c r="H313" s="603"/>
      <c r="I313" s="603"/>
      <c r="J313" s="603"/>
      <c r="K313" s="1658">
        <f>'Revenues 9-14'!H268-'Expenditures 15-22'!K312</f>
        <v>-4849690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7" t="s">
        <v>149</v>
      </c>
      <c r="B315" s="2248"/>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9" t="s">
        <v>898</v>
      </c>
      <c r="B317" s="2248"/>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1802</v>
      </c>
      <c r="B320" s="673" t="s">
        <v>282</v>
      </c>
      <c r="C320" s="1968">
        <v>0</v>
      </c>
      <c r="D320" s="1968">
        <v>0</v>
      </c>
      <c r="E320" s="1968">
        <v>253463</v>
      </c>
      <c r="F320" s="1968">
        <v>0</v>
      </c>
      <c r="G320" s="1968">
        <v>0</v>
      </c>
      <c r="H320" s="1968">
        <v>0</v>
      </c>
      <c r="I320" s="1968">
        <v>0</v>
      </c>
      <c r="J320" s="1968">
        <v>0</v>
      </c>
      <c r="K320" s="1644">
        <f t="shared" ref="K320:K327" si="24">SUM(C320:J320)</f>
        <v>253463</v>
      </c>
      <c r="L320" s="1990">
        <v>300000</v>
      </c>
      <c r="M320" s="640"/>
      <c r="N320" s="640"/>
    </row>
    <row r="321" spans="1:14" s="649" customFormat="1" x14ac:dyDescent="0.2">
      <c r="A321" s="1492" t="s">
        <v>300</v>
      </c>
      <c r="B321" s="672" t="s">
        <v>283</v>
      </c>
      <c r="C321" s="1968">
        <v>0</v>
      </c>
      <c r="D321" s="1968">
        <v>0</v>
      </c>
      <c r="E321" s="1968">
        <v>1395</v>
      </c>
      <c r="F321" s="1968">
        <v>0</v>
      </c>
      <c r="G321" s="1968">
        <v>0</v>
      </c>
      <c r="H321" s="1968">
        <v>0</v>
      </c>
      <c r="I321" s="1968">
        <v>0</v>
      </c>
      <c r="J321" s="1968">
        <v>0</v>
      </c>
      <c r="K321" s="1644">
        <f t="shared" si="24"/>
        <v>1395</v>
      </c>
      <c r="L321" s="1990">
        <v>20000</v>
      </c>
      <c r="M321" s="640"/>
      <c r="N321" s="640"/>
    </row>
    <row r="322" spans="1:14" s="649" customFormat="1" x14ac:dyDescent="0.2">
      <c r="A322" s="1492" t="s">
        <v>238</v>
      </c>
      <c r="B322" s="672" t="s">
        <v>284</v>
      </c>
      <c r="C322" s="1968">
        <v>0</v>
      </c>
      <c r="D322" s="1968">
        <v>0</v>
      </c>
      <c r="E322" s="1968">
        <v>0</v>
      </c>
      <c r="F322" s="1968">
        <v>0</v>
      </c>
      <c r="G322" s="1968">
        <v>0</v>
      </c>
      <c r="H322" s="1968">
        <v>0</v>
      </c>
      <c r="I322" s="1968">
        <v>0</v>
      </c>
      <c r="J322" s="1968">
        <v>0</v>
      </c>
      <c r="K322" s="1644">
        <f t="shared" si="24"/>
        <v>0</v>
      </c>
      <c r="L322" s="1990">
        <v>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250411</v>
      </c>
      <c r="F327" s="1968">
        <v>0</v>
      </c>
      <c r="G327" s="1968">
        <v>0</v>
      </c>
      <c r="H327" s="1968">
        <v>0</v>
      </c>
      <c r="I327" s="1968">
        <v>0</v>
      </c>
      <c r="J327" s="1968">
        <v>0</v>
      </c>
      <c r="K327" s="1644">
        <f t="shared" si="24"/>
        <v>250411</v>
      </c>
      <c r="L327" s="1990">
        <v>175000</v>
      </c>
      <c r="M327" s="640"/>
      <c r="N327" s="640"/>
    </row>
    <row r="328" spans="1:14" s="649" customFormat="1" x14ac:dyDescent="0.2">
      <c r="A328" s="1493" t="s">
        <v>472</v>
      </c>
      <c r="B328" s="665" t="s">
        <v>1132</v>
      </c>
      <c r="C328" s="1970">
        <v>0</v>
      </c>
      <c r="D328" s="1970">
        <v>0</v>
      </c>
      <c r="E328" s="1970">
        <v>192516</v>
      </c>
      <c r="F328" s="1970">
        <v>0</v>
      </c>
      <c r="G328" s="1970">
        <v>0</v>
      </c>
      <c r="H328" s="1970">
        <v>0</v>
      </c>
      <c r="I328" s="1970">
        <v>0</v>
      </c>
      <c r="J328" s="1970">
        <v>0</v>
      </c>
      <c r="K328" s="1672">
        <f>SUM(C328:J328)</f>
        <v>192516</v>
      </c>
      <c r="L328" s="1992">
        <v>200000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697785</v>
      </c>
      <c r="F330" s="1643">
        <f t="shared" si="25"/>
        <v>0</v>
      </c>
      <c r="G330" s="1643">
        <f t="shared" si="25"/>
        <v>0</v>
      </c>
      <c r="H330" s="1643">
        <f t="shared" si="25"/>
        <v>0</v>
      </c>
      <c r="I330" s="1643">
        <f t="shared" si="25"/>
        <v>0</v>
      </c>
      <c r="J330" s="1643">
        <f t="shared" si="25"/>
        <v>0</v>
      </c>
      <c r="K330" s="1643">
        <f>SUM(K319:K329)</f>
        <v>697785</v>
      </c>
      <c r="L330" s="1643">
        <f>SUM(L319:L329)</f>
        <v>695000</v>
      </c>
      <c r="M330" s="640"/>
      <c r="N330" s="640"/>
    </row>
    <row r="331" spans="1:14" s="649" customFormat="1" ht="12.75" customHeight="1" thickTop="1" x14ac:dyDescent="0.2">
      <c r="A331" s="1804" t="s">
        <v>1848</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1842</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1844</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1849</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697785</v>
      </c>
      <c r="F342" s="1643">
        <f>SUM(F330)</f>
        <v>0</v>
      </c>
      <c r="G342" s="1643">
        <f>SUM(G330)</f>
        <v>0</v>
      </c>
      <c r="H342" s="1643">
        <f>SUM(H330,H334,H340)</f>
        <v>0</v>
      </c>
      <c r="I342" s="1643">
        <f>SUM(I330)</f>
        <v>0</v>
      </c>
      <c r="J342" s="1643">
        <f>SUM(J330)</f>
        <v>0</v>
      </c>
      <c r="K342" s="1643">
        <f>SUM(K330,K334,K340)</f>
        <v>697785</v>
      </c>
      <c r="L342" s="1650">
        <f>SUM(L330,L340,L341)</f>
        <v>695000</v>
      </c>
    </row>
    <row r="343" spans="1:14" ht="12.75" customHeight="1" thickTop="1" x14ac:dyDescent="0.2">
      <c r="A343" s="2236" t="s">
        <v>996</v>
      </c>
      <c r="B343" s="2237"/>
      <c r="C343" s="593"/>
      <c r="D343" s="593"/>
      <c r="E343" s="593"/>
      <c r="F343" s="593"/>
      <c r="G343" s="593"/>
      <c r="H343" s="593"/>
      <c r="I343" s="593"/>
      <c r="J343" s="593"/>
      <c r="K343" s="1657">
        <f>'Revenues 9-14'!J268-'Expenditures 15-22'!K342</f>
        <v>-189330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6" t="s">
        <v>966</v>
      </c>
      <c r="B345" s="2227"/>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1850</v>
      </c>
      <c r="B354" s="658" t="s">
        <v>1842</v>
      </c>
      <c r="C354" s="593"/>
      <c r="D354" s="593"/>
      <c r="E354" s="593"/>
      <c r="F354" s="593"/>
      <c r="G354" s="593"/>
      <c r="H354" s="1970">
        <v>0</v>
      </c>
      <c r="I354" s="676"/>
      <c r="J354" s="593"/>
      <c r="K354" s="1672">
        <f>H354</f>
        <v>0</v>
      </c>
      <c r="L354" s="1991">
        <v>0</v>
      </c>
    </row>
    <row r="355" spans="1:14" ht="12.75" customHeight="1" x14ac:dyDescent="0.2">
      <c r="A355" s="1486" t="s">
        <v>1851</v>
      </c>
      <c r="B355" s="665" t="s">
        <v>1844</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50" t="s">
        <v>996</v>
      </c>
      <c r="B368" s="2251"/>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E4" sqref="E4"/>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2" t="s">
        <v>1799</v>
      </c>
      <c r="B2" s="1501" t="s">
        <v>1948</v>
      </c>
      <c r="C2" s="687" t="s">
        <v>1949</v>
      </c>
      <c r="D2" s="687" t="s">
        <v>1950</v>
      </c>
      <c r="E2" s="687" t="s">
        <v>1951</v>
      </c>
      <c r="F2" s="687" t="s">
        <v>1952</v>
      </c>
    </row>
    <row r="3" spans="1:6" ht="12" customHeight="1" x14ac:dyDescent="0.2">
      <c r="A3" s="2253"/>
      <c r="B3" s="1498"/>
      <c r="C3" s="1499"/>
      <c r="D3" s="1500" t="s">
        <v>256</v>
      </c>
      <c r="E3" s="1499"/>
      <c r="F3" s="1500" t="s">
        <v>257</v>
      </c>
    </row>
    <row r="4" spans="1:6" ht="13.7" customHeight="1" x14ac:dyDescent="0.2">
      <c r="A4" s="688" t="s">
        <v>1155</v>
      </c>
      <c r="B4" s="1722">
        <f>'Revenues 9-14'!C5</f>
        <v>24479703</v>
      </c>
      <c r="C4" s="1497">
        <v>11622133</v>
      </c>
      <c r="D4" s="1725">
        <f>B4-C4</f>
        <v>12857570</v>
      </c>
      <c r="E4" s="1497">
        <v>27084241</v>
      </c>
      <c r="F4" s="1725">
        <f>E4-C4</f>
        <v>15462108</v>
      </c>
    </row>
    <row r="5" spans="1:6" ht="13.7" customHeight="1" x14ac:dyDescent="0.2">
      <c r="A5" s="688" t="s">
        <v>870</v>
      </c>
      <c r="B5" s="1723">
        <f>'Revenues 9-14'!D5</f>
        <v>4315990</v>
      </c>
      <c r="C5" s="565">
        <v>2043452</v>
      </c>
      <c r="D5" s="1726">
        <f t="shared" ref="D5:D18" si="0">B5-C5</f>
        <v>2272538</v>
      </c>
      <c r="E5" s="565">
        <v>4762063</v>
      </c>
      <c r="F5" s="1726">
        <f>E5-C5</f>
        <v>2718611</v>
      </c>
    </row>
    <row r="6" spans="1:6" ht="13.7" customHeight="1" x14ac:dyDescent="0.2">
      <c r="A6" s="688" t="s">
        <v>411</v>
      </c>
      <c r="B6" s="1723">
        <f>'Revenues 9-14'!E5</f>
        <v>6445056</v>
      </c>
      <c r="C6" s="565">
        <v>3091951</v>
      </c>
      <c r="D6" s="1726">
        <f t="shared" si="0"/>
        <v>3353105</v>
      </c>
      <c r="E6" s="565">
        <v>7205488</v>
      </c>
      <c r="F6" s="1726">
        <f t="shared" ref="F6:F18" si="1">E6-C6</f>
        <v>4113537</v>
      </c>
    </row>
    <row r="7" spans="1:6" ht="13.7" customHeight="1" x14ac:dyDescent="0.2">
      <c r="A7" s="688" t="s">
        <v>155</v>
      </c>
      <c r="B7" s="1723">
        <f>'Revenues 9-14'!F5</f>
        <v>2018236</v>
      </c>
      <c r="C7" s="565">
        <v>1021727</v>
      </c>
      <c r="D7" s="1726">
        <f t="shared" si="0"/>
        <v>996509</v>
      </c>
      <c r="E7" s="565">
        <v>2381035</v>
      </c>
      <c r="F7" s="1726">
        <f t="shared" si="1"/>
        <v>1359308</v>
      </c>
    </row>
    <row r="8" spans="1:6" ht="13.7" customHeight="1" x14ac:dyDescent="0.2">
      <c r="A8" s="688" t="s">
        <v>1179</v>
      </c>
      <c r="B8" s="1723">
        <f>'Revenues 9-14'!G5</f>
        <v>834312</v>
      </c>
      <c r="C8" s="565">
        <v>372503</v>
      </c>
      <c r="D8" s="1726">
        <f t="shared" si="0"/>
        <v>461809</v>
      </c>
      <c r="E8" s="565">
        <v>868081</v>
      </c>
      <c r="F8" s="1726">
        <f t="shared" si="1"/>
        <v>495578</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136787</v>
      </c>
      <c r="C10" s="565">
        <v>63856</v>
      </c>
      <c r="D10" s="1726">
        <f t="shared" si="0"/>
        <v>72931</v>
      </c>
      <c r="E10" s="565">
        <v>148811</v>
      </c>
      <c r="F10" s="1726">
        <f t="shared" si="1"/>
        <v>84955</v>
      </c>
    </row>
    <row r="11" spans="1:6" x14ac:dyDescent="0.2">
      <c r="A11" s="688" t="s">
        <v>409</v>
      </c>
      <c r="B11" s="1723">
        <f>'Revenues 9-14'!J5</f>
        <v>496985</v>
      </c>
      <c r="C11" s="565">
        <v>266077</v>
      </c>
      <c r="D11" s="1726">
        <f t="shared" si="0"/>
        <v>230908</v>
      </c>
      <c r="E11" s="565">
        <v>620066</v>
      </c>
      <c r="F11" s="1726">
        <f t="shared" si="1"/>
        <v>353989</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4939111</v>
      </c>
      <c r="C14" s="565">
        <v>2362743</v>
      </c>
      <c r="D14" s="1726">
        <f t="shared" si="0"/>
        <v>2576368</v>
      </c>
      <c r="E14" s="565">
        <v>5506141</v>
      </c>
      <c r="F14" s="1726">
        <f t="shared" si="1"/>
        <v>3143398</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834312</v>
      </c>
      <c r="C16" s="565">
        <v>372503</v>
      </c>
      <c r="D16" s="1726">
        <f t="shared" si="0"/>
        <v>461809</v>
      </c>
      <c r="E16" s="565">
        <v>868082</v>
      </c>
      <c r="F16" s="1726">
        <f t="shared" si="1"/>
        <v>495579</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44500492</v>
      </c>
      <c r="C19" s="1724">
        <f>SUM(C4:C18)</f>
        <v>21216945</v>
      </c>
      <c r="D19" s="1724">
        <f>SUM(D4:D18)</f>
        <v>23283547</v>
      </c>
      <c r="E19" s="1724">
        <f>SUM(E4:E18)</f>
        <v>49444008</v>
      </c>
      <c r="F19" s="1724">
        <f>SUM(F4:F18)</f>
        <v>28227063</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D46" sqref="D46"/>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8" t="s">
        <v>629</v>
      </c>
      <c r="B1" s="2259"/>
      <c r="C1" s="694"/>
    </row>
    <row r="2" spans="1:7" ht="33.75" x14ac:dyDescent="0.2">
      <c r="A2" s="2267" t="s">
        <v>1799</v>
      </c>
      <c r="B2" s="2268"/>
      <c r="C2" s="1857" t="s">
        <v>1953</v>
      </c>
      <c r="D2" s="696" t="s">
        <v>1954</v>
      </c>
      <c r="E2" s="696" t="s">
        <v>1955</v>
      </c>
      <c r="F2" s="1857" t="s">
        <v>1956</v>
      </c>
    </row>
    <row r="3" spans="1:7" ht="15.75" customHeight="1" x14ac:dyDescent="0.2">
      <c r="A3" s="2271" t="s">
        <v>1114</v>
      </c>
      <c r="B3" s="2272"/>
      <c r="C3" s="2260"/>
      <c r="D3" s="2261"/>
      <c r="E3" s="2261"/>
      <c r="F3" s="2262"/>
    </row>
    <row r="4" spans="1:7" ht="12.75" customHeight="1" thickBot="1" x14ac:dyDescent="0.25">
      <c r="A4" s="2269" t="s">
        <v>630</v>
      </c>
      <c r="B4" s="2270"/>
      <c r="C4" s="562"/>
      <c r="D4" s="562"/>
      <c r="E4" s="562"/>
      <c r="F4" s="1728">
        <f>SUM(C4+D4)-E4</f>
        <v>0</v>
      </c>
    </row>
    <row r="5" spans="1:7" ht="15.75" customHeight="1" thickTop="1" x14ac:dyDescent="0.2">
      <c r="A5" s="2254" t="s">
        <v>1110</v>
      </c>
      <c r="B5" s="2255"/>
      <c r="C5" s="2263"/>
      <c r="D5" s="2264"/>
      <c r="E5" s="2264"/>
      <c r="F5" s="2265"/>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6" t="s">
        <v>631</v>
      </c>
      <c r="B15" s="2257"/>
      <c r="C15" s="1728">
        <f>SUM(C6:C14)</f>
        <v>0</v>
      </c>
      <c r="D15" s="1728">
        <f>SUM(D6:D14)</f>
        <v>0</v>
      </c>
      <c r="E15" s="1728">
        <f>SUM(E6:E14)</f>
        <v>0</v>
      </c>
      <c r="F15" s="1728">
        <f>SUM(F6:F14)</f>
        <v>0</v>
      </c>
      <c r="G15" s="540"/>
    </row>
    <row r="16" spans="1:7" s="202" customFormat="1" ht="15.75" customHeight="1" thickTop="1" x14ac:dyDescent="0.2">
      <c r="A16" s="2266" t="s">
        <v>1111</v>
      </c>
      <c r="B16" s="2255"/>
      <c r="C16" s="2263"/>
      <c r="D16" s="2264"/>
      <c r="E16" s="2264"/>
      <c r="F16" s="2265"/>
    </row>
    <row r="17" spans="1:11" ht="12.75" customHeight="1" thickBot="1" x14ac:dyDescent="0.25">
      <c r="A17" s="2279" t="s">
        <v>64</v>
      </c>
      <c r="B17" s="2280"/>
      <c r="C17" s="699"/>
      <c r="D17" s="565"/>
      <c r="E17" s="699"/>
      <c r="F17" s="1728">
        <f>SUM(C17+D17)-E17</f>
        <v>0</v>
      </c>
    </row>
    <row r="18" spans="1:11" ht="12.75" customHeight="1" thickTop="1" thickBot="1" x14ac:dyDescent="0.25">
      <c r="A18" s="2279" t="s">
        <v>6</v>
      </c>
      <c r="B18" s="2280"/>
      <c r="C18" s="699"/>
      <c r="D18" s="565"/>
      <c r="E18" s="699"/>
      <c r="F18" s="1728">
        <f>SUM(C18+D18)-E18</f>
        <v>0</v>
      </c>
    </row>
    <row r="19" spans="1:11" ht="12.75" customHeight="1" thickTop="1" thickBot="1" x14ac:dyDescent="0.25">
      <c r="A19" s="2279" t="s">
        <v>388</v>
      </c>
      <c r="B19" s="2280"/>
      <c r="C19" s="699"/>
      <c r="D19" s="565"/>
      <c r="E19" s="699"/>
      <c r="F19" s="1728">
        <f>SUM(C19+D19)-E19</f>
        <v>0</v>
      </c>
    </row>
    <row r="20" spans="1:11" ht="12.75" customHeight="1" thickTop="1" thickBot="1" x14ac:dyDescent="0.25">
      <c r="A20" s="2279" t="s">
        <v>448</v>
      </c>
      <c r="B20" s="2280"/>
      <c r="C20" s="699"/>
      <c r="D20" s="565"/>
      <c r="E20" s="699"/>
      <c r="F20" s="1728">
        <f>SUM(C20+D20)-E20</f>
        <v>0</v>
      </c>
    </row>
    <row r="21" spans="1:11" ht="14.25" thickTop="1" thickBot="1" x14ac:dyDescent="0.25">
      <c r="A21" s="2256" t="s">
        <v>632</v>
      </c>
      <c r="B21" s="2257"/>
      <c r="C21" s="1728">
        <f>SUM(C17:C20)</f>
        <v>0</v>
      </c>
      <c r="D21" s="1728">
        <f>SUM(D17:D20)</f>
        <v>0</v>
      </c>
      <c r="E21" s="1728">
        <f>SUM(E17:E20)</f>
        <v>0</v>
      </c>
      <c r="F21" s="1728">
        <f>SUM(F17:F20)</f>
        <v>0</v>
      </c>
      <c r="G21" s="540"/>
    </row>
    <row r="22" spans="1:11" ht="15.75" customHeight="1" thickTop="1" x14ac:dyDescent="0.2">
      <c r="A22" s="2281" t="s">
        <v>1112</v>
      </c>
      <c r="B22" s="2255"/>
      <c r="C22" s="2263"/>
      <c r="D22" s="2264"/>
      <c r="E22" s="2264"/>
      <c r="F22" s="2265"/>
    </row>
    <row r="23" spans="1:11" ht="13.5" thickBot="1" x14ac:dyDescent="0.25">
      <c r="A23" s="2269" t="s">
        <v>633</v>
      </c>
      <c r="B23" s="2270"/>
      <c r="C23" s="562"/>
      <c r="D23" s="562"/>
      <c r="E23" s="562"/>
      <c r="F23" s="1728">
        <f>SUM(C23+D23)-E23</f>
        <v>0</v>
      </c>
      <c r="G23" s="540"/>
    </row>
    <row r="24" spans="1:11" ht="15.75" customHeight="1" thickTop="1" x14ac:dyDescent="0.2">
      <c r="A24" s="2281" t="s">
        <v>1113</v>
      </c>
      <c r="B24" s="2255"/>
      <c r="C24" s="2263"/>
      <c r="D24" s="2264"/>
      <c r="E24" s="2264"/>
      <c r="F24" s="2265"/>
    </row>
    <row r="25" spans="1:11" ht="13.5" thickBot="1" x14ac:dyDescent="0.25">
      <c r="A25" s="2269" t="s">
        <v>634</v>
      </c>
      <c r="B25" s="2270"/>
      <c r="C25" s="562"/>
      <c r="D25" s="562"/>
      <c r="E25" s="562"/>
      <c r="F25" s="1728">
        <f>SUM(C25+D25)-E25</f>
        <v>0</v>
      </c>
      <c r="G25" s="540"/>
    </row>
    <row r="26" spans="1:11" ht="15.75" customHeight="1" thickTop="1" x14ac:dyDescent="0.2">
      <c r="A26" s="2254" t="s">
        <v>657</v>
      </c>
      <c r="B26" s="2255"/>
      <c r="C26" s="700"/>
      <c r="D26" s="700"/>
      <c r="E26" s="700"/>
      <c r="F26" s="701"/>
    </row>
    <row r="27" spans="1:11" ht="13.5" thickBot="1" x14ac:dyDescent="0.25">
      <c r="A27" s="2256" t="s">
        <v>1070</v>
      </c>
      <c r="B27" s="2257"/>
      <c r="C27" s="565"/>
      <c r="D27" s="565"/>
      <c r="E27" s="565"/>
      <c r="F27" s="1728">
        <f>SUM(C27+D27)-E27</f>
        <v>0</v>
      </c>
      <c r="G27" s="540"/>
    </row>
    <row r="28" spans="1:11" ht="7.5" customHeight="1" thickTop="1" x14ac:dyDescent="0.2">
      <c r="A28" s="570"/>
    </row>
    <row r="29" spans="1:11" ht="23.25" customHeight="1" x14ac:dyDescent="0.2">
      <c r="A29" s="2282" t="s">
        <v>582</v>
      </c>
      <c r="B29" s="2259"/>
      <c r="C29" s="702"/>
      <c r="D29" s="702"/>
      <c r="E29" s="702"/>
      <c r="F29" s="702"/>
      <c r="G29" s="702"/>
      <c r="H29" s="702"/>
      <c r="I29" s="702"/>
      <c r="J29" s="702"/>
    </row>
    <row r="30" spans="1:11" ht="33.75" x14ac:dyDescent="0.2">
      <c r="A30" s="1502" t="s">
        <v>1071</v>
      </c>
      <c r="B30" s="703" t="s">
        <v>1124</v>
      </c>
      <c r="C30" s="1858" t="s">
        <v>583</v>
      </c>
      <c r="D30" s="1858" t="s">
        <v>1673</v>
      </c>
      <c r="E30" s="1858" t="s">
        <v>1957</v>
      </c>
      <c r="F30" s="1858" t="s">
        <v>1958</v>
      </c>
      <c r="G30" s="1858" t="s">
        <v>1908</v>
      </c>
      <c r="H30" s="1858" t="s">
        <v>1959</v>
      </c>
      <c r="I30" s="1858" t="s">
        <v>1960</v>
      </c>
      <c r="J30" s="1859" t="s">
        <v>2</v>
      </c>
      <c r="K30" s="704"/>
    </row>
    <row r="31" spans="1:11" ht="12" customHeight="1" x14ac:dyDescent="0.2">
      <c r="A31" s="705" t="s">
        <v>2126</v>
      </c>
      <c r="B31" s="706">
        <v>36193</v>
      </c>
      <c r="C31" s="707">
        <v>8999672</v>
      </c>
      <c r="D31" s="708">
        <v>6</v>
      </c>
      <c r="E31" s="707">
        <v>499167</v>
      </c>
      <c r="F31" s="707"/>
      <c r="G31" s="707"/>
      <c r="H31" s="707">
        <v>499167</v>
      </c>
      <c r="I31" s="1729">
        <f>((E31+F31)-H31)+G31</f>
        <v>0</v>
      </c>
      <c r="J31" s="707"/>
      <c r="K31" s="709"/>
    </row>
    <row r="32" spans="1:11" ht="12" customHeight="1" x14ac:dyDescent="0.2">
      <c r="A32" s="705" t="s">
        <v>2127</v>
      </c>
      <c r="B32" s="706">
        <v>41310</v>
      </c>
      <c r="C32" s="707">
        <v>9815781</v>
      </c>
      <c r="D32" s="708">
        <v>3</v>
      </c>
      <c r="E32" s="707">
        <v>9815781</v>
      </c>
      <c r="F32" s="707"/>
      <c r="G32" s="707"/>
      <c r="H32" s="707"/>
      <c r="I32" s="1729">
        <f>((E32+F32)-H32)+G32</f>
        <v>9815781</v>
      </c>
      <c r="J32" s="707">
        <v>9815781</v>
      </c>
      <c r="K32" s="709"/>
    </row>
    <row r="33" spans="1:11" ht="12" customHeight="1" x14ac:dyDescent="0.2">
      <c r="A33" s="705" t="s">
        <v>2128</v>
      </c>
      <c r="B33" s="706">
        <v>42564</v>
      </c>
      <c r="C33" s="707">
        <v>5825000</v>
      </c>
      <c r="D33" s="708">
        <v>7</v>
      </c>
      <c r="E33" s="707">
        <v>5550000</v>
      </c>
      <c r="F33" s="707"/>
      <c r="G33" s="707"/>
      <c r="H33" s="707">
        <v>360000</v>
      </c>
      <c r="I33" s="1729">
        <f t="shared" ref="I33:I48" si="1">((E33+F33)-H33)+G33</f>
        <v>5190000</v>
      </c>
      <c r="J33" s="707">
        <v>5190000</v>
      </c>
      <c r="K33" s="709"/>
    </row>
    <row r="34" spans="1:11" ht="12" customHeight="1" x14ac:dyDescent="0.2">
      <c r="A34" s="705" t="s">
        <v>2129</v>
      </c>
      <c r="B34" s="706">
        <v>42564</v>
      </c>
      <c r="C34" s="707">
        <v>2515000</v>
      </c>
      <c r="D34" s="708">
        <v>6</v>
      </c>
      <c r="E34" s="707">
        <v>2365000</v>
      </c>
      <c r="F34" s="707"/>
      <c r="G34" s="707"/>
      <c r="H34" s="707">
        <v>190000</v>
      </c>
      <c r="I34" s="1729">
        <f t="shared" si="1"/>
        <v>2175000</v>
      </c>
      <c r="J34" s="707">
        <v>2175000</v>
      </c>
      <c r="K34" s="710"/>
    </row>
    <row r="35" spans="1:11" ht="12" customHeight="1" x14ac:dyDescent="0.2">
      <c r="A35" s="705" t="s">
        <v>2130</v>
      </c>
      <c r="B35" s="706">
        <v>42822</v>
      </c>
      <c r="C35" s="711">
        <v>21340000</v>
      </c>
      <c r="D35" s="708">
        <v>6</v>
      </c>
      <c r="E35" s="711">
        <v>21340000</v>
      </c>
      <c r="F35" s="711"/>
      <c r="G35" s="711"/>
      <c r="H35" s="711">
        <v>740000</v>
      </c>
      <c r="I35" s="1729">
        <f t="shared" si="1"/>
        <v>20600000</v>
      </c>
      <c r="J35" s="711">
        <v>20600000</v>
      </c>
      <c r="K35" s="710"/>
    </row>
    <row r="36" spans="1:11" ht="12" customHeight="1" x14ac:dyDescent="0.2">
      <c r="A36" s="705" t="s">
        <v>2131</v>
      </c>
      <c r="B36" s="706">
        <v>38869</v>
      </c>
      <c r="C36" s="707">
        <v>33278482</v>
      </c>
      <c r="D36" s="708">
        <v>6</v>
      </c>
      <c r="E36" s="707">
        <v>9220951</v>
      </c>
      <c r="F36" s="707"/>
      <c r="G36" s="707"/>
      <c r="H36" s="707">
        <v>1193543</v>
      </c>
      <c r="I36" s="1729">
        <f t="shared" si="1"/>
        <v>8027408</v>
      </c>
      <c r="J36" s="707">
        <v>3893671</v>
      </c>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81773935</v>
      </c>
      <c r="D49" s="718"/>
      <c r="E49" s="1729">
        <f t="shared" ref="E49:J49" si="2">SUM(E31:E48)</f>
        <v>48790899</v>
      </c>
      <c r="F49" s="1729">
        <f t="shared" si="2"/>
        <v>0</v>
      </c>
      <c r="G49" s="1729">
        <f t="shared" si="2"/>
        <v>0</v>
      </c>
      <c r="H49" s="1729">
        <f t="shared" si="2"/>
        <v>2982710</v>
      </c>
      <c r="I49" s="1729">
        <f t="shared" si="2"/>
        <v>45808189</v>
      </c>
      <c r="J49" s="1729">
        <f t="shared" si="2"/>
        <v>41674452</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73" t="s">
        <v>584</v>
      </c>
      <c r="C52" s="2274"/>
      <c r="D52" s="2274"/>
      <c r="E52" s="722" t="s">
        <v>845</v>
      </c>
      <c r="F52" s="2275" t="s">
        <v>2132</v>
      </c>
      <c r="G52" s="2276"/>
      <c r="H52" s="709"/>
      <c r="I52" s="709"/>
      <c r="J52" s="719"/>
    </row>
    <row r="53" spans="1:11" ht="11.25" customHeight="1" x14ac:dyDescent="0.2">
      <c r="A53" s="723" t="s">
        <v>913</v>
      </c>
      <c r="B53" s="724" t="s">
        <v>951</v>
      </c>
      <c r="C53" s="719"/>
      <c r="D53" s="710"/>
      <c r="E53" s="722" t="s">
        <v>497</v>
      </c>
      <c r="F53" s="2277"/>
      <c r="G53" s="2278"/>
      <c r="H53" s="709"/>
      <c r="I53" s="709"/>
      <c r="J53" s="719"/>
    </row>
    <row r="54" spans="1:11" ht="11.25" customHeight="1" x14ac:dyDescent="0.2">
      <c r="A54" s="725" t="s">
        <v>914</v>
      </c>
      <c r="B54" s="720" t="s">
        <v>952</v>
      </c>
      <c r="C54" s="719"/>
      <c r="D54" s="710"/>
      <c r="E54" s="722" t="s">
        <v>498</v>
      </c>
      <c r="F54" s="2277"/>
      <c r="G54" s="227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13" colorId="8" zoomScale="110" zoomScaleNormal="110" workbookViewId="0">
      <selection activeCell="J37" sqref="J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7" t="s">
        <v>856</v>
      </c>
      <c r="B1" s="2308"/>
      <c r="C1" s="2308"/>
      <c r="D1" s="2308"/>
      <c r="E1" s="2308"/>
      <c r="F1" s="2308"/>
      <c r="G1" s="2309"/>
      <c r="H1" s="1503"/>
      <c r="I1" s="733"/>
      <c r="J1" s="433"/>
    </row>
    <row r="2" spans="1:11" ht="26.25" x14ac:dyDescent="0.2">
      <c r="A2" s="2286" t="s">
        <v>1677</v>
      </c>
      <c r="B2" s="2287"/>
      <c r="C2" s="2287"/>
      <c r="D2" s="2287"/>
      <c r="E2" s="2288"/>
      <c r="F2" s="734" t="s">
        <v>904</v>
      </c>
      <c r="G2" s="735" t="s">
        <v>1674</v>
      </c>
      <c r="H2" s="735" t="s">
        <v>410</v>
      </c>
      <c r="I2" s="735" t="s">
        <v>1158</v>
      </c>
      <c r="J2" s="735" t="s">
        <v>1809</v>
      </c>
      <c r="K2" s="735" t="s">
        <v>138</v>
      </c>
    </row>
    <row r="3" spans="1:11" x14ac:dyDescent="0.2">
      <c r="A3" s="2289" t="s">
        <v>1961</v>
      </c>
      <c r="B3" s="2290"/>
      <c r="C3" s="2290"/>
      <c r="D3" s="2290"/>
      <c r="E3" s="2291"/>
      <c r="F3" s="736"/>
      <c r="G3" s="737"/>
      <c r="H3" s="737"/>
      <c r="I3" s="737"/>
      <c r="J3" s="738"/>
      <c r="K3" s="738">
        <v>92353</v>
      </c>
    </row>
    <row r="4" spans="1:11" x14ac:dyDescent="0.2">
      <c r="A4" s="2292" t="s">
        <v>369</v>
      </c>
      <c r="B4" s="2293"/>
      <c r="C4" s="2293"/>
      <c r="D4" s="2293"/>
      <c r="E4" s="2274"/>
      <c r="F4" s="739"/>
      <c r="G4" s="740"/>
      <c r="H4" s="741"/>
      <c r="I4" s="740"/>
      <c r="J4" s="742"/>
      <c r="K4" s="742"/>
    </row>
    <row r="5" spans="1:11" x14ac:dyDescent="0.2">
      <c r="A5" s="2310" t="s">
        <v>1069</v>
      </c>
      <c r="B5" s="2283"/>
      <c r="C5" s="2283"/>
      <c r="D5" s="2283"/>
      <c r="E5" s="2311"/>
      <c r="F5" s="743" t="s">
        <v>848</v>
      </c>
      <c r="G5" s="744"/>
      <c r="H5" s="737">
        <v>4940699</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v>50438</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v>46810</v>
      </c>
    </row>
    <row r="10" spans="1:11" x14ac:dyDescent="0.2">
      <c r="A10" s="2310" t="s">
        <v>1810</v>
      </c>
      <c r="B10" s="2283"/>
      <c r="C10" s="2283"/>
      <c r="D10" s="2283"/>
      <c r="E10" s="2312"/>
      <c r="F10" s="756" t="s">
        <v>862</v>
      </c>
      <c r="G10" s="755"/>
      <c r="H10" s="757"/>
      <c r="I10" s="737"/>
      <c r="J10" s="738"/>
      <c r="K10" s="738"/>
    </row>
    <row r="11" spans="1:11" x14ac:dyDescent="0.2">
      <c r="A11" s="2310" t="s">
        <v>160</v>
      </c>
      <c r="B11" s="2283"/>
      <c r="C11" s="2283"/>
      <c r="D11" s="2283"/>
      <c r="E11" s="2311"/>
      <c r="F11" s="743" t="s">
        <v>852</v>
      </c>
      <c r="G11" s="744"/>
      <c r="H11" s="737"/>
      <c r="I11" s="737"/>
      <c r="J11" s="738"/>
      <c r="K11" s="746"/>
    </row>
    <row r="12" spans="1:11" ht="13.5" thickBot="1" x14ac:dyDescent="0.25">
      <c r="A12" s="2300" t="s">
        <v>905</v>
      </c>
      <c r="B12" s="2301"/>
      <c r="C12" s="2301"/>
      <c r="D12" s="2301"/>
      <c r="E12" s="2302"/>
      <c r="F12" s="1730"/>
      <c r="G12" s="1731">
        <f>SUM(G5:G11)</f>
        <v>0</v>
      </c>
      <c r="H12" s="1731">
        <f>SUM(H5:H11)</f>
        <v>4940699</v>
      </c>
      <c r="I12" s="1731">
        <f>SUM(I5:I11)</f>
        <v>0</v>
      </c>
      <c r="J12" s="1731">
        <f>SUM(J5:J11)</f>
        <v>0</v>
      </c>
      <c r="K12" s="1731">
        <f>SUM(K5:K11)</f>
        <v>97248</v>
      </c>
    </row>
    <row r="13" spans="1:11" ht="13.5" thickTop="1" x14ac:dyDescent="0.2">
      <c r="A13" s="2294" t="s">
        <v>370</v>
      </c>
      <c r="B13" s="2295"/>
      <c r="C13" s="2295"/>
      <c r="D13" s="2295"/>
      <c r="E13" s="2296"/>
      <c r="F13" s="758"/>
      <c r="G13" s="759"/>
      <c r="H13" s="760"/>
      <c r="I13" s="761"/>
      <c r="J13" s="761"/>
      <c r="K13" s="761"/>
    </row>
    <row r="14" spans="1:11" x14ac:dyDescent="0.2">
      <c r="A14" s="2316" t="s">
        <v>456</v>
      </c>
      <c r="B14" s="2316"/>
      <c r="C14" s="2316"/>
      <c r="D14" s="2316"/>
      <c r="E14" s="2317"/>
      <c r="F14" s="762" t="s">
        <v>854</v>
      </c>
      <c r="G14" s="755"/>
      <c r="H14" s="737">
        <v>3696531</v>
      </c>
      <c r="I14" s="744"/>
      <c r="J14" s="746"/>
      <c r="K14" s="738">
        <v>40473</v>
      </c>
    </row>
    <row r="15" spans="1:11" x14ac:dyDescent="0.2">
      <c r="A15" s="2283" t="s">
        <v>4</v>
      </c>
      <c r="B15" s="2283"/>
      <c r="C15" s="2283"/>
      <c r="D15" s="2283"/>
      <c r="E15" s="2311"/>
      <c r="F15" s="762" t="s">
        <v>855</v>
      </c>
      <c r="G15" s="744"/>
      <c r="H15" s="737"/>
      <c r="I15" s="737"/>
      <c r="J15" s="738"/>
      <c r="K15" s="738"/>
    </row>
    <row r="16" spans="1:11" x14ac:dyDescent="0.2">
      <c r="A16" s="2283" t="s">
        <v>298</v>
      </c>
      <c r="B16" s="2283"/>
      <c r="C16" s="2283"/>
      <c r="D16" s="2283"/>
      <c r="E16" s="2311"/>
      <c r="F16" s="762" t="s">
        <v>923</v>
      </c>
      <c r="G16" s="745"/>
      <c r="H16" s="740"/>
      <c r="I16" s="740"/>
      <c r="J16" s="742"/>
      <c r="K16" s="742"/>
    </row>
    <row r="17" spans="1:11" x14ac:dyDescent="0.2">
      <c r="A17" s="2305" t="s">
        <v>935</v>
      </c>
      <c r="B17" s="2305"/>
      <c r="C17" s="2305"/>
      <c r="D17" s="2305"/>
      <c r="E17" s="2306"/>
      <c r="F17" s="763"/>
      <c r="G17" s="764"/>
      <c r="H17" s="765"/>
      <c r="I17" s="765"/>
      <c r="J17" s="766"/>
      <c r="K17" s="767"/>
    </row>
    <row r="18" spans="1:11" x14ac:dyDescent="0.2">
      <c r="A18" s="2297" t="s">
        <v>368</v>
      </c>
      <c r="B18" s="2298"/>
      <c r="C18" s="2298"/>
      <c r="D18" s="2298"/>
      <c r="E18" s="2299"/>
      <c r="F18" s="762" t="s">
        <v>932</v>
      </c>
      <c r="G18" s="755"/>
      <c r="H18" s="755"/>
      <c r="I18" s="755"/>
      <c r="J18" s="738"/>
      <c r="K18" s="768"/>
    </row>
    <row r="19" spans="1:11" ht="21.75" customHeight="1" x14ac:dyDescent="0.2">
      <c r="A19" s="2318" t="s">
        <v>1806</v>
      </c>
      <c r="B19" s="2318"/>
      <c r="C19" s="2318"/>
      <c r="D19" s="2318"/>
      <c r="E19" s="2319"/>
      <c r="F19" s="762" t="s">
        <v>933</v>
      </c>
      <c r="G19" s="755"/>
      <c r="H19" s="755"/>
      <c r="I19" s="755"/>
      <c r="J19" s="738"/>
      <c r="K19" s="768"/>
    </row>
    <row r="20" spans="1:11" x14ac:dyDescent="0.2">
      <c r="A20" s="2297" t="s">
        <v>1811</v>
      </c>
      <c r="B20" s="2298"/>
      <c r="C20" s="2298"/>
      <c r="D20" s="2298"/>
      <c r="E20" s="2299"/>
      <c r="F20" s="762" t="s">
        <v>934</v>
      </c>
      <c r="G20" s="755"/>
      <c r="H20" s="755"/>
      <c r="I20" s="755"/>
      <c r="J20" s="738"/>
      <c r="K20" s="768"/>
    </row>
    <row r="21" spans="1:11" ht="13.5" thickBot="1" x14ac:dyDescent="0.25">
      <c r="A21" s="2303" t="s">
        <v>638</v>
      </c>
      <c r="B21" s="2303"/>
      <c r="C21" s="2303"/>
      <c r="D21" s="2303"/>
      <c r="E21" s="2303"/>
      <c r="F21" s="1732"/>
      <c r="G21" s="765"/>
      <c r="H21" s="769"/>
      <c r="I21" s="769"/>
      <c r="J21" s="1733">
        <f>SUM(J18:J20)</f>
        <v>0</v>
      </c>
      <c r="K21" s="766"/>
    </row>
    <row r="22" spans="1:11" ht="13.5" thickTop="1" x14ac:dyDescent="0.2">
      <c r="A22" s="2283" t="s">
        <v>1812</v>
      </c>
      <c r="B22" s="2283"/>
      <c r="C22" s="2283"/>
      <c r="D22" s="2283"/>
      <c r="E22" s="2311"/>
      <c r="F22" s="762" t="s">
        <v>862</v>
      </c>
      <c r="G22" s="755"/>
      <c r="H22" s="737">
        <v>1244168</v>
      </c>
      <c r="I22" s="737"/>
      <c r="J22" s="770"/>
      <c r="K22" s="738"/>
    </row>
    <row r="23" spans="1:11" ht="13.5" thickBot="1" x14ac:dyDescent="0.25">
      <c r="A23" s="2304" t="s">
        <v>906</v>
      </c>
      <c r="B23" s="2303"/>
      <c r="C23" s="2303"/>
      <c r="D23" s="2303"/>
      <c r="E23" s="2303"/>
      <c r="F23" s="1734"/>
      <c r="G23" s="1731">
        <f>SUM(G14:G16,G21,G22)</f>
        <v>0</v>
      </c>
      <c r="H23" s="1731">
        <f>SUM(H14:H16,H21,H22)</f>
        <v>4940699</v>
      </c>
      <c r="I23" s="1731">
        <f>SUM(I14:I16,I21,I22)</f>
        <v>0</v>
      </c>
      <c r="J23" s="1731">
        <f>SUM(J14:J16,J21,J22)</f>
        <v>0</v>
      </c>
      <c r="K23" s="1731">
        <f>SUM(K14:K16,K21,K22)</f>
        <v>40473</v>
      </c>
    </row>
    <row r="24" spans="1:11" ht="14.25" thickTop="1" thickBot="1" x14ac:dyDescent="0.25">
      <c r="A24" s="2304" t="s">
        <v>1962</v>
      </c>
      <c r="B24" s="2303"/>
      <c r="C24" s="2303"/>
      <c r="D24" s="2303"/>
      <c r="E24" s="2303"/>
      <c r="F24" s="1735"/>
      <c r="G24" s="1736">
        <f>SUM(G3,G12)-G23</f>
        <v>0</v>
      </c>
      <c r="H24" s="1736">
        <f>SUM(H3,H12)-H23</f>
        <v>0</v>
      </c>
      <c r="I24" s="1736">
        <f>SUM(I3,I12)-I23</f>
        <v>0</v>
      </c>
      <c r="J24" s="1736">
        <f>SUM(J3,J12)-J23</f>
        <v>0</v>
      </c>
      <c r="K24" s="1736">
        <f>SUM(K3,K12)-K23</f>
        <v>149128</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149128</v>
      </c>
    </row>
    <row r="27" spans="1:11" ht="5.25" customHeight="1" thickTop="1" x14ac:dyDescent="0.2">
      <c r="I27" s="202"/>
      <c r="J27" s="202"/>
    </row>
    <row r="28" spans="1:11" ht="29.25" customHeight="1" x14ac:dyDescent="0.2">
      <c r="A28" s="1853" t="s">
        <v>1907</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13"/>
      <c r="I31" s="2314"/>
      <c r="J31" s="2314"/>
      <c r="K31" s="2314"/>
    </row>
    <row r="32" spans="1:11" x14ac:dyDescent="0.2">
      <c r="A32" s="782"/>
      <c r="B32" s="237"/>
      <c r="C32" s="237"/>
      <c r="D32" s="237"/>
      <c r="E32" s="778"/>
      <c r="F32" s="784" t="s">
        <v>540</v>
      </c>
      <c r="G32" s="737"/>
      <c r="H32" s="2315"/>
      <c r="I32" s="2314"/>
      <c r="J32" s="2314"/>
      <c r="K32" s="2314"/>
    </row>
    <row r="33" spans="1:11" ht="1.5" customHeight="1" x14ac:dyDescent="0.2">
      <c r="A33" s="785" t="s">
        <v>1169</v>
      </c>
      <c r="B33" s="364"/>
      <c r="C33" s="364"/>
      <c r="D33" s="364"/>
      <c r="E33" s="364"/>
      <c r="F33" s="364"/>
      <c r="G33" s="786"/>
      <c r="H33" s="2315"/>
      <c r="I33" s="2314"/>
      <c r="J33" s="2314"/>
      <c r="K33" s="2314"/>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3" t="s">
        <v>541</v>
      </c>
      <c r="B41" s="2284"/>
      <c r="C41" s="2284"/>
      <c r="D41" s="2284"/>
      <c r="E41" s="2284"/>
      <c r="F41" s="2285"/>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1807</v>
      </c>
      <c r="B46" s="408" t="s">
        <v>1675</v>
      </c>
    </row>
    <row r="47" spans="1:11" s="796" customFormat="1" ht="12.75" customHeight="1" x14ac:dyDescent="0.2">
      <c r="A47" s="794"/>
      <c r="B47" s="795" t="s">
        <v>1676</v>
      </c>
      <c r="E47" s="795"/>
      <c r="K47" s="797"/>
    </row>
    <row r="48" spans="1:11" ht="12.75" customHeight="1" x14ac:dyDescent="0.2">
      <c r="A48" s="1505"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2" t="s">
        <v>1906</v>
      </c>
      <c r="B1" s="2323"/>
      <c r="C1" s="2324"/>
      <c r="D1" s="799"/>
      <c r="E1" s="800"/>
      <c r="F1" s="800"/>
      <c r="G1" s="801"/>
      <c r="H1" s="802"/>
      <c r="I1" s="803"/>
      <c r="J1" s="2320"/>
      <c r="K1" s="2321"/>
      <c r="L1" s="2321"/>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6004268</v>
      </c>
      <c r="D5" s="814"/>
      <c r="E5" s="814"/>
      <c r="F5" s="1733">
        <f>(C5+D5)-E5</f>
        <v>6004268</v>
      </c>
      <c r="G5" s="810"/>
      <c r="H5" s="815"/>
      <c r="I5" s="815"/>
      <c r="J5" s="815"/>
      <c r="K5" s="766"/>
      <c r="L5" s="1742">
        <f>F5-K5</f>
        <v>6004268</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103967428</v>
      </c>
      <c r="D8" s="817">
        <v>28423150</v>
      </c>
      <c r="E8" s="817"/>
      <c r="F8" s="1733">
        <f>(C8+D8)-E8</f>
        <v>132390578</v>
      </c>
      <c r="G8" s="816">
        <v>50</v>
      </c>
      <c r="H8" s="738">
        <v>35485920</v>
      </c>
      <c r="I8" s="738">
        <v>2627456</v>
      </c>
      <c r="J8" s="738"/>
      <c r="K8" s="1742">
        <f>(H8+I8)-J8</f>
        <v>38113376</v>
      </c>
      <c r="L8" s="1742">
        <f>F8-K8</f>
        <v>94277202</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4327115</v>
      </c>
      <c r="D10" s="819">
        <v>5790</v>
      </c>
      <c r="E10" s="819"/>
      <c r="F10" s="1737">
        <f>(C10+D10)-E10</f>
        <v>4332905</v>
      </c>
      <c r="G10" s="816">
        <v>20</v>
      </c>
      <c r="H10" s="820">
        <v>2894740</v>
      </c>
      <c r="I10" s="820">
        <v>192649</v>
      </c>
      <c r="J10" s="820"/>
      <c r="K10" s="1742">
        <f>(H10+I10)-J10</f>
        <v>3087389</v>
      </c>
      <c r="L10" s="1742">
        <f>F10-K10</f>
        <v>1245516</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3847331</v>
      </c>
      <c r="D12" s="817">
        <v>805903</v>
      </c>
      <c r="E12" s="817"/>
      <c r="F12" s="1733">
        <f>(C12+D12)-E12</f>
        <v>4653234</v>
      </c>
      <c r="G12" s="816">
        <v>10</v>
      </c>
      <c r="H12" s="738">
        <v>2756283</v>
      </c>
      <c r="I12" s="738">
        <v>281523</v>
      </c>
      <c r="J12" s="738"/>
      <c r="K12" s="1742">
        <f>(H12+I12)-J12</f>
        <v>3037806</v>
      </c>
      <c r="L12" s="1742">
        <f>F12-K12</f>
        <v>1615428</v>
      </c>
    </row>
    <row r="13" spans="1:14" ht="14.25" thickTop="1" thickBot="1" x14ac:dyDescent="0.25">
      <c r="A13" s="821" t="s">
        <v>1122</v>
      </c>
      <c r="B13" s="813">
        <v>252</v>
      </c>
      <c r="C13" s="817">
        <v>377927</v>
      </c>
      <c r="D13" s="817"/>
      <c r="E13" s="817"/>
      <c r="F13" s="1733">
        <f>(C13+D13)-E13</f>
        <v>377927</v>
      </c>
      <c r="G13" s="816">
        <v>5</v>
      </c>
      <c r="H13" s="738">
        <v>198931</v>
      </c>
      <c r="I13" s="738"/>
      <c r="J13" s="738"/>
      <c r="K13" s="1742">
        <f>(H13+I13)-J13</f>
        <v>198931</v>
      </c>
      <c r="L13" s="1742">
        <f>F13-K13</f>
        <v>178996</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v>23474639</v>
      </c>
      <c r="D15" s="817"/>
      <c r="E15" s="817">
        <v>23107571</v>
      </c>
      <c r="F15" s="1733">
        <f>(C15+D15)-E15</f>
        <v>367068</v>
      </c>
      <c r="G15" s="822" t="s">
        <v>862</v>
      </c>
      <c r="H15" s="754"/>
      <c r="I15" s="754"/>
      <c r="J15" s="754"/>
      <c r="K15" s="754"/>
      <c r="L15" s="1742">
        <f>F15-K15</f>
        <v>367068</v>
      </c>
    </row>
    <row r="16" spans="1:14" ht="15" customHeight="1" thickTop="1" thickBot="1" x14ac:dyDescent="0.25">
      <c r="A16" s="1738" t="s">
        <v>643</v>
      </c>
      <c r="B16" s="1739">
        <v>200</v>
      </c>
      <c r="C16" s="1733">
        <f>SUM(C3,C5:C6,C8:C10,C12:C15)</f>
        <v>141998708</v>
      </c>
      <c r="D16" s="1733">
        <f>SUM(D3,D5:D6,D8:D10,D12:D15)</f>
        <v>29234843</v>
      </c>
      <c r="E16" s="1733">
        <f>SUM(E3,E5:E6,E8:E10,E12:E15)</f>
        <v>23107571</v>
      </c>
      <c r="F16" s="1733">
        <f>SUM(F3,F5:F6,F8:F10,F12:F15)</f>
        <v>148125980</v>
      </c>
      <c r="G16" s="816"/>
      <c r="H16" s="1733">
        <f>SUM(H3,H6,H8:H10,H12:H14,)</f>
        <v>41335874</v>
      </c>
      <c r="I16" s="1733">
        <f>SUM(I3,I6,I8:I10,I12:I14,)</f>
        <v>3101628</v>
      </c>
      <c r="J16" s="1733">
        <f>SUM(J3,J6,J8:J10,J12:J14,)</f>
        <v>0</v>
      </c>
      <c r="K16" s="1733">
        <f>(H16+I16)-J16</f>
        <v>44437502</v>
      </c>
      <c r="L16" s="1733">
        <f>F16-K16</f>
        <v>103688478</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498626</v>
      </c>
      <c r="G17" s="810">
        <v>10</v>
      </c>
      <c r="H17" s="742"/>
      <c r="I17" s="1742">
        <f>F17/G17</f>
        <v>49862.6</v>
      </c>
      <c r="J17" s="742"/>
      <c r="K17" s="768"/>
      <c r="L17" s="768"/>
    </row>
    <row r="18" spans="1:12" ht="14.25" thickTop="1" thickBot="1" x14ac:dyDescent="0.25">
      <c r="A18" s="1740" t="s">
        <v>685</v>
      </c>
      <c r="B18" s="1741"/>
      <c r="C18" s="744"/>
      <c r="D18" s="744"/>
      <c r="E18" s="744"/>
      <c r="F18" s="823"/>
      <c r="G18" s="824"/>
      <c r="H18" s="746"/>
      <c r="I18" s="1733">
        <f>SUM(I16,I17)</f>
        <v>3151490.6</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26" activePane="bottomLeft" state="frozen"/>
      <selection activeCell="AF22" sqref="AF22"/>
      <selection pane="bottomLeft" activeCell="N66" sqref="N66"/>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8" t="s">
        <v>1972</v>
      </c>
      <c r="B1" s="2329"/>
      <c r="C1" s="2329"/>
      <c r="D1" s="2329"/>
      <c r="E1" s="2329"/>
      <c r="F1" s="2330"/>
      <c r="G1" s="828"/>
    </row>
    <row r="2" spans="1:7" ht="15" customHeight="1" thickBot="1" x14ac:dyDescent="0.25">
      <c r="A2" s="2331" t="s">
        <v>477</v>
      </c>
      <c r="B2" s="2332"/>
      <c r="C2" s="2332"/>
      <c r="D2" s="2332"/>
      <c r="E2" s="2332"/>
      <c r="F2" s="2333"/>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4"/>
      <c r="B5" s="2335"/>
      <c r="C5" s="2335"/>
      <c r="D5" s="2335"/>
      <c r="E5" s="2335"/>
      <c r="F5" s="2335"/>
    </row>
    <row r="6" spans="1:7" ht="13.5" customHeight="1" thickBot="1" x14ac:dyDescent="0.25">
      <c r="A6" s="2325" t="s">
        <v>1104</v>
      </c>
      <c r="B6" s="2326"/>
      <c r="C6" s="2326"/>
      <c r="D6" s="2326"/>
      <c r="E6" s="2326"/>
      <c r="F6" s="2327"/>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41282077</v>
      </c>
      <c r="G8" s="838"/>
    </row>
    <row r="9" spans="1:7" x14ac:dyDescent="0.2">
      <c r="A9" s="842" t="s">
        <v>460</v>
      </c>
      <c r="B9" s="843" t="s">
        <v>1874</v>
      </c>
      <c r="C9" s="844"/>
      <c r="D9" s="842" t="s">
        <v>501</v>
      </c>
      <c r="E9" s="841"/>
      <c r="F9" s="1882">
        <f>'Expenditures 15-22'!K151</f>
        <v>5006248</v>
      </c>
      <c r="G9" s="845"/>
    </row>
    <row r="10" spans="1:7" x14ac:dyDescent="0.2">
      <c r="A10" s="842" t="s">
        <v>499</v>
      </c>
      <c r="B10" s="843" t="s">
        <v>1875</v>
      </c>
      <c r="C10" s="844"/>
      <c r="D10" s="842" t="s">
        <v>501</v>
      </c>
      <c r="E10" s="841"/>
      <c r="F10" s="1882">
        <f>'Expenditures 15-22'!K174</f>
        <v>7320416</v>
      </c>
      <c r="G10" s="845"/>
    </row>
    <row r="11" spans="1:7" x14ac:dyDescent="0.2">
      <c r="A11" s="842" t="s">
        <v>461</v>
      </c>
      <c r="B11" s="843" t="s">
        <v>1876</v>
      </c>
      <c r="C11" s="844"/>
      <c r="D11" s="842" t="s">
        <v>501</v>
      </c>
      <c r="E11" s="841"/>
      <c r="F11" s="1882">
        <f>'Expenditures 15-22'!K210</f>
        <v>3375386</v>
      </c>
      <c r="G11" s="845"/>
    </row>
    <row r="12" spans="1:7" x14ac:dyDescent="0.2">
      <c r="A12" s="842" t="s">
        <v>462</v>
      </c>
      <c r="B12" s="843" t="s">
        <v>1877</v>
      </c>
      <c r="C12" s="844"/>
      <c r="D12" s="842" t="s">
        <v>501</v>
      </c>
      <c r="E12" s="841"/>
      <c r="F12" s="1882">
        <f>'Expenditures 15-22'!K295</f>
        <v>1587774</v>
      </c>
      <c r="G12" s="845"/>
    </row>
    <row r="13" spans="1:7" x14ac:dyDescent="0.2">
      <c r="A13" s="842" t="s">
        <v>106</v>
      </c>
      <c r="B13" s="843" t="s">
        <v>1878</v>
      </c>
      <c r="C13" s="844"/>
      <c r="D13" s="842" t="s">
        <v>501</v>
      </c>
      <c r="E13" s="841"/>
      <c r="F13" s="1882">
        <f>'Expenditures 15-22'!K342</f>
        <v>697785</v>
      </c>
      <c r="G13" s="846"/>
    </row>
    <row r="14" spans="1:7" ht="12" customHeight="1" thickBot="1" x14ac:dyDescent="0.25">
      <c r="A14" s="1743"/>
      <c r="B14" s="1744"/>
      <c r="C14" s="1745"/>
      <c r="D14" s="1746" t="s">
        <v>501</v>
      </c>
      <c r="E14" s="1747" t="s">
        <v>958</v>
      </c>
      <c r="F14" s="1748">
        <f>SUM(F8:F13)</f>
        <v>59269686</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7">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1999</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418004</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799652</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5712</v>
      </c>
      <c r="G52" s="838"/>
    </row>
    <row r="53" spans="1:7" x14ac:dyDescent="0.2">
      <c r="A53" s="842" t="s">
        <v>459</v>
      </c>
      <c r="B53" s="842" t="s">
        <v>1475</v>
      </c>
      <c r="C53" s="862">
        <f>'Expenditures 15-22'!B102</f>
        <v>4000</v>
      </c>
      <c r="D53" s="861" t="str">
        <f>'Expenditures 15-22'!A102</f>
        <v>Total Payments to Other Govt Units</v>
      </c>
      <c r="E53" s="841"/>
      <c r="F53" s="1886">
        <f>'Expenditures 15-22'!K102</f>
        <v>2535293</v>
      </c>
      <c r="G53" s="838"/>
    </row>
    <row r="54" spans="1:7" x14ac:dyDescent="0.2">
      <c r="A54" s="842" t="s">
        <v>459</v>
      </c>
      <c r="B54" s="842" t="s">
        <v>1476</v>
      </c>
      <c r="C54" s="862" t="s">
        <v>982</v>
      </c>
      <c r="D54" s="858" t="s">
        <v>1095</v>
      </c>
      <c r="E54" s="841"/>
      <c r="F54" s="1886">
        <f>'Expenditures 15-22'!G114</f>
        <v>305990</v>
      </c>
      <c r="G54" s="838"/>
    </row>
    <row r="55" spans="1:7" x14ac:dyDescent="0.2">
      <c r="A55" s="842" t="s">
        <v>459</v>
      </c>
      <c r="B55" s="842" t="s">
        <v>1477</v>
      </c>
      <c r="C55" s="862" t="s">
        <v>982</v>
      </c>
      <c r="D55" s="858" t="s">
        <v>291</v>
      </c>
      <c r="E55" s="841"/>
      <c r="F55" s="1886">
        <f>'Expenditures 15-22'!I114</f>
        <v>308772</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1879</v>
      </c>
      <c r="C57" s="862">
        <f>'Expenditures 15-22'!B139</f>
        <v>4000</v>
      </c>
      <c r="D57" s="860" t="str">
        <f>'Expenditures 15-22'!A139</f>
        <v>Total Payments to Other Govt Units</v>
      </c>
      <c r="E57" s="841"/>
      <c r="F57" s="1886">
        <f>'Expenditures 15-22'!K139</f>
        <v>0</v>
      </c>
      <c r="G57" s="838"/>
    </row>
    <row r="58" spans="1:7" x14ac:dyDescent="0.2">
      <c r="A58" s="842" t="s">
        <v>460</v>
      </c>
      <c r="B58" s="842" t="s">
        <v>1880</v>
      </c>
      <c r="C58" s="859" t="s">
        <v>982</v>
      </c>
      <c r="D58" s="858" t="s">
        <v>1095</v>
      </c>
      <c r="E58" s="841"/>
      <c r="F58" s="1888">
        <f>'Expenditures 15-22'!G151</f>
        <v>604048</v>
      </c>
      <c r="G58" s="838"/>
    </row>
    <row r="59" spans="1:7" x14ac:dyDescent="0.2">
      <c r="A59" s="866" t="s">
        <v>460</v>
      </c>
      <c r="B59" s="829" t="s">
        <v>1881</v>
      </c>
      <c r="C59" s="867" t="s">
        <v>982</v>
      </c>
      <c r="D59" s="829" t="s">
        <v>291</v>
      </c>
      <c r="F59" s="1889">
        <f>'Expenditures 15-22'!I151</f>
        <v>186835</v>
      </c>
      <c r="G59" s="838"/>
    </row>
    <row r="60" spans="1:7" x14ac:dyDescent="0.2">
      <c r="A60" s="866" t="s">
        <v>499</v>
      </c>
      <c r="B60" s="829" t="s">
        <v>1882</v>
      </c>
      <c r="C60" s="867">
        <v>4000</v>
      </c>
      <c r="D60" s="829" t="s">
        <v>312</v>
      </c>
      <c r="F60" s="1887">
        <f>'Expenditures 15-22'!K160</f>
        <v>0</v>
      </c>
      <c r="G60" s="838"/>
    </row>
    <row r="61" spans="1:7" x14ac:dyDescent="0.2">
      <c r="A61" s="868" t="s">
        <v>499</v>
      </c>
      <c r="B61" s="868" t="s">
        <v>1883</v>
      </c>
      <c r="C61" s="869" t="str">
        <f>'Expenditures 15-22'!B170</f>
        <v>5300</v>
      </c>
      <c r="D61" s="870" t="s">
        <v>311</v>
      </c>
      <c r="E61" s="852"/>
      <c r="F61" s="1886">
        <f>'Expenditures 15-22'!K170</f>
        <v>2982710</v>
      </c>
      <c r="G61" s="838"/>
    </row>
    <row r="62" spans="1:7" x14ac:dyDescent="0.2">
      <c r="A62" s="842" t="s">
        <v>461</v>
      </c>
      <c r="B62" s="842" t="s">
        <v>1884</v>
      </c>
      <c r="C62" s="859">
        <f>'Expenditures 15-22'!B185</f>
        <v>3000</v>
      </c>
      <c r="D62" s="849" t="s">
        <v>449</v>
      </c>
      <c r="E62" s="841"/>
      <c r="F62" s="1886">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1886</v>
      </c>
      <c r="C64" s="869" t="str">
        <f>'Expenditures 15-22'!B206</f>
        <v>5300</v>
      </c>
      <c r="D64" s="865" t="s">
        <v>311</v>
      </c>
      <c r="E64" s="841"/>
      <c r="F64" s="1886">
        <f>'Expenditures 15-22'!K206</f>
        <v>0</v>
      </c>
      <c r="G64" s="838"/>
    </row>
    <row r="65" spans="1:8" x14ac:dyDescent="0.2">
      <c r="A65" s="842" t="s">
        <v>461</v>
      </c>
      <c r="B65" s="842" t="s">
        <v>1887</v>
      </c>
      <c r="C65" s="859" t="s">
        <v>982</v>
      </c>
      <c r="D65" s="858" t="s">
        <v>1095</v>
      </c>
      <c r="E65" s="841"/>
      <c r="F65" s="1886">
        <f>'Expenditures 15-22'!G210</f>
        <v>0</v>
      </c>
      <c r="G65" s="838"/>
    </row>
    <row r="66" spans="1:8" x14ac:dyDescent="0.2">
      <c r="A66" s="842" t="s">
        <v>461</v>
      </c>
      <c r="B66" s="842" t="s">
        <v>1888</v>
      </c>
      <c r="C66" s="859" t="s">
        <v>982</v>
      </c>
      <c r="D66" s="858" t="s">
        <v>291</v>
      </c>
      <c r="E66" s="841"/>
      <c r="F66" s="1886">
        <f>'Expenditures 15-22'!I210</f>
        <v>3019</v>
      </c>
      <c r="G66" s="838"/>
    </row>
    <row r="67" spans="1:8" x14ac:dyDescent="0.2">
      <c r="A67" s="842" t="s">
        <v>462</v>
      </c>
      <c r="B67" s="842" t="s">
        <v>1889</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17899</v>
      </c>
      <c r="G68" s="838"/>
    </row>
    <row r="69" spans="1:8" x14ac:dyDescent="0.2">
      <c r="A69" s="842" t="s">
        <v>462</v>
      </c>
      <c r="B69" s="842" t="s">
        <v>1890</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1891</v>
      </c>
      <c r="C70" s="859">
        <f>'Expenditures 15-22'!B221</f>
        <v>1300</v>
      </c>
      <c r="D70" s="860" t="str">
        <f>'Expenditures 15-22'!A221</f>
        <v>Adult/Continuing Education Programs</v>
      </c>
      <c r="E70" s="841"/>
      <c r="F70" s="1886">
        <f>'Expenditures 15-22'!K221</f>
        <v>0</v>
      </c>
      <c r="G70" s="838"/>
    </row>
    <row r="71" spans="1:8" x14ac:dyDescent="0.2">
      <c r="A71" s="842" t="s">
        <v>462</v>
      </c>
      <c r="B71" s="842" t="s">
        <v>1892</v>
      </c>
      <c r="C71" s="859">
        <f>'Expenditures 15-22'!B224</f>
        <v>1600</v>
      </c>
      <c r="D71" s="860" t="str">
        <f>'Expenditures 15-22'!A224</f>
        <v>Summer School Programs</v>
      </c>
      <c r="E71" s="841"/>
      <c r="F71" s="1886">
        <f>'Expenditures 15-22'!K224</f>
        <v>0</v>
      </c>
      <c r="G71" s="838"/>
    </row>
    <row r="72" spans="1:8" x14ac:dyDescent="0.2">
      <c r="A72" s="842" t="s">
        <v>462</v>
      </c>
      <c r="B72" s="842" t="s">
        <v>1893</v>
      </c>
      <c r="C72" s="859">
        <f>'Expenditures 15-22'!B280</f>
        <v>3000</v>
      </c>
      <c r="D72" s="849" t="s">
        <v>449</v>
      </c>
      <c r="E72" s="841"/>
      <c r="F72" s="1886">
        <f>'Expenditures 15-22'!K280</f>
        <v>0</v>
      </c>
      <c r="G72" s="838"/>
    </row>
    <row r="73" spans="1:8" x14ac:dyDescent="0.2">
      <c r="A73" s="842" t="s">
        <v>462</v>
      </c>
      <c r="B73" s="842" t="s">
        <v>1894</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1895</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1896</v>
      </c>
      <c r="E76" s="1747" t="s">
        <v>958</v>
      </c>
      <c r="F76" s="1751">
        <f>SUM(F18:F74)</f>
        <v>8167934</v>
      </c>
      <c r="G76" s="838"/>
    </row>
    <row r="77" spans="1:8" s="866" customFormat="1" ht="12" customHeight="1" thickTop="1" thickBot="1" x14ac:dyDescent="0.25">
      <c r="A77" s="1752"/>
      <c r="B77" s="1749"/>
      <c r="C77" s="1745"/>
      <c r="D77" s="1750" t="s">
        <v>1897</v>
      </c>
      <c r="E77" s="1747"/>
      <c r="F77" s="1753">
        <f>(F14-F76)</f>
        <v>51101752</v>
      </c>
      <c r="G77" s="842"/>
    </row>
    <row r="78" spans="1:8" s="866" customFormat="1" ht="12" customHeight="1" thickTop="1" x14ac:dyDescent="0.2">
      <c r="A78" s="1754"/>
      <c r="B78" s="1749"/>
      <c r="C78" s="1745"/>
      <c r="D78" s="1750" t="s">
        <v>2059</v>
      </c>
      <c r="E78" s="1747"/>
      <c r="F78" s="871">
        <v>4032.2</v>
      </c>
      <c r="G78" s="872"/>
      <c r="H78" s="842"/>
    </row>
    <row r="79" spans="1:8" s="866" customFormat="1" ht="12" customHeight="1" thickBot="1" x14ac:dyDescent="0.25">
      <c r="A79" s="1755"/>
      <c r="B79" s="1749"/>
      <c r="C79" s="1745"/>
      <c r="D79" s="1750" t="s">
        <v>1898</v>
      </c>
      <c r="E79" s="1747" t="s">
        <v>958</v>
      </c>
      <c r="F79" s="1756">
        <f>IF(F78&gt;0,F77/F78," Complete Line 78")</f>
        <v>12673.416993204703</v>
      </c>
      <c r="G79" s="842"/>
    </row>
    <row r="80" spans="1:8" s="866" customFormat="1" ht="8.25" customHeight="1" thickTop="1" x14ac:dyDescent="0.2">
      <c r="A80" s="873"/>
      <c r="B80" s="842"/>
      <c r="C80" s="844"/>
      <c r="D80" s="874"/>
      <c r="E80" s="841"/>
      <c r="F80" s="875"/>
      <c r="G80" s="842"/>
    </row>
    <row r="81" spans="1:7" s="866" customFormat="1" ht="12" thickBot="1" x14ac:dyDescent="0.25">
      <c r="A81" s="2325" t="s">
        <v>1105</v>
      </c>
      <c r="B81" s="2326"/>
      <c r="C81" s="2326"/>
      <c r="D81" s="2326"/>
      <c r="E81" s="2326"/>
      <c r="F81" s="2327"/>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5329</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947160</v>
      </c>
      <c r="G94" s="885"/>
    </row>
    <row r="95" spans="1:7" x14ac:dyDescent="0.2">
      <c r="A95" s="881" t="s">
        <v>140</v>
      </c>
      <c r="B95" s="881" t="s">
        <v>175</v>
      </c>
      <c r="C95" s="883">
        <v>1700</v>
      </c>
      <c r="D95" s="891" t="str">
        <f>'Revenues 9-14'!A82</f>
        <v>Total District/School Activity Income</v>
      </c>
      <c r="E95" s="879"/>
      <c r="F95" s="1762">
        <f>SUM('Revenues 9-14'!C82,'Revenues 9-14'!D82)</f>
        <v>366838</v>
      </c>
      <c r="G95" s="885"/>
    </row>
    <row r="96" spans="1:7" x14ac:dyDescent="0.2">
      <c r="A96" s="881" t="s">
        <v>459</v>
      </c>
      <c r="B96" s="881" t="s">
        <v>176</v>
      </c>
      <c r="C96" s="883">
        <f>'Revenues 9-14'!B84</f>
        <v>1811</v>
      </c>
      <c r="D96" s="884" t="str">
        <f>'Revenues 9-14'!A84</f>
        <v>Rentals - Regular Textbooks</v>
      </c>
      <c r="E96" s="879"/>
      <c r="F96" s="1762">
        <f>'Revenues 9-14'!C84</f>
        <v>726332</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328830</v>
      </c>
      <c r="G100" s="885"/>
    </row>
    <row r="101" spans="1:7" x14ac:dyDescent="0.2">
      <c r="A101" s="881" t="s">
        <v>140</v>
      </c>
      <c r="B101" s="881" t="s">
        <v>181</v>
      </c>
      <c r="C101" s="883">
        <f>'Revenues 9-14'!B95</f>
        <v>1910</v>
      </c>
      <c r="D101" s="884" t="str">
        <f>'Revenues 9-14'!A95</f>
        <v>Rentals</v>
      </c>
      <c r="E101" s="879"/>
      <c r="F101" s="1762">
        <f>SUM('Revenues 9-14'!C95:D95)</f>
        <v>87463</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123485</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2000</v>
      </c>
      <c r="C105" s="886">
        <v>3100</v>
      </c>
      <c r="D105" s="892" t="str">
        <f>'Revenues 9-14'!A132</f>
        <v>Total Special Education</v>
      </c>
      <c r="E105" s="879"/>
      <c r="F105" s="1762">
        <f>SUM('Revenues 9-14'!C132:D132,'Revenues 9-14'!F132)</f>
        <v>336750</v>
      </c>
      <c r="G105" s="885"/>
    </row>
    <row r="106" spans="1:7" x14ac:dyDescent="0.2">
      <c r="A106" s="881" t="s">
        <v>673</v>
      </c>
      <c r="B106" s="881" t="s">
        <v>2001</v>
      </c>
      <c r="C106" s="893">
        <v>3200</v>
      </c>
      <c r="D106" s="884" t="str">
        <f>'Revenues 9-14'!A141</f>
        <v>Total Career and Technical Education</v>
      </c>
      <c r="E106" s="879"/>
      <c r="F106" s="1762">
        <f>SUM('Revenues 9-14'!C141,'Revenues 9-14'!D141,'Revenues 9-14'!G141)</f>
        <v>67507</v>
      </c>
      <c r="G106" s="885"/>
    </row>
    <row r="107" spans="1:7" x14ac:dyDescent="0.2">
      <c r="A107" s="894" t="s">
        <v>664</v>
      </c>
      <c r="B107" s="881" t="s">
        <v>2002</v>
      </c>
      <c r="C107" s="893">
        <v>3300</v>
      </c>
      <c r="D107" s="884" t="str">
        <f>'Revenues 9-14'!A145</f>
        <v>Total Bilingual Ed</v>
      </c>
      <c r="E107" s="879"/>
      <c r="F107" s="1762">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2">
        <f>'Revenues 9-14'!C146</f>
        <v>2652</v>
      </c>
      <c r="G108" s="885"/>
    </row>
    <row r="109" spans="1:7" x14ac:dyDescent="0.2">
      <c r="A109" s="881" t="s">
        <v>673</v>
      </c>
      <c r="B109" s="881" t="s">
        <v>2004</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2">
        <f>SUM('Revenues 9-14'!C148,'Revenues 9-14'!D148)</f>
        <v>46810</v>
      </c>
      <c r="G110" s="885"/>
    </row>
    <row r="111" spans="1:7" x14ac:dyDescent="0.2">
      <c r="A111" s="881" t="s">
        <v>668</v>
      </c>
      <c r="B111" s="881" t="s">
        <v>2006</v>
      </c>
      <c r="C111" s="895">
        <v>3500</v>
      </c>
      <c r="D111" s="884" t="str">
        <f>'Revenues 9-14'!A155</f>
        <v>Total Transportation</v>
      </c>
      <c r="E111" s="879"/>
      <c r="F111" s="1762">
        <f>SUM('Revenues 9-14'!C155,'Revenues 9-14'!D155,'Revenues 9-14'!F155,'Revenues 9-14'!G155)</f>
        <v>1862540</v>
      </c>
      <c r="G111" s="885"/>
    </row>
    <row r="112" spans="1:7" x14ac:dyDescent="0.2">
      <c r="A112" s="881" t="s">
        <v>459</v>
      </c>
      <c r="B112" s="881" t="s">
        <v>2007</v>
      </c>
      <c r="C112" s="893">
        <f>'Revenues 9-14'!B156</f>
        <v>3610</v>
      </c>
      <c r="D112" s="884" t="str">
        <f>'Revenues 9-14'!A156</f>
        <v>Learning Improvement - Change Grants</v>
      </c>
      <c r="E112" s="879"/>
      <c r="F112" s="1762">
        <f>'Revenues 9-14'!C156</f>
        <v>0</v>
      </c>
      <c r="G112" s="885"/>
    </row>
    <row r="113" spans="1:7" x14ac:dyDescent="0.2">
      <c r="A113" s="881" t="s">
        <v>668</v>
      </c>
      <c r="B113" s="881" t="s">
        <v>2008</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80">
        <f>SUM('Revenues 9-14'!C163:G163)</f>
        <v>0</v>
      </c>
      <c r="G118" s="885"/>
    </row>
    <row r="119" spans="1:7" x14ac:dyDescent="0.2">
      <c r="A119" s="896" t="s">
        <v>504</v>
      </c>
      <c r="B119" s="896" t="s">
        <v>2014</v>
      </c>
      <c r="C119" s="897">
        <f>'Revenues 9-14'!B164</f>
        <v>3815</v>
      </c>
      <c r="D119" s="898" t="str">
        <f>'Revenues 9-14'!A164</f>
        <v>State Charter Schools</v>
      </c>
      <c r="E119" s="879"/>
      <c r="F119" s="1880">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2">
        <f>'Revenues 9-14'!D167</f>
        <v>0</v>
      </c>
      <c r="G120" s="903"/>
    </row>
    <row r="121" spans="1:7" x14ac:dyDescent="0.2">
      <c r="A121" s="900" t="s">
        <v>500</v>
      </c>
      <c r="B121" s="900" t="s">
        <v>2016</v>
      </c>
      <c r="C121" s="901">
        <f>'Revenues 9-14'!B168</f>
        <v>3999</v>
      </c>
      <c r="D121" s="902" t="s">
        <v>543</v>
      </c>
      <c r="E121" s="904"/>
      <c r="F121" s="1762">
        <f>SUM('Revenues 9-14'!C168:G168,'Revenues 9-14'!J168)</f>
        <v>75405</v>
      </c>
      <c r="G121" s="903"/>
    </row>
    <row r="122" spans="1:7" x14ac:dyDescent="0.2">
      <c r="A122" s="900" t="s">
        <v>459</v>
      </c>
      <c r="B122" s="900" t="s">
        <v>2017</v>
      </c>
      <c r="C122" s="905">
        <f>'Revenues 9-14'!B177</f>
        <v>4045</v>
      </c>
      <c r="D122" s="902" t="str">
        <f>'Revenues 9-14'!A177 &amp; " (Subtract)"</f>
        <v>Head Start (Subtract)</v>
      </c>
      <c r="E122" s="879"/>
      <c r="F122" s="1762">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2019</v>
      </c>
      <c r="C124" s="905">
        <v>4100</v>
      </c>
      <c r="D124" s="906" t="str">
        <f>'Revenues 9-14'!A188</f>
        <v>Total Title V</v>
      </c>
      <c r="E124" s="879"/>
      <c r="F124" s="1762">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2">
        <f>SUM('Revenues 9-14'!C198,'Revenues 9-14'!G198)</f>
        <v>233175</v>
      </c>
      <c r="G125" s="903"/>
    </row>
    <row r="126" spans="1:7" x14ac:dyDescent="0.2">
      <c r="A126" s="900" t="s">
        <v>668</v>
      </c>
      <c r="B126" s="900" t="s">
        <v>2021</v>
      </c>
      <c r="C126" s="905">
        <v>4300</v>
      </c>
      <c r="D126" s="906" t="str">
        <f>'Revenues 9-14'!A204</f>
        <v>Total Title I</v>
      </c>
      <c r="E126" s="879"/>
      <c r="F126" s="1762">
        <f>SUM('Revenues 9-14'!C204,'Revenues 9-14'!D204,'Revenues 9-14'!F204,'Revenues 9-14'!G204)</f>
        <v>343865</v>
      </c>
      <c r="G126" s="903"/>
    </row>
    <row r="127" spans="1:7" x14ac:dyDescent="0.2">
      <c r="A127" s="900" t="s">
        <v>668</v>
      </c>
      <c r="B127" s="900" t="s">
        <v>2022</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2023</v>
      </c>
      <c r="C128" s="905">
        <f>'Revenues 9-14'!B213</f>
        <v>4620</v>
      </c>
      <c r="D128" s="906" t="str">
        <f>'Revenues 9-14'!A213</f>
        <v>Fed - Spec Education - IDEA - Flow Through</v>
      </c>
      <c r="E128" s="879"/>
      <c r="F128" s="1762">
        <f>SUM('Revenues 9-14'!C213:D213,'Revenues 9-14'!F213:G213)</f>
        <v>401493</v>
      </c>
      <c r="G128" s="903"/>
    </row>
    <row r="129" spans="1:7" x14ac:dyDescent="0.2">
      <c r="A129" s="900" t="s">
        <v>668</v>
      </c>
      <c r="B129" s="900" t="s">
        <v>2024</v>
      </c>
      <c r="C129" s="905">
        <f>'Revenues 9-14'!B214</f>
        <v>4625</v>
      </c>
      <c r="D129" s="906" t="str">
        <f>'Revenues 9-14'!A214</f>
        <v>Fed - Spec Education - IDEA - Room &amp; Board</v>
      </c>
      <c r="E129" s="879"/>
      <c r="F129" s="1762">
        <f>SUM('Revenues 9-14'!C214,'Revenues 9-14'!D214,'Revenues 9-14'!F214,'Revenues 9-14'!G214)</f>
        <v>12690</v>
      </c>
      <c r="G129" s="903"/>
    </row>
    <row r="130" spans="1:7" x14ac:dyDescent="0.2">
      <c r="A130" s="900" t="s">
        <v>668</v>
      </c>
      <c r="B130" s="900" t="s">
        <v>2025</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2026</v>
      </c>
      <c r="C132" s="905">
        <v>4700</v>
      </c>
      <c r="D132" s="902" t="str">
        <f>'Revenues 9-14'!A221</f>
        <v>Total CTE - Perkins</v>
      </c>
      <c r="E132" s="879"/>
      <c r="F132" s="1762">
        <f>SUM('Revenues 9-14'!C221,'Revenues 9-14'!D221,'Revenues 9-14'!G221)</f>
        <v>46014</v>
      </c>
      <c r="G132" s="903">
        <v>6303</v>
      </c>
    </row>
    <row r="133" spans="1:7" s="840" customFormat="1" hidden="1" x14ac:dyDescent="0.2">
      <c r="A133" s="907" t="s">
        <v>206</v>
      </c>
      <c r="B133" s="907" t="s">
        <v>2027</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2">
        <v>0</v>
      </c>
      <c r="G138" s="878"/>
    </row>
    <row r="139" spans="1:7" s="840" customFormat="1" hidden="1" x14ac:dyDescent="0.2">
      <c r="A139" s="907" t="s">
        <v>206</v>
      </c>
      <c r="B139" s="907" t="s">
        <v>2033</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2041</v>
      </c>
      <c r="C157" s="913" t="s">
        <v>841</v>
      </c>
      <c r="D157" s="914" t="s">
        <v>777</v>
      </c>
      <c r="E157" s="915"/>
      <c r="F157" s="1762">
        <f>SUM(F133:F156)</f>
        <v>0</v>
      </c>
      <c r="G157" s="878"/>
    </row>
    <row r="158" spans="1:7" s="840" customFormat="1" x14ac:dyDescent="0.2">
      <c r="A158" s="911" t="s">
        <v>459</v>
      </c>
      <c r="B158" s="912" t="s">
        <v>2042</v>
      </c>
      <c r="C158" s="913" t="s">
        <v>1427</v>
      </c>
      <c r="D158" s="914" t="s">
        <v>1428</v>
      </c>
      <c r="E158" s="915"/>
      <c r="F158" s="1762">
        <f>SUM('Revenues 9-14'!C253)</f>
        <v>0</v>
      </c>
      <c r="G158" s="878"/>
    </row>
    <row r="159" spans="1:7" s="840" customFormat="1" x14ac:dyDescent="0.2">
      <c r="A159" s="911" t="s">
        <v>500</v>
      </c>
      <c r="B159" s="912" t="s">
        <v>2043</v>
      </c>
      <c r="C159" s="913" t="s">
        <v>1466</v>
      </c>
      <c r="D159" s="914" t="s">
        <v>1467</v>
      </c>
      <c r="E159" s="915"/>
      <c r="F159" s="1762">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2045</v>
      </c>
      <c r="C161" s="905">
        <f>'Revenues 9-14'!B256</f>
        <v>4909</v>
      </c>
      <c r="D161" s="902" t="str">
        <f>'Revenues 9-14'!A256</f>
        <v>Title III - Language Inst Program - Limited Eng (LIPLEP)</v>
      </c>
      <c r="E161" s="879"/>
      <c r="F161" s="1762">
        <f>SUM('Revenues 9-14'!C256,'Revenues 9-14'!F256,'Revenues 9-14'!G256)</f>
        <v>25092</v>
      </c>
      <c r="G161" s="916"/>
    </row>
    <row r="162" spans="1:7" x14ac:dyDescent="0.2">
      <c r="A162" s="900" t="s">
        <v>668</v>
      </c>
      <c r="B162" s="900" t="s">
        <v>2046</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80">
        <f>SUM('Revenues 9-14'!C259,'Revenues 9-14'!D259,'Revenues 9-14'!F259,'Revenues 9-14'!G259)</f>
        <v>43556</v>
      </c>
      <c r="G164" s="903"/>
    </row>
    <row r="165" spans="1:7" x14ac:dyDescent="0.2">
      <c r="A165" s="900" t="s">
        <v>668</v>
      </c>
      <c r="B165" s="900" t="s">
        <v>2049</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2">
        <f>SUM('Revenues 9-14'!C263:D263,'Revenues 9-14'!F263:G263)</f>
        <v>77377</v>
      </c>
      <c r="G168" s="920">
        <v>6320</v>
      </c>
    </row>
    <row r="169" spans="1:7" x14ac:dyDescent="0.2">
      <c r="A169" s="900" t="s">
        <v>668</v>
      </c>
      <c r="B169" s="900" t="s">
        <v>2051</v>
      </c>
      <c r="C169" s="905">
        <f>'Revenues 9-14'!B264</f>
        <v>4992</v>
      </c>
      <c r="D169" s="906" t="str">
        <f>'Revenues 9-14'!A264</f>
        <v>Medicaid Matching Funds - Fee-for-Service Program</v>
      </c>
      <c r="E169" s="879"/>
      <c r="F169" s="1762">
        <f>SUM('Revenues 9-14'!C264:D264,'Revenues 9-14'!F264:G264)</f>
        <v>76496</v>
      </c>
      <c r="G169" s="920"/>
    </row>
    <row r="170" spans="1:7" x14ac:dyDescent="0.2">
      <c r="A170" s="921" t="s">
        <v>668</v>
      </c>
      <c r="B170" s="917" t="s">
        <v>2052</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1917</v>
      </c>
      <c r="C171" s="1893">
        <v>3100</v>
      </c>
      <c r="D171" s="1894" t="s">
        <v>1919</v>
      </c>
      <c r="E171" s="879"/>
      <c r="F171" s="1879">
        <v>1052199</v>
      </c>
      <c r="G171" s="900"/>
    </row>
    <row r="172" spans="1:7" x14ac:dyDescent="0.2">
      <c r="A172" s="1891" t="s">
        <v>664</v>
      </c>
      <c r="B172" s="1892" t="s">
        <v>1917</v>
      </c>
      <c r="C172" s="1893">
        <v>3300</v>
      </c>
      <c r="D172" s="1894" t="s">
        <v>1920</v>
      </c>
      <c r="E172" s="879"/>
      <c r="F172" s="1879">
        <v>77160</v>
      </c>
      <c r="G172" s="900"/>
    </row>
    <row r="173" spans="1:7" ht="6" customHeight="1" x14ac:dyDescent="0.2">
      <c r="A173" s="900"/>
      <c r="B173" s="900"/>
      <c r="C173" s="922"/>
      <c r="D173" s="900"/>
      <c r="E173" s="879"/>
      <c r="F173" s="923"/>
      <c r="G173" s="920"/>
    </row>
    <row r="174" spans="1:7" x14ac:dyDescent="0.2">
      <c r="A174" s="1743"/>
      <c r="B174" s="1757"/>
      <c r="C174" s="1758"/>
      <c r="D174" s="1759" t="s">
        <v>2053</v>
      </c>
      <c r="E174" s="1760" t="s">
        <v>958</v>
      </c>
      <c r="F174" s="1761">
        <f>SUM(F84:F132,F157:F172)</f>
        <v>7366218</v>
      </c>
    </row>
    <row r="175" spans="1:7" ht="12" customHeight="1" x14ac:dyDescent="0.2">
      <c r="A175" s="1743"/>
      <c r="B175" s="1757"/>
      <c r="C175" s="1758"/>
      <c r="D175" s="1759" t="s">
        <v>2054</v>
      </c>
      <c r="E175" s="1760"/>
      <c r="F175" s="1762">
        <f>'PCTC-OEPP 27-28'!F77-F174</f>
        <v>43735534</v>
      </c>
    </row>
    <row r="176" spans="1:7" ht="12" customHeight="1" x14ac:dyDescent="0.2">
      <c r="A176" s="1743"/>
      <c r="B176" s="1757"/>
      <c r="C176" s="1758"/>
      <c r="D176" s="1759" t="s">
        <v>1814</v>
      </c>
      <c r="E176" s="1760"/>
      <c r="F176" s="1762">
        <f>'Cap Outlay Deprec 26'!I18</f>
        <v>3151490.6</v>
      </c>
    </row>
    <row r="177" spans="1:7" ht="12" customHeight="1" x14ac:dyDescent="0.2">
      <c r="A177" s="1743"/>
      <c r="B177" s="1757"/>
      <c r="C177" s="1758"/>
      <c r="D177" s="1759" t="s">
        <v>2055</v>
      </c>
      <c r="E177" s="1760"/>
      <c r="F177" s="1762">
        <f>F175+F176</f>
        <v>46887024.600000001</v>
      </c>
    </row>
    <row r="178" spans="1:7" ht="12" customHeight="1" x14ac:dyDescent="0.2">
      <c r="A178" s="1743"/>
      <c r="B178" s="1763"/>
      <c r="C178" s="1758"/>
      <c r="D178" s="1759" t="str">
        <f>D78</f>
        <v>9 Month ADA from District Average Daily Attendance/Prior General State Aid Inquiry 2018-2019</v>
      </c>
      <c r="E178" s="1760"/>
      <c r="F178" s="1764">
        <f>'PCTC-OEPP 27-28'!F78</f>
        <v>4032.2</v>
      </c>
      <c r="G178" s="903"/>
    </row>
    <row r="179" spans="1:7" ht="12" customHeight="1" thickBot="1" x14ac:dyDescent="0.25">
      <c r="A179" s="1743"/>
      <c r="B179" s="1763"/>
      <c r="C179" s="1758"/>
      <c r="D179" s="1759" t="s">
        <v>2056</v>
      </c>
      <c r="E179" s="1760" t="s">
        <v>1545</v>
      </c>
      <c r="F179" s="1765">
        <f>F177/F178</f>
        <v>11628.149546153465</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5" customFormat="1" ht="12.2" customHeight="1" x14ac:dyDescent="0.2">
      <c r="A182" s="1895" t="s">
        <v>1991</v>
      </c>
      <c r="B182" s="1896"/>
      <c r="C182" s="1897"/>
      <c r="D182" s="1896"/>
      <c r="E182" s="1897"/>
      <c r="F182" s="1896"/>
      <c r="G182" s="1896"/>
    </row>
    <row r="183" spans="1:7" s="1895" customFormat="1" ht="12.2" customHeight="1" x14ac:dyDescent="0.2">
      <c r="A183" s="1898" t="s">
        <v>1993</v>
      </c>
      <c r="C183" s="1897"/>
      <c r="D183" s="1896"/>
      <c r="E183" s="1897"/>
      <c r="F183" s="1896"/>
      <c r="G183" s="1896"/>
    </row>
    <row r="184" spans="1:7" ht="12" customHeight="1" x14ac:dyDescent="0.2">
      <c r="C184" s="922"/>
      <c r="D184" s="903"/>
      <c r="E184" s="922"/>
      <c r="F184" s="903"/>
      <c r="G184" s="903"/>
    </row>
    <row r="185" spans="1:7" x14ac:dyDescent="0.2">
      <c r="A185" s="1899" t="s">
        <v>1922</v>
      </c>
      <c r="B185" s="1900"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7" zoomScaleNormal="100" workbookViewId="0">
      <selection activeCell="D23" sqref="D23"/>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1829</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9" t="s">
        <v>1815</v>
      </c>
      <c r="B4" s="2340"/>
      <c r="C4" s="2340"/>
      <c r="D4" s="2340"/>
      <c r="E4" s="2340"/>
      <c r="F4" s="2340"/>
      <c r="G4" s="2341"/>
    </row>
    <row r="5" spans="1:7" x14ac:dyDescent="0.25">
      <c r="A5" s="2342"/>
      <c r="B5" s="2343"/>
      <c r="C5" s="2343"/>
      <c r="D5" s="2343"/>
      <c r="E5" s="2343"/>
      <c r="F5" s="2343"/>
      <c r="G5" s="2344"/>
    </row>
    <row r="6" spans="1:7" ht="18.75" x14ac:dyDescent="0.25">
      <c r="A6" s="1507" t="s">
        <v>1816</v>
      </c>
      <c r="B6" s="1508"/>
      <c r="C6" s="1508"/>
      <c r="D6" s="1508"/>
      <c r="E6" s="1508"/>
      <c r="F6" s="1508"/>
      <c r="G6" s="1509"/>
    </row>
    <row r="7" spans="1:7" ht="30.75" customHeight="1" x14ac:dyDescent="0.25">
      <c r="A7" s="2345" t="s">
        <v>1929</v>
      </c>
      <c r="B7" s="2346"/>
      <c r="C7" s="2346"/>
      <c r="D7" s="2346"/>
      <c r="E7" s="2346"/>
      <c r="F7" s="2346"/>
      <c r="G7" s="2347"/>
    </row>
    <row r="8" spans="1:7" ht="15.75" customHeight="1" x14ac:dyDescent="0.25">
      <c r="A8" s="2348" t="s">
        <v>1904</v>
      </c>
      <c r="B8" s="2349"/>
      <c r="C8" s="2349"/>
      <c r="D8" s="2349"/>
      <c r="E8" s="2349"/>
      <c r="F8" s="2349"/>
      <c r="G8" s="2350"/>
    </row>
    <row r="9" spans="1:7" ht="35.25" customHeight="1" x14ac:dyDescent="0.25">
      <c r="A9" s="2345" t="s">
        <v>1932</v>
      </c>
      <c r="B9" s="2346"/>
      <c r="C9" s="2346"/>
      <c r="D9" s="2346"/>
      <c r="E9" s="2346"/>
      <c r="F9" s="2346"/>
      <c r="G9" s="2347"/>
    </row>
    <row r="10" spans="1:7" ht="15" customHeight="1" x14ac:dyDescent="0.25">
      <c r="A10" s="1510" t="s">
        <v>1817</v>
      </c>
      <c r="B10" s="1511"/>
      <c r="C10" s="1511"/>
      <c r="D10" s="1511"/>
      <c r="E10" s="1511"/>
      <c r="F10" s="1511"/>
      <c r="G10" s="1512"/>
    </row>
    <row r="11" spans="1:7" ht="17.25" customHeight="1" x14ac:dyDescent="0.25">
      <c r="A11" s="2345" t="s">
        <v>1931</v>
      </c>
      <c r="B11" s="2346"/>
      <c r="C11" s="2346"/>
      <c r="D11" s="2346"/>
      <c r="E11" s="2346"/>
      <c r="F11" s="2346"/>
      <c r="G11" s="2347"/>
    </row>
    <row r="12" spans="1:7" ht="15" customHeight="1" x14ac:dyDescent="0.25">
      <c r="A12" s="1510" t="s">
        <v>1822</v>
      </c>
      <c r="B12" s="1511"/>
      <c r="C12" s="1511"/>
      <c r="D12" s="1511"/>
      <c r="E12" s="1511"/>
      <c r="F12" s="1511"/>
      <c r="G12" s="1512"/>
    </row>
    <row r="13" spans="1:7" ht="32.25" customHeight="1" x14ac:dyDescent="0.25">
      <c r="A13" s="2336" t="s">
        <v>1973</v>
      </c>
      <c r="B13" s="2337"/>
      <c r="C13" s="2337"/>
      <c r="D13" s="2337"/>
      <c r="E13" s="2337"/>
      <c r="F13" s="2337"/>
      <c r="G13" s="2338"/>
    </row>
    <row r="14" spans="1:7" x14ac:dyDescent="0.25">
      <c r="A14" s="1634" t="s">
        <v>1830</v>
      </c>
      <c r="B14" s="1635"/>
      <c r="C14" s="1635"/>
      <c r="D14" s="1635"/>
      <c r="E14" s="1635"/>
      <c r="F14" s="1635"/>
      <c r="G14" s="1636"/>
    </row>
    <row r="15" spans="1:7" ht="61.5" customHeight="1" x14ac:dyDescent="0.25">
      <c r="A15" s="1519" t="s">
        <v>1823</v>
      </c>
      <c r="B15" s="1519" t="s">
        <v>1824</v>
      </c>
      <c r="C15" s="1519" t="s">
        <v>1825</v>
      </c>
      <c r="D15" s="1520" t="s">
        <v>1826</v>
      </c>
      <c r="E15" s="1520" t="s">
        <v>1818</v>
      </c>
      <c r="F15" s="1520" t="s">
        <v>1827</v>
      </c>
      <c r="G15" s="1520" t="s">
        <v>1828</v>
      </c>
    </row>
    <row r="16" spans="1:7" x14ac:dyDescent="0.25">
      <c r="A16" s="1621" t="s">
        <v>1831</v>
      </c>
      <c r="B16" s="1622" t="s">
        <v>1821</v>
      </c>
      <c r="C16" s="1623" t="s">
        <v>1819</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2133</v>
      </c>
      <c r="B17" s="2007" t="s">
        <v>2135</v>
      </c>
      <c r="C17" s="2008" t="s">
        <v>2134</v>
      </c>
      <c r="D17" s="1817">
        <v>39380</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14380</v>
      </c>
      <c r="H17" s="1620"/>
    </row>
    <row r="18" spans="1:8" x14ac:dyDescent="0.25">
      <c r="A18" s="2006" t="s">
        <v>2142</v>
      </c>
      <c r="B18" s="2007" t="s">
        <v>2137</v>
      </c>
      <c r="C18" s="2008" t="s">
        <v>2138</v>
      </c>
      <c r="D18" s="1817">
        <v>28555</v>
      </c>
      <c r="E18" s="1513">
        <f t="shared" ref="E18:E140" si="2">IF(D18&lt;=25000,D18,IF(D18&gt;25000,25000,0))</f>
        <v>25000</v>
      </c>
      <c r="F18" s="1905">
        <f t="shared" si="1"/>
        <v>25000</v>
      </c>
      <c r="G18" s="1766">
        <f t="shared" ref="G18:G140" si="3">IF(F18=0,0,D18-F18)</f>
        <v>3555</v>
      </c>
    </row>
    <row r="19" spans="1:8" x14ac:dyDescent="0.25">
      <c r="A19" s="2006" t="s">
        <v>2136</v>
      </c>
      <c r="B19" s="2007" t="s">
        <v>2139</v>
      </c>
      <c r="C19" s="2008" t="s">
        <v>2140</v>
      </c>
      <c r="D19" s="1817">
        <v>212842</v>
      </c>
      <c r="E19" s="1513">
        <f t="shared" si="2"/>
        <v>25000</v>
      </c>
      <c r="F19" s="1905">
        <f t="shared" si="1"/>
        <v>25000</v>
      </c>
      <c r="G19" s="1766">
        <f t="shared" si="3"/>
        <v>187842</v>
      </c>
    </row>
    <row r="20" spans="1:8" x14ac:dyDescent="0.25">
      <c r="A20" s="2006" t="s">
        <v>2136</v>
      </c>
      <c r="B20" s="2007" t="s">
        <v>2139</v>
      </c>
      <c r="C20" s="2008" t="s">
        <v>2141</v>
      </c>
      <c r="D20" s="1817">
        <v>229844</v>
      </c>
      <c r="E20" s="1513">
        <f t="shared" si="2"/>
        <v>25000</v>
      </c>
      <c r="F20" s="1905">
        <f t="shared" si="1"/>
        <v>25000</v>
      </c>
      <c r="G20" s="1766">
        <f t="shared" si="3"/>
        <v>204844</v>
      </c>
    </row>
    <row r="21" spans="1:8" x14ac:dyDescent="0.25">
      <c r="A21" s="2006" t="s">
        <v>2143</v>
      </c>
      <c r="B21" s="2007" t="s">
        <v>2144</v>
      </c>
      <c r="C21" s="2008" t="s">
        <v>2145</v>
      </c>
      <c r="D21" s="1817">
        <v>298800</v>
      </c>
      <c r="E21" s="1513">
        <f t="shared" si="2"/>
        <v>25000</v>
      </c>
      <c r="F21" s="1905">
        <f t="shared" si="1"/>
        <v>25000</v>
      </c>
      <c r="G21" s="1766">
        <f t="shared" si="3"/>
        <v>273800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809421</v>
      </c>
      <c r="E141" s="1514">
        <f t="shared" si="0"/>
        <v>25000</v>
      </c>
      <c r="F141" s="1906">
        <f>SUM(F17:F140)</f>
        <v>125000</v>
      </c>
      <c r="G141" s="1768">
        <f>SUM(G17:G140)</f>
        <v>684421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22" colorId="8" zoomScale="110" zoomScaleNormal="110" workbookViewId="0">
      <selection activeCell="N14" sqref="N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1" t="s">
        <v>1679</v>
      </c>
      <c r="B5" s="2352"/>
      <c r="C5" s="2352"/>
      <c r="D5" s="2352"/>
      <c r="E5" s="2352"/>
      <c r="F5" s="2352"/>
      <c r="G5" s="2353"/>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1930</v>
      </c>
      <c r="B10" s="944"/>
      <c r="C10" s="949"/>
      <c r="D10" s="945"/>
      <c r="E10" s="946">
        <v>233175</v>
      </c>
      <c r="F10" s="947"/>
      <c r="G10" s="948"/>
      <c r="H10" s="162"/>
      <c r="I10" s="162"/>
    </row>
    <row r="11" spans="1:9" s="643" customFormat="1" ht="22.5" customHeight="1" x14ac:dyDescent="0.2">
      <c r="A11" s="2356" t="s">
        <v>1974</v>
      </c>
      <c r="B11" s="2357"/>
      <c r="C11" s="2357"/>
      <c r="D11" s="2358"/>
      <c r="E11" s="950">
        <v>70688</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26978136</v>
      </c>
      <c r="F19" s="1772"/>
      <c r="G19" s="1774">
        <f>'Expenditures 15-22'!K33-SUM('Expenditures 15-22'!G33,'Expenditures 15-22'!I33)+'Expenditures 15-22'!D229</f>
        <v>26978136</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2620111</v>
      </c>
      <c r="F21" s="1775"/>
      <c r="G21" s="1778">
        <f>'Expenditures 15-22'!K42-SUM('Expenditures 15-22'!G42,'Expenditures 15-22'!I42)+'Expenditures 15-22'!K120-SUM('Expenditures 15-22'!G120,'Expenditures 15-22'!I120)+'Expenditures 15-22'!K180-SUM('Expenditures 15-22'!G180,'Expenditures 15-22'!I180)+'Expenditures 15-22'!D238</f>
        <v>2620111</v>
      </c>
      <c r="H21" s="960"/>
      <c r="I21" s="162"/>
    </row>
    <row r="22" spans="1:9" s="643" customFormat="1" ht="12" customHeight="1" x14ac:dyDescent="0.2">
      <c r="A22" s="967" t="s">
        <v>564</v>
      </c>
      <c r="B22" s="968"/>
      <c r="C22" s="966">
        <v>2200</v>
      </c>
      <c r="D22" s="1775"/>
      <c r="E22" s="1777">
        <f>'Expenditures 15-22'!K47-SUM('Expenditures 15-22'!G47,'Expenditures 15-22'!I47)+'Expenditures 15-22'!D243</f>
        <v>1824042</v>
      </c>
      <c r="F22" s="1775"/>
      <c r="G22" s="1778">
        <f>'Expenditures 15-22'!K47-SUM('Expenditures 15-22'!G47,'Expenditures 15-22'!I47)+'Expenditures 15-22'!D243</f>
        <v>1824042</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1776356</v>
      </c>
      <c r="F23" s="1775"/>
      <c r="G23" s="1777">
        <f>'Expenditures 15-22'!K53-SUM('Expenditures 15-22'!G53,'Expenditures 15-22'!I53)+'Expenditures 15-22'!D257+'Expenditures 15-22'!K330-SUM('Expenditures 15-22'!G330,'Expenditures 15-22'!I330)</f>
        <v>1776356</v>
      </c>
      <c r="H23" s="960"/>
      <c r="I23" s="162"/>
    </row>
    <row r="24" spans="1:9" s="643" customFormat="1" ht="12" customHeight="1" x14ac:dyDescent="0.2">
      <c r="A24" s="967" t="s">
        <v>566</v>
      </c>
      <c r="B24" s="968"/>
      <c r="C24" s="966">
        <v>2400</v>
      </c>
      <c r="D24" s="1775"/>
      <c r="E24" s="1777">
        <f>'Expenditures 15-22'!K57-SUM('Expenditures 15-22'!G57,'Expenditures 15-22'!I57)+'Expenditures 15-22'!D261</f>
        <v>3322368</v>
      </c>
      <c r="F24" s="1775"/>
      <c r="G24" s="1778">
        <f>'Expenditures 15-22'!K57-SUM('Expenditures 15-22'!G57,'Expenditures 15-22'!I57)+'Expenditures 15-22'!D261</f>
        <v>3322368</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86933</v>
      </c>
      <c r="E26" s="1777">
        <f>'Expenditures 15-22'!K122-SUM('Expenditures 15-22'!G122,'Expenditures 15-22'!I122)+E7</f>
        <v>0</v>
      </c>
      <c r="F26" s="1777">
        <f>'Expenditures 15-22'!K59-SUM('Expenditures 15-22'!G59,'Expenditures 15-22'!I59)+'Expenditures 15-22'!D263-E7</f>
        <v>86933</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604357</v>
      </c>
      <c r="E27" s="1777">
        <f>E8</f>
        <v>0</v>
      </c>
      <c r="F27" s="1777">
        <f>'Expenditures 15-22'!K60-SUM('Expenditures 15-22'!G60,'Expenditures 15-22'!I60)+'Expenditures 15-22'!D264-E8</f>
        <v>604357</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4503613</v>
      </c>
      <c r="F28" s="1779">
        <f>'Expenditures 15-22'!K61-SUM('Expenditures 15-22'!G61,'Expenditures 15-22'!I61)+'Expenditures 15-22'!K124-SUM('Expenditures 15-22'!G124,'Expenditures 15-22'!I124)+'Expenditures 15-22'!D266-E9</f>
        <v>4503613</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3738430</v>
      </c>
      <c r="F29" s="1775"/>
      <c r="G29" s="1778">
        <f>'Expenditures 15-22'!K62-SUM('Expenditures 15-22'!G62,'Expenditures 15-22'!I62)+'Expenditures 15-22'!K125-SUM('Expenditures 15-22'!G125,'Expenditures 15-22'!I125)+'Expenditures 15-22'!K182-SUM('Expenditures 15-22'!G182,'Expenditures 15-22'!I182)+'Expenditures 15-22'!D267</f>
        <v>3738430</v>
      </c>
      <c r="H29" s="958"/>
    </row>
    <row r="30" spans="1:9" ht="12" customHeight="1" x14ac:dyDescent="0.2">
      <c r="A30" s="967" t="s">
        <v>100</v>
      </c>
      <c r="B30" s="970"/>
      <c r="C30" s="966">
        <v>2560</v>
      </c>
      <c r="D30" s="1775"/>
      <c r="E30" s="1777">
        <f>'Expenditures 15-22'!K63-SUM('Expenditures 15-22'!G63,'Expenditures 15-22'!I63)+'Expenditures 15-22'!D268-E10</f>
        <v>1055606</v>
      </c>
      <c r="F30" s="1775"/>
      <c r="G30" s="1777">
        <f>'Expenditures 15-22'!K63-SUM('Expenditures 15-22'!G63,'Expenditures 15-22'!I63)+'Expenditures 15-22'!D268-E10</f>
        <v>1055606</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1234669</v>
      </c>
      <c r="E37" s="1777">
        <f>E14</f>
        <v>0</v>
      </c>
      <c r="F37" s="1777">
        <f>'Expenditures 15-22'!K71-SUM('Expenditures 15-22'!G71,'Expenditures 15-22'!I71)+'Expenditures 15-22'!D276-E14</f>
        <v>1234669</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21805</v>
      </c>
      <c r="F38" s="1775"/>
      <c r="G38" s="1777">
        <f>'Expenditures 15-22'!K73-SUM('Expenditures 15-22'!G73,'Expenditures 15-22'!I73)+'Expenditures 15-22'!K128-SUM('Expenditures 15-22'!G128,'Expenditures 15-22'!I128)+'Expenditures 15-22'!K183-SUM('Expenditures 15-22'!G183,'Expenditures 15-22'!I183)+'Expenditures 15-22'!D278</f>
        <v>21805</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5712</v>
      </c>
      <c r="F39" s="1775"/>
      <c r="G39" s="1777">
        <f>'Expenditures 15-22'!K75-SUM('Expenditures 15-22'!G75,'Expenditures 15-22'!I75)+'Expenditures 15-22'!K130-SUM('Expenditures 15-22'!G130,'Expenditures 15-22'!I130)+'Expenditures 15-22'!K185-SUM('Expenditures 15-22'!G185,'Expenditures 15-22'!I185)+'Expenditures 15-22'!D280</f>
        <v>5712</v>
      </c>
    </row>
    <row r="40" spans="1:7" ht="12" customHeight="1" x14ac:dyDescent="0.2">
      <c r="A40" s="963" t="s">
        <v>1820</v>
      </c>
      <c r="B40" s="964"/>
      <c r="C40" s="966"/>
      <c r="D40" s="1775"/>
      <c r="E40" s="1779">
        <f>-'Contracts Paid in CY 29'!G141</f>
        <v>-684421</v>
      </c>
      <c r="F40" s="1775"/>
      <c r="G40" s="1779">
        <f>-'Contracts Paid in CY 29'!G141</f>
        <v>-684421</v>
      </c>
    </row>
    <row r="41" spans="1:7" ht="12" customHeight="1" x14ac:dyDescent="0.2">
      <c r="A41" s="971" t="s">
        <v>156</v>
      </c>
      <c r="B41" s="972"/>
      <c r="C41" s="973"/>
      <c r="D41" s="1779">
        <f>SUM(D19:D39)</f>
        <v>1925959</v>
      </c>
      <c r="E41" s="1779">
        <f>SUM(E19:E40)</f>
        <v>45161758</v>
      </c>
      <c r="F41" s="1779">
        <f>SUM(F19:F39)</f>
        <v>6429572</v>
      </c>
      <c r="G41" s="1779">
        <f>SUM(G19:G40)</f>
        <v>40658145</v>
      </c>
    </row>
    <row r="42" spans="1:7" x14ac:dyDescent="0.2">
      <c r="A42" s="960"/>
      <c r="B42" s="162"/>
      <c r="C42" s="974"/>
      <c r="D42" s="2354" t="s">
        <v>522</v>
      </c>
      <c r="E42" s="2355"/>
      <c r="F42" s="975" t="s">
        <v>523</v>
      </c>
      <c r="G42" s="976"/>
    </row>
    <row r="43" spans="1:7" ht="12" customHeight="1" x14ac:dyDescent="0.2">
      <c r="A43" s="960"/>
      <c r="B43" s="162"/>
      <c r="C43" s="974"/>
      <c r="D43" s="1780" t="s">
        <v>473</v>
      </c>
      <c r="E43" s="1781">
        <f>D41</f>
        <v>1925959</v>
      </c>
      <c r="F43" s="1780" t="s">
        <v>473</v>
      </c>
      <c r="G43" s="1781">
        <f>F41</f>
        <v>6429572</v>
      </c>
    </row>
    <row r="44" spans="1:7" ht="12" customHeight="1" x14ac:dyDescent="0.2">
      <c r="A44" s="960"/>
      <c r="B44" s="162"/>
      <c r="C44" s="974"/>
      <c r="D44" s="1780" t="s">
        <v>474</v>
      </c>
      <c r="E44" s="1781">
        <f>E41</f>
        <v>45161758</v>
      </c>
      <c r="F44" s="1780" t="s">
        <v>474</v>
      </c>
      <c r="G44" s="1781">
        <f>G41</f>
        <v>40658145</v>
      </c>
    </row>
    <row r="45" spans="1:7" ht="12" customHeight="1" x14ac:dyDescent="0.2">
      <c r="A45" s="960"/>
      <c r="B45" s="162"/>
      <c r="C45" s="162"/>
      <c r="D45" s="1782" t="s">
        <v>1006</v>
      </c>
      <c r="E45" s="1783">
        <f>(E43/E44)</f>
        <v>4.2645793372348348E-2</v>
      </c>
      <c r="F45" s="1782" t="s">
        <v>1006</v>
      </c>
      <c r="G45" s="1783">
        <f>(G43/G44)</f>
        <v>0.15813736706384415</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4" activePane="bottomLeft" state="frozen"/>
      <selection activeCell="AF22" sqref="AF22"/>
      <selection pane="bottomLeft" activeCell="A42" sqref="A42:F42"/>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2" t="s">
        <v>1379</v>
      </c>
      <c r="B1" s="2362"/>
      <c r="C1" s="2362"/>
      <c r="D1" s="2362"/>
      <c r="E1" s="2362"/>
      <c r="F1" s="2362"/>
    </row>
    <row r="2" spans="1:10" x14ac:dyDescent="0.2">
      <c r="A2" s="1860" t="s">
        <v>1909</v>
      </c>
      <c r="B2" s="1821"/>
      <c r="C2" s="1860"/>
      <c r="D2" s="1821"/>
      <c r="E2" s="1821"/>
      <c r="F2" s="1822"/>
    </row>
    <row r="3" spans="1:10" x14ac:dyDescent="0.2">
      <c r="A3" s="1860" t="s">
        <v>1975</v>
      </c>
      <c r="B3" s="1821"/>
      <c r="C3" s="1860"/>
      <c r="D3" s="1821"/>
      <c r="E3" s="1821"/>
      <c r="F3" s="1822"/>
    </row>
    <row r="4" spans="1:10" ht="3.75" customHeight="1" x14ac:dyDescent="0.2">
      <c r="A4" s="1821"/>
      <c r="B4" s="1821"/>
      <c r="C4" s="1821"/>
      <c r="D4" s="1821"/>
      <c r="E4" s="1821"/>
      <c r="F4" s="1822"/>
    </row>
    <row r="5" spans="1:10" ht="15" x14ac:dyDescent="0.25">
      <c r="A5" s="2363" t="s">
        <v>1546</v>
      </c>
      <c r="B5" s="2364"/>
      <c r="C5" s="2365"/>
      <c r="D5" s="2365"/>
      <c r="E5" s="2365"/>
      <c r="F5" s="2365"/>
    </row>
    <row r="6" spans="1:10" ht="12" customHeight="1" x14ac:dyDescent="0.25">
      <c r="A6" s="1823"/>
      <c r="B6" s="1824"/>
      <c r="C6" s="2366" t="str">
        <f>COVER!A17</f>
        <v>Central CUSD 301</v>
      </c>
      <c r="D6" s="2366"/>
      <c r="E6" s="2366"/>
      <c r="F6" s="1825"/>
    </row>
    <row r="7" spans="1:10" ht="11.25" customHeight="1" thickBot="1" x14ac:dyDescent="0.3">
      <c r="A7" s="1823"/>
      <c r="B7" s="1824"/>
      <c r="C7" s="2367">
        <f>COVER!A13</f>
        <v>31045301026</v>
      </c>
      <c r="D7" s="2367"/>
      <c r="E7" s="2367"/>
      <c r="F7" s="1825"/>
    </row>
    <row r="8" spans="1:10" ht="25.5" customHeight="1" thickBot="1" x14ac:dyDescent="0.25">
      <c r="A8" s="1866" t="s">
        <v>1905</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t="s">
        <v>2119</v>
      </c>
      <c r="E13" s="1841"/>
      <c r="F13" s="1840" t="s">
        <v>2146</v>
      </c>
      <c r="H13" s="1851">
        <f t="shared" si="0"/>
        <v>0</v>
      </c>
      <c r="I13" s="1851">
        <f t="shared" si="1"/>
        <v>5</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t="s">
        <v>2125</v>
      </c>
      <c r="D16" s="1838" t="s">
        <v>2125</v>
      </c>
      <c r="E16" s="1841"/>
      <c r="F16" s="1840" t="s">
        <v>2147</v>
      </c>
      <c r="H16" s="1851">
        <f t="shared" si="0"/>
        <v>5</v>
      </c>
      <c r="I16" s="1851">
        <f t="shared" si="1"/>
        <v>5</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2125</v>
      </c>
      <c r="D19" s="1838" t="s">
        <v>2125</v>
      </c>
      <c r="E19" s="1841"/>
      <c r="F19" s="1840" t="s">
        <v>2148</v>
      </c>
      <c r="H19" s="1851">
        <f t="shared" si="0"/>
        <v>5</v>
      </c>
      <c r="I19" s="1851">
        <f t="shared" si="1"/>
        <v>5</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t="s">
        <v>2125</v>
      </c>
      <c r="D23" s="1838" t="s">
        <v>2125</v>
      </c>
      <c r="E23" s="1841"/>
      <c r="F23" s="1840" t="s">
        <v>2153</v>
      </c>
      <c r="H23" s="1851">
        <f t="shared" si="0"/>
        <v>5</v>
      </c>
      <c r="I23" s="1851">
        <f t="shared" si="1"/>
        <v>5</v>
      </c>
      <c r="J23" s="1851">
        <f t="shared" si="2"/>
        <v>0</v>
      </c>
    </row>
    <row r="24" spans="1:12" ht="12" customHeight="1" x14ac:dyDescent="0.2">
      <c r="A24" s="1836" t="s">
        <v>1532</v>
      </c>
      <c r="B24" s="1837"/>
      <c r="C24" s="1838" t="s">
        <v>2125</v>
      </c>
      <c r="D24" s="1838" t="s">
        <v>2125</v>
      </c>
      <c r="E24" s="1841"/>
      <c r="F24" s="1840" t="s">
        <v>2152</v>
      </c>
      <c r="H24" s="1851">
        <f t="shared" si="0"/>
        <v>5</v>
      </c>
      <c r="I24" s="1851">
        <f t="shared" si="1"/>
        <v>5</v>
      </c>
      <c r="J24" s="1851">
        <f t="shared" si="2"/>
        <v>0</v>
      </c>
    </row>
    <row r="25" spans="1:12" ht="12" customHeight="1" x14ac:dyDescent="0.2">
      <c r="A25" s="1836" t="s">
        <v>1533</v>
      </c>
      <c r="B25" s="1837"/>
      <c r="C25" s="1838" t="s">
        <v>2125</v>
      </c>
      <c r="D25" s="1838" t="s">
        <v>2125</v>
      </c>
      <c r="E25" s="1841"/>
      <c r="F25" s="1840" t="s">
        <v>2151</v>
      </c>
      <c r="H25" s="1851">
        <f t="shared" si="0"/>
        <v>5</v>
      </c>
      <c r="I25" s="1851">
        <f t="shared" si="1"/>
        <v>5</v>
      </c>
      <c r="J25" s="1851">
        <f t="shared" si="2"/>
        <v>0</v>
      </c>
    </row>
    <row r="26" spans="1:12" ht="12" customHeight="1" x14ac:dyDescent="0.2">
      <c r="A26" s="1836" t="s">
        <v>1534</v>
      </c>
      <c r="B26" s="1837"/>
      <c r="C26" s="1838" t="s">
        <v>2125</v>
      </c>
      <c r="D26" s="1838" t="s">
        <v>2125</v>
      </c>
      <c r="E26" s="1841"/>
      <c r="F26" s="1840" t="s">
        <v>2150</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t="s">
        <v>2125</v>
      </c>
      <c r="D31" s="1838" t="s">
        <v>2125</v>
      </c>
      <c r="E31" s="1841"/>
      <c r="F31" s="1840" t="s">
        <v>2149</v>
      </c>
      <c r="H31" s="1851">
        <f t="shared" si="0"/>
        <v>5</v>
      </c>
      <c r="I31" s="1851">
        <f t="shared" si="1"/>
        <v>5</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35</v>
      </c>
      <c r="I34" s="1851">
        <f>SUM(I11:I32)</f>
        <v>40</v>
      </c>
      <c r="J34" s="1851">
        <f>SUM(J11:J32)</f>
        <v>0</v>
      </c>
      <c r="K34" s="1851">
        <f>SUM(H34:J34)</f>
        <v>75</v>
      </c>
    </row>
    <row r="35" spans="1:11" ht="12" customHeight="1" x14ac:dyDescent="0.2">
      <c r="A35" s="1844" t="s">
        <v>1392</v>
      </c>
      <c r="B35" s="1845"/>
      <c r="C35" s="2368"/>
      <c r="D35" s="2368"/>
      <c r="E35" s="2368"/>
      <c r="F35" s="2369"/>
    </row>
    <row r="36" spans="1:11" ht="12" customHeight="1" x14ac:dyDescent="0.2">
      <c r="A36" s="2359"/>
      <c r="B36" s="2360"/>
      <c r="C36" s="2360"/>
      <c r="D36" s="2360"/>
      <c r="E36" s="2360"/>
      <c r="F36" s="2361"/>
    </row>
    <row r="37" spans="1:11" ht="12" customHeight="1" x14ac:dyDescent="0.2">
      <c r="A37" s="2359"/>
      <c r="B37" s="2360"/>
      <c r="C37" s="2360"/>
      <c r="D37" s="2360"/>
      <c r="E37" s="2360"/>
      <c r="F37" s="2361"/>
    </row>
    <row r="38" spans="1:11" ht="12" customHeight="1" x14ac:dyDescent="0.2">
      <c r="A38" s="2373"/>
      <c r="B38" s="2374"/>
      <c r="C38" s="2374"/>
      <c r="D38" s="2374"/>
      <c r="E38" s="2374"/>
      <c r="F38" s="2375"/>
    </row>
    <row r="39" spans="1:11" ht="4.5" hidden="1" customHeight="1" x14ac:dyDescent="0.2">
      <c r="A39" s="1846"/>
      <c r="B39" s="1846"/>
      <c r="C39" s="1846"/>
      <c r="D39" s="1846"/>
      <c r="E39" s="1846"/>
      <c r="F39" s="1846"/>
    </row>
    <row r="40" spans="1:11" s="1843" customFormat="1" ht="12" customHeight="1" x14ac:dyDescent="0.25">
      <c r="A40" s="1847" t="s">
        <v>1391</v>
      </c>
      <c r="B40" s="1848"/>
      <c r="C40" s="2376"/>
      <c r="D40" s="2376"/>
      <c r="E40" s="2376"/>
      <c r="F40" s="2377"/>
      <c r="H40" s="1852"/>
      <c r="I40" s="1852"/>
      <c r="J40" s="1852"/>
      <c r="K40" s="1852"/>
    </row>
    <row r="41" spans="1:11" s="1843" customFormat="1" ht="12" customHeight="1" x14ac:dyDescent="0.25">
      <c r="A41" s="2378" t="s">
        <v>2154</v>
      </c>
      <c r="B41" s="2379"/>
      <c r="C41" s="2379"/>
      <c r="D41" s="2379"/>
      <c r="E41" s="2379"/>
      <c r="F41" s="2380"/>
      <c r="H41" s="1852"/>
      <c r="I41" s="1852"/>
      <c r="J41" s="1852"/>
      <c r="K41" s="1852"/>
    </row>
    <row r="42" spans="1:11" s="1843" customFormat="1" ht="12" customHeight="1" x14ac:dyDescent="0.25">
      <c r="A42" s="2378" t="s">
        <v>2155</v>
      </c>
      <c r="B42" s="2379"/>
      <c r="C42" s="2379"/>
      <c r="D42" s="2379"/>
      <c r="E42" s="2379"/>
      <c r="F42" s="2380"/>
      <c r="H42" s="1852"/>
      <c r="I42" s="1852"/>
      <c r="J42" s="1852"/>
      <c r="K42" s="1852"/>
    </row>
    <row r="43" spans="1:11" s="1843" customFormat="1" ht="15" x14ac:dyDescent="0.25">
      <c r="A43" s="2370"/>
      <c r="B43" s="2371"/>
      <c r="C43" s="2371"/>
      <c r="D43" s="2371"/>
      <c r="E43" s="2371"/>
      <c r="F43" s="2372"/>
      <c r="H43" s="1852"/>
      <c r="I43" s="1852"/>
      <c r="J43" s="1852"/>
      <c r="K43" s="1852"/>
    </row>
    <row r="44" spans="1:11" s="1843" customFormat="1" ht="12" hidden="1" customHeight="1" x14ac:dyDescent="0.25">
      <c r="A44" s="2370"/>
      <c r="B44" s="2371"/>
      <c r="C44" s="2371"/>
      <c r="D44" s="2371"/>
      <c r="E44" s="2371"/>
      <c r="F44" s="2372"/>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M22" sqref="M2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6" t="str">
        <f>COVER!A17</f>
        <v>Central CUSD 301</v>
      </c>
      <c r="J6" s="2387"/>
      <c r="Q6" s="1637"/>
    </row>
    <row r="7" spans="1:17" x14ac:dyDescent="0.2">
      <c r="A7" s="2388" t="s">
        <v>869</v>
      </c>
      <c r="B7" s="2389"/>
      <c r="C7" s="2389"/>
      <c r="D7" s="2389"/>
      <c r="E7" s="2390"/>
      <c r="F7" s="990"/>
      <c r="G7" s="982"/>
      <c r="H7" s="989" t="s">
        <v>372</v>
      </c>
      <c r="I7" s="2391">
        <f>COVER!A13</f>
        <v>31045301026</v>
      </c>
      <c r="J7" s="2391"/>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1976</v>
      </c>
      <c r="F9" s="996"/>
      <c r="G9" s="996"/>
      <c r="H9" s="1869"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2" t="s">
        <v>481</v>
      </c>
      <c r="B11" s="2393"/>
      <c r="C11" s="2394"/>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603272</v>
      </c>
      <c r="F12" s="1012"/>
      <c r="G12" s="1784">
        <f t="shared" ref="G12:G18" si="0">SUM(E12:F12)</f>
        <v>603272</v>
      </c>
      <c r="H12" s="1013">
        <v>622970</v>
      </c>
      <c r="I12" s="1012"/>
      <c r="J12" s="1784">
        <f t="shared" ref="J12:J18" si="1">SUM(H12:I12)</f>
        <v>622970</v>
      </c>
    </row>
    <row r="13" spans="1:17" ht="15" customHeight="1" x14ac:dyDescent="0.2">
      <c r="A13" s="1008">
        <v>2</v>
      </c>
      <c r="B13" s="1009" t="s">
        <v>42</v>
      </c>
      <c r="C13" s="1010"/>
      <c r="D13" s="1011">
        <v>2330</v>
      </c>
      <c r="E13" s="1784">
        <f>'Expenditures 15-22'!K51</f>
        <v>273862</v>
      </c>
      <c r="F13" s="1012"/>
      <c r="G13" s="1784">
        <f t="shared" si="0"/>
        <v>273862</v>
      </c>
      <c r="H13" s="1013">
        <v>280502</v>
      </c>
      <c r="I13" s="1012"/>
      <c r="J13" s="1784">
        <f t="shared" si="1"/>
        <v>280502</v>
      </c>
    </row>
    <row r="14" spans="1:17" ht="15" customHeight="1" x14ac:dyDescent="0.2">
      <c r="A14" s="1008">
        <v>3</v>
      </c>
      <c r="B14" s="1009" t="s">
        <v>43</v>
      </c>
      <c r="C14" s="1010"/>
      <c r="D14" s="1014">
        <v>2490</v>
      </c>
      <c r="E14" s="1784">
        <f>'Expenditures 15-22'!K56</f>
        <v>211277</v>
      </c>
      <c r="F14" s="1012"/>
      <c r="G14" s="1784">
        <f t="shared" si="0"/>
        <v>211277</v>
      </c>
      <c r="H14" s="1013">
        <v>239800</v>
      </c>
      <c r="I14" s="1012"/>
      <c r="J14" s="1784">
        <f t="shared" si="1"/>
        <v>239800</v>
      </c>
    </row>
    <row r="15" spans="1:17" ht="15" customHeight="1" x14ac:dyDescent="0.2">
      <c r="A15" s="1008">
        <v>4</v>
      </c>
      <c r="B15" s="1009" t="s">
        <v>1068</v>
      </c>
      <c r="C15" s="1010"/>
      <c r="D15" s="1011">
        <v>2510</v>
      </c>
      <c r="E15" s="1784">
        <f>'Expenditures 15-22'!K59</f>
        <v>74140</v>
      </c>
      <c r="F15" s="1784">
        <f>'Expenditures 15-22'!K122</f>
        <v>0</v>
      </c>
      <c r="G15" s="1784">
        <f t="shared" si="0"/>
        <v>74140</v>
      </c>
      <c r="H15" s="1013">
        <v>76775</v>
      </c>
      <c r="I15" s="1013"/>
      <c r="J15" s="1784">
        <f t="shared" si="1"/>
        <v>76775</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5" t="s">
        <v>7</v>
      </c>
      <c r="C18" s="2396"/>
      <c r="D18" s="2397"/>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1162551</v>
      </c>
      <c r="F19" s="1786">
        <f t="shared" si="2"/>
        <v>0</v>
      </c>
      <c r="G19" s="1786">
        <f t="shared" si="2"/>
        <v>1162551</v>
      </c>
      <c r="H19" s="1786">
        <f t="shared" si="2"/>
        <v>1220047</v>
      </c>
      <c r="I19" s="1786">
        <f t="shared" si="2"/>
        <v>0</v>
      </c>
      <c r="J19" s="1786">
        <f t="shared" si="2"/>
        <v>1220047</v>
      </c>
    </row>
    <row r="20" spans="1:10" ht="13.5" thickTop="1" x14ac:dyDescent="0.2">
      <c r="A20" s="1008">
        <v>9</v>
      </c>
      <c r="B20" s="2398" t="s">
        <v>1978</v>
      </c>
      <c r="C20" s="2398"/>
      <c r="D20" s="2399"/>
      <c r="E20" s="1019"/>
      <c r="F20" s="1019"/>
      <c r="G20" s="1019"/>
      <c r="H20" s="1019"/>
      <c r="I20" s="1019"/>
      <c r="J20" s="1787">
        <f>IF(AND(G19&gt;0,J19&gt;0),(((J19-G19)/G19)),"Enter Budget Data")</f>
        <v>4.9456755015478894E-2</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04"/>
      <c r="D26" s="2404"/>
      <c r="E26" s="1023"/>
      <c r="F26" s="2403"/>
      <c r="G26" s="2403"/>
    </row>
    <row r="27" spans="1:10" x14ac:dyDescent="0.2">
      <c r="B27" s="1020"/>
      <c r="C27" s="1024" t="s">
        <v>1033</v>
      </c>
      <c r="D27" s="1025"/>
      <c r="E27" s="1026"/>
      <c r="F27" s="2400" t="s">
        <v>1509</v>
      </c>
      <c r="G27" s="2400"/>
    </row>
    <row r="28" spans="1:10" ht="28.5" customHeight="1" x14ac:dyDescent="0.2">
      <c r="B28" s="1020"/>
      <c r="C28" s="2402"/>
      <c r="D28" s="2402"/>
      <c r="E28" s="1027"/>
      <c r="F28" s="2402"/>
      <c r="G28" s="2402"/>
    </row>
    <row r="29" spans="1:10" x14ac:dyDescent="0.2">
      <c r="B29" s="1020"/>
      <c r="C29" s="1028" t="s">
        <v>1561</v>
      </c>
      <c r="E29" s="1029"/>
      <c r="F29" s="2401" t="s">
        <v>1510</v>
      </c>
      <c r="G29" s="2401"/>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3" t="s">
        <v>132</v>
      </c>
      <c r="D33" s="2384"/>
      <c r="E33" s="2384"/>
      <c r="F33" s="2384"/>
      <c r="G33" s="2384"/>
      <c r="H33" s="2384"/>
      <c r="I33" s="2384"/>
    </row>
    <row r="34" spans="1:10" ht="10.35" customHeight="1" x14ac:dyDescent="0.2">
      <c r="C34" s="2384"/>
      <c r="D34" s="2384"/>
      <c r="E34" s="2384"/>
      <c r="F34" s="2384"/>
      <c r="G34" s="2384"/>
      <c r="H34" s="2384"/>
      <c r="I34" s="2384"/>
    </row>
    <row r="35" spans="1:10" ht="7.5" customHeight="1" x14ac:dyDescent="0.2">
      <c r="C35" s="1035"/>
    </row>
    <row r="36" spans="1:10" ht="13.5" customHeight="1" x14ac:dyDescent="0.2">
      <c r="B36" s="1034"/>
      <c r="C36" s="2385" t="s">
        <v>1980</v>
      </c>
      <c r="D36" s="2384"/>
      <c r="E36" s="2384"/>
      <c r="F36" s="2384"/>
      <c r="G36" s="2384"/>
      <c r="H36" s="2384"/>
      <c r="I36" s="2384"/>
      <c r="J36" s="1036"/>
    </row>
    <row r="37" spans="1:10" ht="22.5" customHeight="1" x14ac:dyDescent="0.2">
      <c r="C37" s="2384"/>
      <c r="D37" s="2384"/>
      <c r="E37" s="2384"/>
      <c r="F37" s="2384"/>
      <c r="G37" s="2384"/>
      <c r="H37" s="2384"/>
      <c r="I37" s="2384"/>
      <c r="J37" s="1036"/>
    </row>
    <row r="38" spans="1:10" ht="7.5" customHeight="1" x14ac:dyDescent="0.2">
      <c r="C38" s="1035"/>
      <c r="D38" s="1037"/>
      <c r="E38" s="1038"/>
      <c r="F38" s="1039"/>
      <c r="G38" s="1038"/>
    </row>
    <row r="39" spans="1:10" ht="13.5" customHeight="1" x14ac:dyDescent="0.2">
      <c r="B39" s="1034"/>
      <c r="C39" s="2381" t="s">
        <v>882</v>
      </c>
      <c r="D39" s="2382"/>
      <c r="E39" s="2382"/>
      <c r="F39" s="2382"/>
      <c r="G39" s="2382"/>
      <c r="H39" s="2382"/>
      <c r="I39" s="2382"/>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72"/>
  <sheetViews>
    <sheetView showGridLines="0" zoomScale="130" zoomScaleNormal="130" workbookViewId="0">
      <selection activeCell="B19" sqref="B19"/>
    </sheetView>
  </sheetViews>
  <sheetFormatPr defaultRowHeight="12.75" x14ac:dyDescent="0.2"/>
  <cols>
    <col min="1" max="1" width="3" style="329" customWidth="1"/>
    <col min="2" max="2" width="75.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c r="B5" s="329" t="s">
        <v>2156</v>
      </c>
    </row>
    <row r="6" spans="1:2" x14ac:dyDescent="0.2">
      <c r="A6" s="1041"/>
      <c r="B6" s="2009" t="s">
        <v>2157</v>
      </c>
    </row>
    <row r="7" spans="1:2" x14ac:dyDescent="0.2">
      <c r="A7" s="1041"/>
      <c r="B7" s="329" t="s">
        <v>2174</v>
      </c>
    </row>
    <row r="8" spans="1:2" x14ac:dyDescent="0.2">
      <c r="A8" s="1041"/>
      <c r="B8" s="2405" t="s">
        <v>2158</v>
      </c>
    </row>
    <row r="9" spans="1:2" x14ac:dyDescent="0.2">
      <c r="A9" s="1041"/>
      <c r="B9" s="2405"/>
    </row>
    <row r="10" spans="1:2" x14ac:dyDescent="0.2">
      <c r="A10" s="1041"/>
      <c r="B10" s="329" t="s">
        <v>2175</v>
      </c>
    </row>
    <row r="11" spans="1:2" x14ac:dyDescent="0.2">
      <c r="A11" s="1041"/>
      <c r="B11" s="2009" t="s">
        <v>2159</v>
      </c>
    </row>
    <row r="12" spans="1:2" x14ac:dyDescent="0.2">
      <c r="A12" s="1041"/>
      <c r="B12" s="329" t="s">
        <v>2176</v>
      </c>
    </row>
    <row r="13" spans="1:2" x14ac:dyDescent="0.2">
      <c r="A13" s="1041"/>
      <c r="B13" s="2009" t="s">
        <v>2160</v>
      </c>
    </row>
    <row r="14" spans="1:2" x14ac:dyDescent="0.2">
      <c r="A14" s="1041"/>
      <c r="B14" s="329" t="s">
        <v>2162</v>
      </c>
    </row>
    <row r="15" spans="1:2" x14ac:dyDescent="0.2">
      <c r="A15" s="1041"/>
      <c r="B15" s="2009" t="s">
        <v>2161</v>
      </c>
    </row>
    <row r="16" spans="1:2" x14ac:dyDescent="0.2">
      <c r="A16" s="1041"/>
      <c r="B16" s="329" t="s">
        <v>2177</v>
      </c>
    </row>
    <row r="17" spans="1:2" x14ac:dyDescent="0.2">
      <c r="A17" s="1041"/>
      <c r="B17" s="2009" t="s">
        <v>2163</v>
      </c>
    </row>
    <row r="18" spans="1:2" x14ac:dyDescent="0.2">
      <c r="A18" s="1041"/>
      <c r="B18" s="329" t="s">
        <v>2178</v>
      </c>
    </row>
    <row r="19" spans="1:2" x14ac:dyDescent="0.2">
      <c r="A19" s="1042"/>
      <c r="B19" s="2009" t="s">
        <v>2164</v>
      </c>
    </row>
    <row r="20" spans="1:2" x14ac:dyDescent="0.2">
      <c r="A20" s="1042"/>
    </row>
    <row r="21" spans="1:2" x14ac:dyDescent="0.2">
      <c r="A21" s="1042"/>
    </row>
    <row r="22" spans="1:2" x14ac:dyDescent="0.2">
      <c r="A22" s="1042"/>
    </row>
    <row r="23" spans="1:2" x14ac:dyDescent="0.2">
      <c r="A23" s="1042"/>
    </row>
    <row r="24" spans="1:2" x14ac:dyDescent="0.2">
      <c r="A24" s="1042"/>
    </row>
    <row r="25" spans="1:2" x14ac:dyDescent="0.2">
      <c r="A25" s="1042"/>
    </row>
    <row r="26" spans="1:2" x14ac:dyDescent="0.2">
      <c r="A26" s="1042"/>
    </row>
    <row r="27" spans="1:2" x14ac:dyDescent="0.2">
      <c r="A27" s="1042"/>
    </row>
    <row r="28" spans="1:2" x14ac:dyDescent="0.2">
      <c r="A28" s="1042"/>
    </row>
    <row r="29" spans="1:2" x14ac:dyDescent="0.2">
      <c r="A29" s="1042"/>
    </row>
    <row r="30" spans="1:2" x14ac:dyDescent="0.2">
      <c r="A30" s="1042"/>
    </row>
    <row r="31" spans="1:2" x14ac:dyDescent="0.2">
      <c r="A31" s="1042"/>
    </row>
    <row r="32" spans="1:2"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row>
    <row r="66" spans="1:2" x14ac:dyDescent="0.2">
      <c r="A66" s="1042"/>
    </row>
    <row r="67" spans="1:2" x14ac:dyDescent="0.2">
      <c r="A67" s="1042"/>
    </row>
    <row r="68" spans="1:2" x14ac:dyDescent="0.2">
      <c r="A68" s="1042"/>
    </row>
    <row r="69" spans="1:2" x14ac:dyDescent="0.2">
      <c r="A69" s="1042"/>
    </row>
    <row r="70" spans="1:2" x14ac:dyDescent="0.2">
      <c r="A70" s="1042"/>
    </row>
    <row r="71" spans="1:2" x14ac:dyDescent="0.2">
      <c r="A71" s="1042"/>
      <c r="B71" s="258" t="str">
        <f>COVER!A17</f>
        <v>Central CUSD 301</v>
      </c>
    </row>
    <row r="72" spans="1:2" x14ac:dyDescent="0.2">
      <c r="B72" s="1043">
        <f>COVER!A13</f>
        <v>31045301026</v>
      </c>
    </row>
  </sheetData>
  <mergeCells count="1">
    <mergeCell ref="B8:B9"/>
  </mergeCells>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1" sqref="C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6" t="s">
        <v>1685</v>
      </c>
      <c r="B18" s="2406"/>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J28" sqref="J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7" t="s">
        <v>1690</v>
      </c>
      <c r="B1" s="2408"/>
      <c r="C1" s="2408"/>
      <c r="D1" s="2408"/>
      <c r="E1" s="2408"/>
      <c r="F1" s="2409"/>
    </row>
    <row r="2" spans="1:8" ht="45" customHeight="1" x14ac:dyDescent="0.2">
      <c r="A2" s="2417" t="s">
        <v>1984</v>
      </c>
      <c r="B2" s="2418"/>
      <c r="C2" s="2418"/>
      <c r="D2" s="2418"/>
      <c r="E2" s="2418"/>
      <c r="F2" s="2419"/>
      <c r="G2" s="1047"/>
      <c r="H2" s="1047"/>
    </row>
    <row r="3" spans="1:8" ht="57" customHeight="1" x14ac:dyDescent="0.2">
      <c r="A3" s="2420" t="s">
        <v>1686</v>
      </c>
      <c r="B3" s="2421"/>
      <c r="C3" s="2421"/>
      <c r="D3" s="2421"/>
      <c r="E3" s="2421"/>
      <c r="F3" s="2422"/>
      <c r="G3" s="1047"/>
      <c r="H3" s="1047"/>
    </row>
    <row r="4" spans="1:8" ht="14.25" customHeight="1" x14ac:dyDescent="0.2">
      <c r="A4" s="2426" t="s">
        <v>1985</v>
      </c>
      <c r="B4" s="2427"/>
      <c r="C4" s="2427"/>
      <c r="D4" s="2427"/>
      <c r="E4" s="2427"/>
      <c r="F4" s="2428"/>
      <c r="G4" s="1047"/>
      <c r="H4" s="1047"/>
    </row>
    <row r="5" spans="1:8" ht="14.25" customHeight="1" x14ac:dyDescent="0.2">
      <c r="A5" s="2429" t="s">
        <v>1981</v>
      </c>
      <c r="B5" s="2430"/>
      <c r="C5" s="2430"/>
      <c r="D5" s="2430"/>
      <c r="E5" s="2430"/>
      <c r="F5" s="2431"/>
      <c r="G5" s="1047"/>
      <c r="H5" s="1047"/>
    </row>
    <row r="6" spans="1:8" s="1048" customFormat="1" ht="41.25" customHeight="1" x14ac:dyDescent="0.2">
      <c r="A6" s="2423" t="s">
        <v>1691</v>
      </c>
      <c r="B6" s="2424"/>
      <c r="C6" s="2424"/>
      <c r="D6" s="2424"/>
      <c r="E6" s="2424"/>
      <c r="F6" s="2425"/>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40293401</v>
      </c>
      <c r="C8" s="1788">
        <f>'Acct Summary 7-8'!D8</f>
        <v>5738481</v>
      </c>
      <c r="D8" s="1788">
        <f>'Acct Summary 7-8'!F8</f>
        <v>3941916</v>
      </c>
      <c r="E8" s="1788">
        <f>'Acct Summary 7-8'!I8</f>
        <v>175282</v>
      </c>
      <c r="F8" s="1788">
        <f>SUM(B8:E8)</f>
        <v>50149080</v>
      </c>
    </row>
    <row r="9" spans="1:8" s="1052" customFormat="1" ht="14.25" customHeight="1" thickBot="1" x14ac:dyDescent="0.25">
      <c r="A9" s="1051" t="s">
        <v>1369</v>
      </c>
      <c r="B9" s="1789">
        <f>'Acct Summary 7-8'!C17</f>
        <v>41282077</v>
      </c>
      <c r="C9" s="1789">
        <f>'Acct Summary 7-8'!D17</f>
        <v>5006248</v>
      </c>
      <c r="D9" s="1789">
        <f>'Acct Summary 7-8'!F17</f>
        <v>3375386</v>
      </c>
      <c r="E9" s="1788"/>
      <c r="F9" s="1788">
        <f>SUM(B9:E9)</f>
        <v>49663711</v>
      </c>
    </row>
    <row r="10" spans="1:8" s="1052" customFormat="1" ht="14.25" thickTop="1" thickBot="1" x14ac:dyDescent="0.25">
      <c r="A10" s="1053" t="s">
        <v>1370</v>
      </c>
      <c r="B10" s="1790">
        <f>(B8-B9)</f>
        <v>-988676</v>
      </c>
      <c r="C10" s="1790">
        <f>(C8-C9)</f>
        <v>732233</v>
      </c>
      <c r="D10" s="1790">
        <f>(D8-D9)</f>
        <v>566530</v>
      </c>
      <c r="E10" s="1789">
        <f>(E8-E9)</f>
        <v>175282</v>
      </c>
      <c r="F10" s="1791">
        <f>SUM(F8-F9)</f>
        <v>485369</v>
      </c>
    </row>
    <row r="11" spans="1:8" s="1052" customFormat="1" ht="14.25" thickTop="1" thickBot="1" x14ac:dyDescent="0.25">
      <c r="A11" s="1054" t="s">
        <v>1982</v>
      </c>
      <c r="B11" s="1792">
        <f>'Acct Summary 7-8'!C81</f>
        <v>21166013</v>
      </c>
      <c r="C11" s="1792">
        <f>'Acct Summary 7-8'!D81</f>
        <v>6804414</v>
      </c>
      <c r="D11" s="1792">
        <f>'Acct Summary 7-8'!F81</f>
        <v>3420321</v>
      </c>
      <c r="E11" s="1792">
        <f>'Acct Summary 7-8'!I81</f>
        <v>2242822</v>
      </c>
      <c r="F11" s="1793">
        <f>SUM(B11:E11)</f>
        <v>33633570</v>
      </c>
    </row>
    <row r="12" spans="1:8" ht="16.5" customHeight="1" thickTop="1" x14ac:dyDescent="0.2">
      <c r="A12" s="1055"/>
      <c r="B12" s="1056"/>
      <c r="C12" s="2411" t="str">
        <f>IF(AND(F10&lt;0,F11&gt;=0,ABS(F10*3)&gt;ABS(F11)),A16,IF(AND(F10&lt;0,F11&gt;0,ABS(F10*3)&lt;=ABS(F11)),A17,IF(AND(F10&lt;0,F11&lt;0),A16,IF(F11=0,A19,A18))))</f>
        <v>Balanced - no deficit reduction plan is required.</v>
      </c>
      <c r="D12" s="2412"/>
      <c r="E12" s="2412"/>
      <c r="F12" s="2413"/>
    </row>
    <row r="13" spans="1:8" ht="19.5" customHeight="1" x14ac:dyDescent="0.2">
      <c r="A13" s="1057"/>
      <c r="B13" s="1058"/>
      <c r="C13" s="2411"/>
      <c r="D13" s="2412"/>
      <c r="E13" s="2412"/>
      <c r="F13" s="2413"/>
      <c r="H13" s="1047"/>
    </row>
    <row r="14" spans="1:8" ht="19.5" customHeight="1" x14ac:dyDescent="0.2">
      <c r="A14" s="1057"/>
      <c r="B14" s="1058"/>
      <c r="C14" s="2411"/>
      <c r="D14" s="2412"/>
      <c r="E14" s="2412"/>
      <c r="F14" s="2413"/>
      <c r="H14" s="1047"/>
    </row>
    <row r="15" spans="1:8" ht="17.25" customHeight="1" x14ac:dyDescent="0.2">
      <c r="A15" s="1057"/>
      <c r="B15" s="1058"/>
      <c r="C15" s="2414"/>
      <c r="D15" s="2415"/>
      <c r="E15" s="2415"/>
      <c r="F15" s="2416"/>
      <c r="H15" s="1047"/>
    </row>
    <row r="16" spans="1:8" s="310" customFormat="1" ht="51.75" hidden="1" customHeight="1" x14ac:dyDescent="0.2">
      <c r="A16" s="2410" t="s">
        <v>1687</v>
      </c>
      <c r="B16" s="2410"/>
      <c r="C16" s="2410"/>
      <c r="D16" s="2410"/>
      <c r="E16" s="2410"/>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92D050"/>
  </sheetPr>
  <dimension ref="A1:L82"/>
  <sheetViews>
    <sheetView showGridLines="0" defaultGridColor="0" topLeftCell="A47" colorId="8" zoomScale="110" zoomScaleNormal="110" workbookViewId="0">
      <selection activeCell="D55" sqref="D55"/>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2" t="s">
        <v>665</v>
      </c>
      <c r="B3" s="2433"/>
      <c r="C3" s="2433"/>
      <c r="D3" s="2434"/>
    </row>
    <row r="4" spans="1:4" x14ac:dyDescent="0.2">
      <c r="A4" s="1125" t="s">
        <v>1692</v>
      </c>
      <c r="B4" s="1126"/>
      <c r="C4" s="1127"/>
      <c r="D4" s="1128"/>
    </row>
    <row r="5" spans="1:4" ht="21" customHeight="1" x14ac:dyDescent="0.2">
      <c r="A5" s="1121"/>
      <c r="B5" s="1122">
        <v>1</v>
      </c>
      <c r="C5" s="1123" t="s">
        <v>1832</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3" t="s">
        <v>1504</v>
      </c>
      <c r="D7" s="2444"/>
    </row>
    <row r="8" spans="1:4" s="643" customFormat="1" ht="12.75" x14ac:dyDescent="0.2">
      <c r="A8" s="1111"/>
      <c r="B8" s="1066"/>
      <c r="C8" s="1069" t="s">
        <v>1503</v>
      </c>
      <c r="D8" s="1070"/>
    </row>
    <row r="9" spans="1:4" s="643" customFormat="1" ht="14.25" customHeight="1" x14ac:dyDescent="0.2">
      <c r="A9" s="1111"/>
      <c r="B9" s="1066">
        <f>B7+1</f>
        <v>4</v>
      </c>
      <c r="C9" s="1067" t="s">
        <v>1910</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5" t="s">
        <v>1008</v>
      </c>
      <c r="B15" s="2436"/>
      <c r="C15" s="2436"/>
      <c r="D15" s="2437"/>
    </row>
    <row r="16" spans="1:4" s="643" customFormat="1" ht="24" customHeight="1" x14ac:dyDescent="0.2">
      <c r="A16" s="2438" t="s">
        <v>663</v>
      </c>
      <c r="B16" s="2439"/>
      <c r="C16" s="2439"/>
      <c r="D16" s="2440"/>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7" t="s">
        <v>314</v>
      </c>
      <c r="D21" s="2448"/>
    </row>
    <row r="22" spans="1:10" ht="12.75" x14ac:dyDescent="0.2">
      <c r="A22" s="1112"/>
      <c r="B22" s="1113">
        <v>2</v>
      </c>
      <c r="C22" s="2445" t="s">
        <v>1524</v>
      </c>
      <c r="D22" s="2446"/>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9" t="s">
        <v>536</v>
      </c>
      <c r="D43" s="2450"/>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1" t="s">
        <v>784</v>
      </c>
      <c r="D56" s="2442"/>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1911</v>
      </c>
      <c r="D66" s="1098"/>
    </row>
    <row r="67" spans="1:4" x14ac:dyDescent="0.2">
      <c r="A67" s="1092"/>
      <c r="B67" s="1113"/>
      <c r="C67" s="1120" t="s">
        <v>1021</v>
      </c>
      <c r="D67" s="1098"/>
    </row>
    <row r="68" spans="1:4" x14ac:dyDescent="0.2">
      <c r="A68" s="1073"/>
      <c r="B68" s="1083"/>
      <c r="C68" s="1075" t="s">
        <v>1912</v>
      </c>
      <c r="D68" s="1097" t="str">
        <f>IF('Short-Term Long-Term Debt 24'!F49=SUM(,'Acct Summary 7-8'!C33:K33),"OK","ERROR!")</f>
        <v>OK</v>
      </c>
    </row>
    <row r="69" spans="1:4" x14ac:dyDescent="0.2">
      <c r="A69" s="1073"/>
      <c r="B69" s="1083"/>
      <c r="C69" s="1075" t="s">
        <v>1913</v>
      </c>
      <c r="D69" s="1097" t="str">
        <f>IF('Expenditures 15-22'!H170&lt;&gt;'Short-Term Long-Term Debt 24'!H49,"ERROR!","OK")</f>
        <v>OK</v>
      </c>
    </row>
    <row r="70" spans="1:4" x14ac:dyDescent="0.2">
      <c r="A70" s="1071"/>
      <c r="B70" s="1093">
        <f>B66+1</f>
        <v>9</v>
      </c>
      <c r="C70" s="2441" t="s">
        <v>1696</v>
      </c>
      <c r="D70" s="2442"/>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1914</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1915</v>
      </c>
      <c r="D78" s="1097" t="str">
        <f>IF(ISNUMBER('Acct Summary 7-8'!C9),"OK","ENTRY IS REQUIRED!")</f>
        <v>OK</v>
      </c>
    </row>
    <row r="79" spans="1:4" x14ac:dyDescent="0.2">
      <c r="A79" s="1092"/>
      <c r="B79" s="1093">
        <f>B74+1+1</f>
        <v>12</v>
      </c>
      <c r="C79" s="1103" t="s">
        <v>1900</v>
      </c>
      <c r="D79" s="1104" t="str">
        <f>IF(OR(COVER!$B$6="X",'PCTC-OEPP 27-28'!F78&gt;0),"OK","PLEASE ENTER 9 MO ADA.")</f>
        <v>OK</v>
      </c>
    </row>
    <row r="80" spans="1:4" x14ac:dyDescent="0.2">
      <c r="A80" s="1071"/>
      <c r="B80" s="1093">
        <v>13</v>
      </c>
      <c r="C80" s="1103" t="s">
        <v>1916</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31045301026</v>
      </c>
    </row>
    <row r="3" spans="1:2" x14ac:dyDescent="0.2">
      <c r="A3" t="s">
        <v>956</v>
      </c>
      <c r="B3" s="138" t="str">
        <f>COVER!A15</f>
        <v>KANE</v>
      </c>
    </row>
    <row r="4" spans="1:2" x14ac:dyDescent="0.2">
      <c r="A4" t="s">
        <v>1007</v>
      </c>
      <c r="B4" s="138" t="str">
        <f>COVER!A17</f>
        <v>Central CUSD 301</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21255407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89394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89394</v>
      </c>
      <c r="C91" s="2" t="s">
        <v>573</v>
      </c>
      <c r="D91" s="2" t="str">
        <f t="shared" si="0"/>
        <v>Error?</v>
      </c>
    </row>
    <row r="92" spans="1:4" x14ac:dyDescent="0.2">
      <c r="A92" s="5">
        <v>31</v>
      </c>
      <c r="B92" s="138">
        <f>'Assets-Liab 5-6'!C39</f>
        <v>21016885</v>
      </c>
      <c r="D92" s="2" t="str">
        <f t="shared" si="0"/>
        <v>Error?</v>
      </c>
    </row>
    <row r="93" spans="1:4" x14ac:dyDescent="0.2">
      <c r="A93" s="5">
        <v>32</v>
      </c>
      <c r="B93" s="138">
        <f>'Assets-Liab 5-6'!C41</f>
        <v>21255407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6809310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4896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4896</v>
      </c>
      <c r="C122" s="2" t="s">
        <v>573</v>
      </c>
      <c r="D122" s="2" t="str">
        <f t="shared" si="0"/>
        <v>Error?</v>
      </c>
    </row>
    <row r="123" spans="1:4" x14ac:dyDescent="0.2">
      <c r="A123" s="5">
        <v>62</v>
      </c>
      <c r="B123" s="138">
        <f>'Assets-Liab 5-6'!D39</f>
        <v>6804414</v>
      </c>
      <c r="D123" s="2" t="str">
        <f t="shared" si="0"/>
        <v>Error?</v>
      </c>
    </row>
    <row r="124" spans="1:4" x14ac:dyDescent="0.2">
      <c r="A124" s="5">
        <v>63</v>
      </c>
      <c r="B124" s="138">
        <f>'Assets-Liab 5-6'!D41</f>
        <v>6809310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4133737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3364094</v>
      </c>
      <c r="D140" s="2" t="str">
        <f t="shared" si="1"/>
        <v>Error?</v>
      </c>
    </row>
    <row r="141" spans="1:4" x14ac:dyDescent="0.2">
      <c r="A141" s="5">
        <v>80</v>
      </c>
      <c r="B141" s="138">
        <f>'Assets-Liab 5-6'!E41</f>
        <v>4133737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3420897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576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576</v>
      </c>
      <c r="C169" s="2" t="s">
        <v>573</v>
      </c>
      <c r="D169" s="2" t="str">
        <f t="shared" si="1"/>
        <v>Error?</v>
      </c>
    </row>
    <row r="170" spans="1:4" x14ac:dyDescent="0.2">
      <c r="A170" s="5">
        <v>109</v>
      </c>
      <c r="B170" s="138">
        <f>'Assets-Liab 5-6'!F39</f>
        <v>3420321</v>
      </c>
      <c r="D170" s="2" t="str">
        <f t="shared" si="1"/>
        <v>Error?</v>
      </c>
    </row>
    <row r="171" spans="1:4" x14ac:dyDescent="0.2">
      <c r="A171" s="5">
        <v>110</v>
      </c>
      <c r="B171" s="138">
        <f>'Assets-Liab 5-6'!F41</f>
        <v>3420897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1425893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757595</v>
      </c>
      <c r="D189" s="2" t="str">
        <f t="shared" si="1"/>
        <v>Error?</v>
      </c>
    </row>
    <row r="190" spans="1:4" x14ac:dyDescent="0.2">
      <c r="A190" s="5">
        <v>129</v>
      </c>
      <c r="B190" s="138">
        <f>'Assets-Liab 5-6'!G41</f>
        <v>1425893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2348802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2348802</v>
      </c>
      <c r="D212" s="2" t="str">
        <f t="shared" si="2"/>
        <v>Error?</v>
      </c>
    </row>
    <row r="213" spans="1:4" x14ac:dyDescent="0.2">
      <c r="A213" s="12">
        <v>152</v>
      </c>
      <c r="B213" s="138">
        <f>'Assets-Liab 5-6'!H41</f>
        <v>2348802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6004268</v>
      </c>
      <c r="D273" s="2" t="str">
        <f t="shared" si="3"/>
        <v>Error?</v>
      </c>
    </row>
    <row r="274" spans="1:4" x14ac:dyDescent="0.2">
      <c r="A274" s="5">
        <v>213</v>
      </c>
      <c r="B274" s="138">
        <f>'Assets-Liab 5-6'!M17</f>
        <v>132390578</v>
      </c>
      <c r="D274" s="2" t="str">
        <f t="shared" si="3"/>
        <v>Error?</v>
      </c>
    </row>
    <row r="275" spans="1:4" x14ac:dyDescent="0.2">
      <c r="A275" s="5">
        <v>214</v>
      </c>
      <c r="B275" s="138">
        <f>'Assets-Liab 5-6'!M18</f>
        <v>4332905</v>
      </c>
      <c r="D275" s="2" t="str">
        <f t="shared" si="3"/>
        <v>Error?</v>
      </c>
    </row>
    <row r="276" spans="1:4" x14ac:dyDescent="0.2">
      <c r="A276" s="5">
        <v>215</v>
      </c>
      <c r="B276" s="138">
        <f>'Assets-Liab 5-6'!M19</f>
        <v>5031161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148125980</v>
      </c>
      <c r="C279" s="2" t="s">
        <v>573</v>
      </c>
      <c r="D279" s="2" t="str">
        <f t="shared" si="3"/>
        <v>Error?</v>
      </c>
    </row>
    <row r="280" spans="1:4" x14ac:dyDescent="0.2">
      <c r="A280" s="5">
        <v>219</v>
      </c>
      <c r="B280" s="138">
        <f>'Assets-Liab 5-6'!M40</f>
        <v>148125980</v>
      </c>
      <c r="D280" s="2" t="str">
        <f t="shared" si="3"/>
        <v>Error?</v>
      </c>
    </row>
    <row r="281" spans="1:4" x14ac:dyDescent="0.2">
      <c r="A281" s="5">
        <v>220</v>
      </c>
      <c r="B281" s="138">
        <f>'Assets-Liab 5-6'!M41</f>
        <v>148125980</v>
      </c>
      <c r="C281" s="2" t="s">
        <v>573</v>
      </c>
      <c r="D281" s="2" t="str">
        <f t="shared" si="3"/>
        <v>Error?</v>
      </c>
    </row>
    <row r="282" spans="1:4" x14ac:dyDescent="0.2">
      <c r="A282" s="5">
        <v>221</v>
      </c>
      <c r="B282" s="138">
        <f>'Assets-Liab 5-6'!N21</f>
        <v>4133737</v>
      </c>
      <c r="D282" s="2" t="str">
        <f t="shared" si="3"/>
        <v>Error?</v>
      </c>
    </row>
    <row r="283" spans="1:4" x14ac:dyDescent="0.2">
      <c r="A283" s="5">
        <v>222</v>
      </c>
      <c r="B283" s="138">
        <f>'Assets-Liab 5-6'!N22</f>
        <v>41674452</v>
      </c>
      <c r="D283" s="2" t="str">
        <f t="shared" si="3"/>
        <v>Error?</v>
      </c>
    </row>
    <row r="284" spans="1:4" x14ac:dyDescent="0.2">
      <c r="A284" s="5">
        <v>223</v>
      </c>
      <c r="B284" s="138">
        <f>'Assets-Liab 5-6'!N23</f>
        <v>45808189</v>
      </c>
      <c r="C284" s="2" t="s">
        <v>573</v>
      </c>
      <c r="D284" s="2" t="str">
        <f t="shared" si="3"/>
        <v>Error?</v>
      </c>
    </row>
    <row r="285" spans="1:4" x14ac:dyDescent="0.2">
      <c r="A285" s="5">
        <v>224</v>
      </c>
      <c r="B285" s="138">
        <f>'Assets-Liab 5-6'!N36</f>
        <v>45808189</v>
      </c>
      <c r="D285" s="2" t="str">
        <f t="shared" si="3"/>
        <v>Error?</v>
      </c>
    </row>
    <row r="286" spans="1:4" x14ac:dyDescent="0.2">
      <c r="A286" s="10">
        <v>225</v>
      </c>
      <c r="D286" s="2" t="str">
        <f t="shared" si="3"/>
        <v>OK</v>
      </c>
    </row>
    <row r="287" spans="1:4" x14ac:dyDescent="0.2">
      <c r="A287" s="5">
        <v>226</v>
      </c>
      <c r="B287" s="138">
        <f>'Assets-Liab 5-6'!N37</f>
        <v>45808189</v>
      </c>
      <c r="C287" s="2" t="s">
        <v>573</v>
      </c>
      <c r="D287" s="2" t="str">
        <f t="shared" si="3"/>
        <v>Error?</v>
      </c>
    </row>
    <row r="288" spans="1:4" x14ac:dyDescent="0.2">
      <c r="A288" s="5">
        <v>227</v>
      </c>
      <c r="B288" s="138">
        <f>'Assets-Liab 5-6'!N41</f>
        <v>45808189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14252647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471860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617392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18229369</v>
      </c>
      <c r="C720" s="2" t="s">
        <v>573</v>
      </c>
      <c r="D720" s="2" t="str">
        <f t="shared" si="10"/>
        <v>Error?</v>
      </c>
    </row>
    <row r="721" spans="1:4" x14ac:dyDescent="0.2">
      <c r="A721" s="5">
        <v>660</v>
      </c>
      <c r="B721" s="138">
        <f>'Expenditures 15-22'!C36</f>
        <v>441682</v>
      </c>
      <c r="D721" s="2" t="str">
        <f t="shared" si="10"/>
        <v>Error?</v>
      </c>
    </row>
    <row r="722" spans="1:4" x14ac:dyDescent="0.2">
      <c r="A722" s="5">
        <v>661</v>
      </c>
      <c r="B722" s="138">
        <f>'Expenditures 15-22'!C37</f>
        <v>236333</v>
      </c>
      <c r="D722" s="2" t="str">
        <f t="shared" si="10"/>
        <v>Error?</v>
      </c>
    </row>
    <row r="723" spans="1:4" x14ac:dyDescent="0.2">
      <c r="A723" s="5">
        <v>662</v>
      </c>
      <c r="B723" s="138">
        <f>'Expenditures 15-22'!C38</f>
        <v>259772</v>
      </c>
      <c r="D723" s="2" t="str">
        <f t="shared" si="10"/>
        <v>Error?</v>
      </c>
    </row>
    <row r="724" spans="1:4" x14ac:dyDescent="0.2">
      <c r="A724" s="5">
        <v>663</v>
      </c>
      <c r="B724" s="138">
        <f>'Expenditures 15-22'!C39</f>
        <v>359065</v>
      </c>
      <c r="D724" s="2" t="str">
        <f t="shared" si="10"/>
        <v>Error?</v>
      </c>
    </row>
    <row r="725" spans="1:4" x14ac:dyDescent="0.2">
      <c r="A725" s="5">
        <v>664</v>
      </c>
      <c r="B725" s="138">
        <f>'Expenditures 15-22'!C40</f>
        <v>594564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1891416</v>
      </c>
      <c r="C727" s="2" t="s">
        <v>573</v>
      </c>
      <c r="D727" s="2" t="str">
        <f t="shared" si="10"/>
        <v>Error?</v>
      </c>
    </row>
    <row r="728" spans="1:4" x14ac:dyDescent="0.2">
      <c r="A728" s="5">
        <v>667</v>
      </c>
      <c r="B728" s="138">
        <f>'Expenditures 15-22'!C44</f>
        <v>891929</v>
      </c>
      <c r="D728" s="2" t="str">
        <f t="shared" si="10"/>
        <v>Error?</v>
      </c>
    </row>
    <row r="729" spans="1:4" x14ac:dyDescent="0.2">
      <c r="A729" s="5">
        <v>668</v>
      </c>
      <c r="B729" s="138">
        <f>'Expenditures 15-22'!C45</f>
        <v>277416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1169345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418120</v>
      </c>
      <c r="D733" s="2" t="str">
        <f t="shared" si="10"/>
        <v>Error?</v>
      </c>
    </row>
    <row r="734" spans="1:4" x14ac:dyDescent="0.2">
      <c r="A734" s="5">
        <v>673</v>
      </c>
      <c r="B734" s="138">
        <f>'Expenditures 15-22'!C53</f>
        <v>631859</v>
      </c>
      <c r="C734" s="2" t="s">
        <v>573</v>
      </c>
      <c r="D734" s="2" t="str">
        <f t="shared" si="10"/>
        <v>Error?</v>
      </c>
    </row>
    <row r="735" spans="1:4" x14ac:dyDescent="0.2">
      <c r="A735" s="5">
        <v>674</v>
      </c>
      <c r="B735" s="138">
        <f>'Expenditures 15-22'!C55</f>
        <v>1904337</v>
      </c>
      <c r="D735" s="2" t="str">
        <f t="shared" si="10"/>
        <v>Error?</v>
      </c>
    </row>
    <row r="736" spans="1:4" x14ac:dyDescent="0.2">
      <c r="A736" s="5">
        <v>675</v>
      </c>
      <c r="B736" s="138">
        <f>'Expenditures 15-22'!C56</f>
        <v>155927</v>
      </c>
      <c r="D736" s="2" t="str">
        <f t="shared" si="10"/>
        <v>Error?</v>
      </c>
    </row>
    <row r="737" spans="1:4" x14ac:dyDescent="0.2">
      <c r="A737" s="5">
        <v>676</v>
      </c>
      <c r="B737" s="138">
        <f>'Expenditures 15-22'!C57</f>
        <v>2060264</v>
      </c>
      <c r="C737" s="2" t="s">
        <v>573</v>
      </c>
      <c r="D737" s="2" t="str">
        <f t="shared" si="10"/>
        <v>Error?</v>
      </c>
    </row>
    <row r="738" spans="1:4" x14ac:dyDescent="0.2">
      <c r="A738" s="5">
        <v>677</v>
      </c>
      <c r="B738" s="138">
        <f>'Expenditures 15-22'!C59</f>
        <v>59854</v>
      </c>
      <c r="D738" s="2" t="str">
        <f t="shared" si="10"/>
        <v>Error?</v>
      </c>
    </row>
    <row r="739" spans="1:4" x14ac:dyDescent="0.2">
      <c r="A739" s="5">
        <v>678</v>
      </c>
      <c r="B739" s="138">
        <f>'Expenditures 15-22'!C60</f>
        <v>256185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512309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828348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497883</v>
      </c>
      <c r="D751" s="2" t="str">
        <f t="shared" si="10"/>
        <v>Error?</v>
      </c>
    </row>
    <row r="752" spans="1:4" x14ac:dyDescent="0.2">
      <c r="A752" s="10">
        <v>691</v>
      </c>
      <c r="D752" s="2" t="str">
        <f t="shared" si="10"/>
        <v>OK</v>
      </c>
    </row>
    <row r="753" spans="1:4" x14ac:dyDescent="0.2">
      <c r="A753" s="5">
        <v>692</v>
      </c>
      <c r="B753" s="138">
        <f>'Expenditures 15-22'!C72</f>
        <v>497883</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7079115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25308484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4290643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131970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106661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5176365</v>
      </c>
      <c r="C778" s="2" t="s">
        <v>573</v>
      </c>
      <c r="D778" s="2" t="str">
        <f t="shared" si="11"/>
        <v>Error?</v>
      </c>
    </row>
    <row r="779" spans="1:4" x14ac:dyDescent="0.2">
      <c r="A779" s="5">
        <v>718</v>
      </c>
      <c r="B779" s="138">
        <f>'Expenditures 15-22'!D36</f>
        <v>153213</v>
      </c>
      <c r="D779" s="2" t="str">
        <f t="shared" si="11"/>
        <v>Error?</v>
      </c>
    </row>
    <row r="780" spans="1:4" x14ac:dyDescent="0.2">
      <c r="A780" s="5">
        <v>719</v>
      </c>
      <c r="B780" s="138">
        <f>'Expenditures 15-22'!D37</f>
        <v>70114</v>
      </c>
      <c r="D780" s="2" t="str">
        <f t="shared" si="11"/>
        <v>Error?</v>
      </c>
    </row>
    <row r="781" spans="1:4" x14ac:dyDescent="0.2">
      <c r="A781" s="5">
        <v>720</v>
      </c>
      <c r="B781" s="138">
        <f>'Expenditures 15-22'!D38</f>
        <v>71227</v>
      </c>
      <c r="D781" s="2" t="str">
        <f t="shared" si="11"/>
        <v>Error?</v>
      </c>
    </row>
    <row r="782" spans="1:4" x14ac:dyDescent="0.2">
      <c r="A782" s="5">
        <v>721</v>
      </c>
      <c r="B782" s="138">
        <f>'Expenditures 15-22'!D39</f>
        <v>106690</v>
      </c>
      <c r="D782" s="2" t="str">
        <f t="shared" si="11"/>
        <v>Error?</v>
      </c>
    </row>
    <row r="783" spans="1:4" x14ac:dyDescent="0.2">
      <c r="A783" s="5">
        <v>722</v>
      </c>
      <c r="B783" s="138">
        <f>'Expenditures 15-22'!D40</f>
        <v>179510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580754</v>
      </c>
      <c r="C785" s="2" t="s">
        <v>573</v>
      </c>
      <c r="D785" s="2" t="str">
        <f t="shared" si="11"/>
        <v>Error?</v>
      </c>
    </row>
    <row r="786" spans="1:4" x14ac:dyDescent="0.2">
      <c r="A786" s="5">
        <v>725</v>
      </c>
      <c r="B786" s="138">
        <f>'Expenditures 15-22'!D44</f>
        <v>270157</v>
      </c>
      <c r="D786" s="2" t="str">
        <f t="shared" si="11"/>
        <v>Error?</v>
      </c>
    </row>
    <row r="787" spans="1:4" x14ac:dyDescent="0.2">
      <c r="A787" s="5">
        <v>726</v>
      </c>
      <c r="B787" s="138">
        <f>'Expenditures 15-22'!D45</f>
        <v>75923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346080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149093</v>
      </c>
      <c r="D791" s="2" t="str">
        <f t="shared" si="11"/>
        <v>Error?</v>
      </c>
    </row>
    <row r="792" spans="1:4" x14ac:dyDescent="0.2">
      <c r="A792" s="5">
        <v>731</v>
      </c>
      <c r="B792" s="138">
        <f>'Expenditures 15-22'!D53</f>
        <v>205467</v>
      </c>
      <c r="C792" s="2" t="s">
        <v>573</v>
      </c>
      <c r="D792" s="2" t="str">
        <f t="shared" si="11"/>
        <v>Error?</v>
      </c>
    </row>
    <row r="793" spans="1:4" x14ac:dyDescent="0.2">
      <c r="A793" s="5">
        <v>732</v>
      </c>
      <c r="B793" s="138">
        <f>'Expenditures 15-22'!D55</f>
        <v>611490</v>
      </c>
      <c r="D793" s="2" t="str">
        <f t="shared" si="11"/>
        <v>Error?</v>
      </c>
    </row>
    <row r="794" spans="1:4" x14ac:dyDescent="0.2">
      <c r="A794" s="5">
        <v>733</v>
      </c>
      <c r="B794" s="138">
        <f>'Expenditures 15-22'!D56</f>
        <v>55350</v>
      </c>
      <c r="D794" s="2" t="str">
        <f t="shared" si="11"/>
        <v>Error?</v>
      </c>
    </row>
    <row r="795" spans="1:4" x14ac:dyDescent="0.2">
      <c r="A795" s="5">
        <v>734</v>
      </c>
      <c r="B795" s="138">
        <f>'Expenditures 15-22'!D57</f>
        <v>666840</v>
      </c>
      <c r="C795" s="2" t="s">
        <v>573</v>
      </c>
      <c r="D795" s="2" t="str">
        <f t="shared" si="11"/>
        <v>Error?</v>
      </c>
    </row>
    <row r="796" spans="1:4" x14ac:dyDescent="0.2">
      <c r="A796" s="5">
        <v>735</v>
      </c>
      <c r="B796" s="138">
        <f>'Expenditures 15-22'!D59</f>
        <v>12349</v>
      </c>
      <c r="D796" s="2" t="str">
        <f t="shared" si="11"/>
        <v>Error?</v>
      </c>
    </row>
    <row r="797" spans="1:4" x14ac:dyDescent="0.2">
      <c r="A797" s="5">
        <v>736</v>
      </c>
      <c r="B797" s="138">
        <f>'Expenditures 15-22'!D60</f>
        <v>85454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19845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117648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113682</v>
      </c>
      <c r="D809" s="2" t="str">
        <f t="shared" si="11"/>
        <v>Error?</v>
      </c>
    </row>
    <row r="810" spans="1:4" x14ac:dyDescent="0.2">
      <c r="A810" s="10">
        <v>749</v>
      </c>
      <c r="D810" s="2" t="str">
        <f t="shared" si="11"/>
        <v>OK</v>
      </c>
    </row>
    <row r="811" spans="1:4" x14ac:dyDescent="0.2">
      <c r="A811" s="5">
        <v>750</v>
      </c>
      <c r="B811" s="138">
        <f>'Expenditures 15-22'!D72</f>
        <v>113682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2030471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7206836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304399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6351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169</v>
      </c>
      <c r="D833" s="2" t="str">
        <f t="shared" si="12"/>
        <v>Error?</v>
      </c>
    </row>
    <row r="834" spans="1:4" x14ac:dyDescent="0.2">
      <c r="A834" s="5">
        <v>773</v>
      </c>
      <c r="B834" s="138">
        <f>'Expenditures 15-22'!E14</f>
        <v>144086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460484</v>
      </c>
      <c r="C836" s="2" t="s">
        <v>573</v>
      </c>
      <c r="D836" s="2" t="str">
        <f t="shared" si="12"/>
        <v>Error?</v>
      </c>
    </row>
    <row r="837" spans="1:4" x14ac:dyDescent="0.2">
      <c r="A837" s="5">
        <v>776</v>
      </c>
      <c r="B837" s="138">
        <f>'Expenditures 15-22'!E36</f>
        <v>78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265</v>
      </c>
      <c r="D839" s="2" t="str">
        <f t="shared" si="12"/>
        <v>Error?</v>
      </c>
    </row>
    <row r="840" spans="1:4" x14ac:dyDescent="0.2">
      <c r="A840" s="5">
        <v>779</v>
      </c>
      <c r="B840" s="138">
        <f>'Expenditures 15-22'!E39</f>
        <v>49880</v>
      </c>
      <c r="D840" s="2" t="str">
        <f t="shared" si="12"/>
        <v>Error?</v>
      </c>
    </row>
    <row r="841" spans="1:4" x14ac:dyDescent="0.2">
      <c r="A841" s="5">
        <v>780</v>
      </c>
      <c r="B841" s="138">
        <f>'Expenditures 15-22'!E40</f>
        <v>26608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76831</v>
      </c>
      <c r="C843" s="2" t="s">
        <v>573</v>
      </c>
      <c r="D843" s="2" t="str">
        <f t="shared" si="12"/>
        <v>Error?</v>
      </c>
    </row>
    <row r="844" spans="1:4" x14ac:dyDescent="0.2">
      <c r="A844" s="5">
        <v>783</v>
      </c>
      <c r="B844" s="138">
        <f>'Expenditures 15-22'!E44</f>
        <v>71315</v>
      </c>
      <c r="D844" s="2" t="str">
        <f t="shared" si="12"/>
        <v>Error?</v>
      </c>
    </row>
    <row r="845" spans="1:4" x14ac:dyDescent="0.2">
      <c r="A845" s="5">
        <v>784</v>
      </c>
      <c r="B845" s="138">
        <f>'Expenditures 15-22'!E45</f>
        <v>132</v>
      </c>
      <c r="D845" s="2" t="str">
        <f t="shared" si="12"/>
        <v>Error?</v>
      </c>
    </row>
    <row r="846" spans="1:4" x14ac:dyDescent="0.2">
      <c r="A846" s="5">
        <v>785</v>
      </c>
      <c r="B846" s="138">
        <f>'Expenditures 15-22'!E46</f>
        <v>18589</v>
      </c>
      <c r="D846" s="2" t="str">
        <f t="shared" si="12"/>
        <v>Error?</v>
      </c>
    </row>
    <row r="847" spans="1:4" x14ac:dyDescent="0.2">
      <c r="A847" s="5">
        <v>786</v>
      </c>
      <c r="B847" s="138">
        <f>'Expenditures 15-22'!E47</f>
        <v>90036</v>
      </c>
      <c r="C847" s="2" t="s">
        <v>573</v>
      </c>
      <c r="D847" s="2" t="str">
        <f t="shared" si="12"/>
        <v>Error?</v>
      </c>
    </row>
    <row r="848" spans="1:4" x14ac:dyDescent="0.2">
      <c r="A848" s="5">
        <v>787</v>
      </c>
      <c r="B848" s="138">
        <f>'Expenditures 15-22'!E49</f>
        <v>80837</v>
      </c>
      <c r="D848" s="2" t="str">
        <f t="shared" si="12"/>
        <v>Error?</v>
      </c>
    </row>
    <row r="849" spans="1:4" x14ac:dyDescent="0.2">
      <c r="A849" s="5">
        <v>788</v>
      </c>
      <c r="B849" s="138">
        <f>'Expenditures 15-22'!E50</f>
        <v>3556</v>
      </c>
      <c r="D849" s="2" t="str">
        <f t="shared" si="12"/>
        <v>Error?</v>
      </c>
    </row>
    <row r="850" spans="1:4" x14ac:dyDescent="0.2">
      <c r="A850" s="5">
        <v>789</v>
      </c>
      <c r="B850" s="138">
        <f>'Expenditures 15-22'!E53</f>
        <v>86471</v>
      </c>
      <c r="C850" s="2" t="s">
        <v>573</v>
      </c>
      <c r="D850" s="2" t="str">
        <f t="shared" si="12"/>
        <v>Error?</v>
      </c>
    </row>
    <row r="851" spans="1:4" x14ac:dyDescent="0.2">
      <c r="A851" s="5">
        <v>790</v>
      </c>
      <c r="B851" s="138">
        <f>'Expenditures 15-22'!E55</f>
        <v>367892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367892</v>
      </c>
      <c r="C853" s="2" t="s">
        <v>573</v>
      </c>
      <c r="D853" s="2" t="str">
        <f t="shared" si="12"/>
        <v>Error?</v>
      </c>
    </row>
    <row r="854" spans="1:4" x14ac:dyDescent="0.2">
      <c r="A854" s="5">
        <v>793</v>
      </c>
      <c r="B854" s="138">
        <f>'Expenditures 15-22'!E59</f>
        <v>498</v>
      </c>
      <c r="D854" s="2" t="str">
        <f t="shared" si="12"/>
        <v>Error?</v>
      </c>
    </row>
    <row r="855" spans="1:4" x14ac:dyDescent="0.2">
      <c r="A855" s="5">
        <v>794</v>
      </c>
      <c r="B855" s="138">
        <f>'Expenditures 15-22'!E60</f>
        <v>178931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6563</v>
      </c>
      <c r="D857" s="2" t="str">
        <f t="shared" si="12"/>
        <v>Error?</v>
      </c>
    </row>
    <row r="858" spans="1:4" x14ac:dyDescent="0.2">
      <c r="A858" s="5">
        <v>797</v>
      </c>
      <c r="B858" s="138">
        <f>'Expenditures 15-22'!E63</f>
        <v>60731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246723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413866</v>
      </c>
      <c r="D867" s="2" t="str">
        <f t="shared" si="12"/>
        <v>Error?</v>
      </c>
    </row>
    <row r="868" spans="1:4" x14ac:dyDescent="0.2">
      <c r="A868" s="10">
        <v>807</v>
      </c>
      <c r="D868" s="2" t="str">
        <f t="shared" si="12"/>
        <v>OK</v>
      </c>
    </row>
    <row r="869" spans="1:4" x14ac:dyDescent="0.2">
      <c r="A869" s="5">
        <v>808</v>
      </c>
      <c r="B869" s="138">
        <f>'Expenditures 15-22'!E72</f>
        <v>413866</v>
      </c>
      <c r="C869" s="2" t="s">
        <v>573</v>
      </c>
      <c r="D869" s="2" t="str">
        <f t="shared" si="12"/>
        <v>Error?</v>
      </c>
    </row>
    <row r="870" spans="1:4" x14ac:dyDescent="0.2">
      <c r="A870" s="5">
        <v>809</v>
      </c>
      <c r="B870" s="138">
        <f>'Expenditures 15-22'!E73</f>
        <v>21805</v>
      </c>
      <c r="D870" s="2" t="str">
        <f t="shared" si="12"/>
        <v>Error?</v>
      </c>
    </row>
    <row r="871" spans="1:4" x14ac:dyDescent="0.2">
      <c r="A871" s="5">
        <v>810</v>
      </c>
      <c r="B871" s="138">
        <f>'Expenditures 15-22'!E74</f>
        <v>1303624</v>
      </c>
      <c r="C871" s="2" t="s">
        <v>573</v>
      </c>
      <c r="D871" s="2" t="str">
        <f t="shared" si="12"/>
        <v>Error?</v>
      </c>
    </row>
    <row r="872" spans="1:4" x14ac:dyDescent="0.2">
      <c r="A872" s="5">
        <v>811</v>
      </c>
      <c r="B872" s="138">
        <f>'Expenditures 15-22'!E75</f>
        <v>5712</v>
      </c>
      <c r="D872" s="2" t="str">
        <f t="shared" si="12"/>
        <v>Error?</v>
      </c>
    </row>
    <row r="873" spans="1:4" x14ac:dyDescent="0.2">
      <c r="A873" s="5">
        <v>812</v>
      </c>
      <c r="B873" s="138">
        <f>'Expenditures 15-22'!E114</f>
        <v>2617332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1726943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1711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11115</v>
      </c>
      <c r="D891" s="2" t="str">
        <f t="shared" si="12"/>
        <v>Error?</v>
      </c>
    </row>
    <row r="892" spans="1:4" x14ac:dyDescent="0.2">
      <c r="A892" s="5">
        <v>831</v>
      </c>
      <c r="B892" s="138">
        <f>'Expenditures 15-22'!F14</f>
        <v>108735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1888564</v>
      </c>
      <c r="C894" s="2" t="s">
        <v>573</v>
      </c>
      <c r="D894" s="2" t="str">
        <f t="shared" si="12"/>
        <v>Error?</v>
      </c>
    </row>
    <row r="895" spans="1:4" x14ac:dyDescent="0.2">
      <c r="A895" s="5">
        <v>834</v>
      </c>
      <c r="B895" s="138">
        <f>'Expenditures 15-22'!F36</f>
        <v>530</v>
      </c>
      <c r="D895" s="2" t="str">
        <f t="shared" ref="D895:D958" si="13">IF(ISBLANK(B895),"OK",IF(A895-B895=0,"OK","Error?"))</f>
        <v>Error?</v>
      </c>
    </row>
    <row r="896" spans="1:4" x14ac:dyDescent="0.2">
      <c r="A896" s="5">
        <v>835</v>
      </c>
      <c r="B896" s="138">
        <f>'Expenditures 15-22'!F37</f>
        <v>2457</v>
      </c>
      <c r="D896" s="2" t="str">
        <f t="shared" si="13"/>
        <v>Error?</v>
      </c>
    </row>
    <row r="897" spans="1:4" x14ac:dyDescent="0.2">
      <c r="A897" s="5">
        <v>836</v>
      </c>
      <c r="B897" s="138">
        <f>'Expenditures 15-22'!F38</f>
        <v>1343</v>
      </c>
      <c r="D897" s="2" t="str">
        <f t="shared" si="13"/>
        <v>Error?</v>
      </c>
    </row>
    <row r="898" spans="1:4" x14ac:dyDescent="0.2">
      <c r="A898" s="5">
        <v>837</v>
      </c>
      <c r="B898" s="138">
        <f>'Expenditures 15-22'!F39</f>
        <v>42</v>
      </c>
      <c r="D898" s="2" t="str">
        <f t="shared" si="13"/>
        <v>Error?</v>
      </c>
    </row>
    <row r="899" spans="1:4" x14ac:dyDescent="0.2">
      <c r="A899" s="5">
        <v>838</v>
      </c>
      <c r="B899" s="138">
        <f>'Expenditures 15-22'!F40</f>
        <v>1966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6338</v>
      </c>
      <c r="C901" s="2" t="s">
        <v>573</v>
      </c>
      <c r="D901" s="2" t="str">
        <f t="shared" si="13"/>
        <v>Error?</v>
      </c>
    </row>
    <row r="902" spans="1:4" x14ac:dyDescent="0.2">
      <c r="A902" s="5">
        <v>841</v>
      </c>
      <c r="B902" s="138">
        <f>'Expenditures 15-22'!F44</f>
        <v>39240</v>
      </c>
      <c r="D902" s="2" t="str">
        <f t="shared" si="13"/>
        <v>Error?</v>
      </c>
    </row>
    <row r="903" spans="1:4" x14ac:dyDescent="0.2">
      <c r="A903" s="5">
        <v>842</v>
      </c>
      <c r="B903" s="138">
        <f>'Expenditures 15-22'!F45</f>
        <v>45413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84653</v>
      </c>
      <c r="C905" s="2" t="s">
        <v>573</v>
      </c>
      <c r="D905" s="2" t="str">
        <f t="shared" si="13"/>
        <v>Error?</v>
      </c>
    </row>
    <row r="906" spans="1:4" x14ac:dyDescent="0.2">
      <c r="A906" s="5">
        <v>845</v>
      </c>
      <c r="B906" s="138">
        <f>'Expenditures 15-22'!F49</f>
        <v>13895</v>
      </c>
      <c r="D906" s="2" t="str">
        <f t="shared" si="13"/>
        <v>Error?</v>
      </c>
    </row>
    <row r="907" spans="1:4" x14ac:dyDescent="0.2">
      <c r="A907" s="5">
        <v>846</v>
      </c>
      <c r="B907" s="138">
        <f>'Expenditures 15-22'!F50</f>
        <v>9883</v>
      </c>
      <c r="D907" s="2" t="str">
        <f t="shared" si="13"/>
        <v>Error?</v>
      </c>
    </row>
    <row r="908" spans="1:4" x14ac:dyDescent="0.2">
      <c r="A908" s="5">
        <v>847</v>
      </c>
      <c r="B908" s="138">
        <f>'Expenditures 15-22'!F53</f>
        <v>24784</v>
      </c>
      <c r="C908" s="2" t="s">
        <v>573</v>
      </c>
      <c r="D908" s="2" t="str">
        <f t="shared" si="13"/>
        <v>Error?</v>
      </c>
    </row>
    <row r="909" spans="1:4" x14ac:dyDescent="0.2">
      <c r="A909" s="5">
        <v>848</v>
      </c>
      <c r="B909" s="138">
        <f>'Expenditures 15-22'!F55</f>
        <v>101153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101153</v>
      </c>
      <c r="C911" s="2" t="s">
        <v>573</v>
      </c>
      <c r="D911" s="2" t="str">
        <f t="shared" si="13"/>
        <v>Error?</v>
      </c>
    </row>
    <row r="912" spans="1:4" x14ac:dyDescent="0.2">
      <c r="A912" s="5">
        <v>851</v>
      </c>
      <c r="B912" s="138">
        <f>'Expenditures 15-22'!F59</f>
        <v>35</v>
      </c>
      <c r="D912" s="2" t="str">
        <f t="shared" si="13"/>
        <v>Error?</v>
      </c>
    </row>
    <row r="913" spans="1:4" x14ac:dyDescent="0.2">
      <c r="A913" s="5">
        <v>852</v>
      </c>
      <c r="B913" s="138">
        <f>'Expenditures 15-22'!F60</f>
        <v>22383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595399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617817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112499</v>
      </c>
      <c r="D925" s="2" t="str">
        <f t="shared" si="13"/>
        <v>Error?</v>
      </c>
    </row>
    <row r="926" spans="1:4" x14ac:dyDescent="0.2">
      <c r="A926" s="10">
        <v>865</v>
      </c>
      <c r="D926" s="2" t="str">
        <f t="shared" si="13"/>
        <v>OK</v>
      </c>
    </row>
    <row r="927" spans="1:4" x14ac:dyDescent="0.2">
      <c r="A927" s="5">
        <v>866</v>
      </c>
      <c r="B927" s="138">
        <f>'Expenditures 15-22'!F72</f>
        <v>112499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947244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2835808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183990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9560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193550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5042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5042</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107398</v>
      </c>
      <c r="D983" s="2" t="str">
        <f t="shared" si="14"/>
        <v>Error?</v>
      </c>
    </row>
    <row r="984" spans="1:4" x14ac:dyDescent="0.2">
      <c r="A984" s="10">
        <v>923</v>
      </c>
      <c r="D984" s="2" t="str">
        <f t="shared" si="14"/>
        <v>OK</v>
      </c>
    </row>
    <row r="985" spans="1:4" x14ac:dyDescent="0.2">
      <c r="A985" s="5">
        <v>924</v>
      </c>
      <c r="B985" s="138">
        <f>'Expenditures 15-22'!G72</f>
        <v>107398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112440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305990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1108</v>
      </c>
      <c r="D1007" s="2" t="str">
        <f t="shared" si="14"/>
        <v>Error?</v>
      </c>
    </row>
    <row r="1008" spans="1:4" x14ac:dyDescent="0.2">
      <c r="A1008" s="5">
        <v>947</v>
      </c>
      <c r="B1008" s="138">
        <f>'Expenditures 15-22'!H14</f>
        <v>35331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836391</v>
      </c>
      <c r="C1010" s="2" t="s">
        <v>573</v>
      </c>
      <c r="D1010" s="2" t="str">
        <f t="shared" si="14"/>
        <v>Error?</v>
      </c>
    </row>
    <row r="1011" spans="1:4" x14ac:dyDescent="0.2">
      <c r="A1011" s="5">
        <v>950</v>
      </c>
      <c r="B1011" s="138">
        <f>'Expenditures 15-22'!H36</f>
        <v>75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335</v>
      </c>
      <c r="D1014" s="2" t="str">
        <f t="shared" si="14"/>
        <v>Error?</v>
      </c>
    </row>
    <row r="1015" spans="1:4" x14ac:dyDescent="0.2">
      <c r="A1015" s="5">
        <v>954</v>
      </c>
      <c r="B1015" s="138">
        <f>'Expenditures 15-22'!H40</f>
        <v>1518</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1928</v>
      </c>
      <c r="C1017" s="2" t="s">
        <v>573</v>
      </c>
      <c r="D1017" s="2" t="str">
        <f t="shared" si="14"/>
        <v>Error?</v>
      </c>
    </row>
    <row r="1018" spans="1:4" x14ac:dyDescent="0.2">
      <c r="A1018" s="5">
        <v>957</v>
      </c>
      <c r="B1018" s="138">
        <f>'Expenditures 15-22'!H44</f>
        <v>77618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77618</v>
      </c>
      <c r="C1021" s="2" t="s">
        <v>573</v>
      </c>
      <c r="D1021" s="2" t="str">
        <f t="shared" si="14"/>
        <v>Error?</v>
      </c>
    </row>
    <row r="1022" spans="1:4" x14ac:dyDescent="0.2">
      <c r="A1022" s="5">
        <v>961</v>
      </c>
      <c r="B1022" s="138">
        <f>'Expenditures 15-22'!H49</f>
        <v>51314</v>
      </c>
      <c r="D1022" s="2" t="str">
        <f t="shared" si="14"/>
        <v>Error?</v>
      </c>
    </row>
    <row r="1023" spans="1:4" x14ac:dyDescent="0.2">
      <c r="A1023" s="5">
        <v>962</v>
      </c>
      <c r="B1023" s="138">
        <f>'Expenditures 15-22'!H50</f>
        <v>22620</v>
      </c>
      <c r="D1023" s="2" t="str">
        <f t="shared" ref="D1023:D1086" si="15">IF(ISBLANK(B1023),"OK",IF(A1023-B1023=0,"OK","Error?"))</f>
        <v>Error?</v>
      </c>
    </row>
    <row r="1024" spans="1:4" x14ac:dyDescent="0.2">
      <c r="A1024" s="5">
        <v>963</v>
      </c>
      <c r="B1024" s="138">
        <f>'Expenditures 15-22'!H53</f>
        <v>74599</v>
      </c>
      <c r="C1024" s="2" t="s">
        <v>573</v>
      </c>
      <c r="D1024" s="2" t="str">
        <f t="shared" si="15"/>
        <v>Error?</v>
      </c>
    </row>
    <row r="1025" spans="1:4" x14ac:dyDescent="0.2">
      <c r="A1025" s="5">
        <v>964</v>
      </c>
      <c r="B1025" s="138">
        <f>'Expenditures 15-22'!H55</f>
        <v>6020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6020</v>
      </c>
      <c r="C1027" s="2" t="s">
        <v>573</v>
      </c>
      <c r="D1027" s="2" t="str">
        <f t="shared" si="15"/>
        <v>Error?</v>
      </c>
    </row>
    <row r="1028" spans="1:4" x14ac:dyDescent="0.2">
      <c r="A1028" s="5">
        <v>967</v>
      </c>
      <c r="B1028" s="138">
        <f>'Expenditures 15-22'!H59</f>
        <v>1404</v>
      </c>
      <c r="D1028" s="2" t="str">
        <f t="shared" si="15"/>
        <v>Error?</v>
      </c>
    </row>
    <row r="1029" spans="1:4" x14ac:dyDescent="0.2">
      <c r="A1029" s="5">
        <v>968</v>
      </c>
      <c r="B1029" s="138">
        <f>'Expenditures 15-22'!H60</f>
        <v>3310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8834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13548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970</v>
      </c>
      <c r="D1041" s="2" t="str">
        <f t="shared" si="15"/>
        <v>Error?</v>
      </c>
    </row>
    <row r="1042" spans="1:4" x14ac:dyDescent="0.2">
      <c r="A1042" s="10">
        <v>981</v>
      </c>
      <c r="D1042" s="2" t="str">
        <f t="shared" si="15"/>
        <v>OK</v>
      </c>
    </row>
    <row r="1043" spans="1:4" x14ac:dyDescent="0.2">
      <c r="A1043" s="5">
        <v>982</v>
      </c>
      <c r="B1043" s="138">
        <f>'Expenditures 15-22'!H72</f>
        <v>970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174683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1687781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2698855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20798238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611892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12392</v>
      </c>
      <c r="C1105" s="2" t="s">
        <v>573</v>
      </c>
      <c r="D1105" s="2" t="str">
        <f t="shared" si="16"/>
        <v>Error?</v>
      </c>
    </row>
    <row r="1106" spans="1:4" x14ac:dyDescent="0.2">
      <c r="A1106" s="5">
        <v>1045</v>
      </c>
      <c r="B1106" s="138">
        <f>'Expenditures 15-22'!K14</f>
        <v>1038171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26840445</v>
      </c>
      <c r="C1108" s="2" t="s">
        <v>573</v>
      </c>
      <c r="D1108" s="2" t="str">
        <f t="shared" si="16"/>
        <v>Error?</v>
      </c>
    </row>
    <row r="1109" spans="1:4" x14ac:dyDescent="0.2">
      <c r="A1109" s="5">
        <v>1048</v>
      </c>
      <c r="B1109" s="138">
        <f>'Expenditures 15-22'!K36</f>
        <v>595578</v>
      </c>
      <c r="C1109" s="2" t="s">
        <v>573</v>
      </c>
      <c r="D1109" s="2" t="str">
        <f t="shared" si="16"/>
        <v>Error?</v>
      </c>
    </row>
    <row r="1110" spans="1:4" x14ac:dyDescent="0.2">
      <c r="A1110" s="5">
        <v>1049</v>
      </c>
      <c r="B1110" s="138">
        <f>'Expenditures 15-22'!K37</f>
        <v>308904</v>
      </c>
      <c r="C1110" s="2" t="s">
        <v>573</v>
      </c>
      <c r="D1110" s="2" t="str">
        <f t="shared" si="16"/>
        <v>Error?</v>
      </c>
    </row>
    <row r="1111" spans="1:4" x14ac:dyDescent="0.2">
      <c r="A1111" s="5">
        <v>1050</v>
      </c>
      <c r="B1111" s="138">
        <f>'Expenditures 15-22'!K38</f>
        <v>332607</v>
      </c>
      <c r="C1111" s="2" t="s">
        <v>573</v>
      </c>
      <c r="D1111" s="2" t="str">
        <f t="shared" si="16"/>
        <v>Error?</v>
      </c>
    </row>
    <row r="1112" spans="1:4" x14ac:dyDescent="0.2">
      <c r="A1112" s="5">
        <v>1051</v>
      </c>
      <c r="B1112" s="138">
        <f>'Expenditures 15-22'!K39</f>
        <v>516012</v>
      </c>
      <c r="C1112" s="2" t="s">
        <v>573</v>
      </c>
      <c r="D1112" s="2" t="str">
        <f t="shared" si="16"/>
        <v>Error?</v>
      </c>
    </row>
    <row r="1113" spans="1:4" x14ac:dyDescent="0.2">
      <c r="A1113" s="5">
        <v>1052</v>
      </c>
      <c r="B1113" s="138">
        <f>'Expenditures 15-22'!K40</f>
        <v>804166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2557267</v>
      </c>
      <c r="C1115" s="2" t="s">
        <v>573</v>
      </c>
      <c r="D1115" s="2" t="str">
        <f t="shared" si="16"/>
        <v>Error?</v>
      </c>
    </row>
    <row r="1116" spans="1:4" x14ac:dyDescent="0.2">
      <c r="A1116" s="5">
        <v>1055</v>
      </c>
      <c r="B1116" s="138">
        <f>'Expenditures 15-22'!K44</f>
        <v>1350259</v>
      </c>
      <c r="C1116" s="2" t="s">
        <v>573</v>
      </c>
      <c r="D1116" s="2" t="str">
        <f t="shared" si="16"/>
        <v>Error?</v>
      </c>
    </row>
    <row r="1117" spans="1:4" x14ac:dyDescent="0.2">
      <c r="A1117" s="5">
        <v>1056</v>
      </c>
      <c r="B1117" s="138">
        <f>'Expenditures 15-22'!K45</f>
        <v>402541</v>
      </c>
      <c r="C1117" s="2" t="s">
        <v>573</v>
      </c>
      <c r="D1117" s="2" t="str">
        <f t="shared" si="16"/>
        <v>Error?</v>
      </c>
    </row>
    <row r="1118" spans="1:4" x14ac:dyDescent="0.2">
      <c r="A1118" s="5">
        <v>1057</v>
      </c>
      <c r="B1118" s="138">
        <f>'Expenditures 15-22'!K46</f>
        <v>18589</v>
      </c>
      <c r="C1118" s="2" t="s">
        <v>573</v>
      </c>
      <c r="D1118" s="2" t="str">
        <f t="shared" si="16"/>
        <v>Error?</v>
      </c>
    </row>
    <row r="1119" spans="1:4" x14ac:dyDescent="0.2">
      <c r="A1119" s="5">
        <v>1058</v>
      </c>
      <c r="B1119" s="138">
        <f>'Expenditures 15-22'!K47</f>
        <v>1771389</v>
      </c>
      <c r="C1119" s="2" t="s">
        <v>573</v>
      </c>
      <c r="D1119" s="2" t="str">
        <f t="shared" si="16"/>
        <v>Error?</v>
      </c>
    </row>
    <row r="1120" spans="1:4" x14ac:dyDescent="0.2">
      <c r="A1120" s="5">
        <v>1059</v>
      </c>
      <c r="B1120" s="138">
        <f>'Expenditures 15-22'!K49</f>
        <v>146046</v>
      </c>
      <c r="C1120" s="2" t="s">
        <v>573</v>
      </c>
      <c r="D1120" s="2" t="str">
        <f t="shared" si="16"/>
        <v>Error?</v>
      </c>
    </row>
    <row r="1121" spans="1:4" x14ac:dyDescent="0.2">
      <c r="A1121" s="5">
        <v>1060</v>
      </c>
      <c r="B1121" s="138">
        <f>'Expenditures 15-22'!K50</f>
        <v>603272</v>
      </c>
      <c r="C1121" s="2" t="s">
        <v>573</v>
      </c>
      <c r="D1121" s="2" t="str">
        <f t="shared" si="16"/>
        <v>Error?</v>
      </c>
    </row>
    <row r="1122" spans="1:4" x14ac:dyDescent="0.2">
      <c r="A1122" s="5">
        <v>1061</v>
      </c>
      <c r="B1122" s="138">
        <f>'Expenditures 15-22'!K53</f>
        <v>1023180</v>
      </c>
      <c r="C1122" s="2" t="s">
        <v>573</v>
      </c>
      <c r="D1122" s="2" t="str">
        <f t="shared" si="16"/>
        <v>Error?</v>
      </c>
    </row>
    <row r="1123" spans="1:4" x14ac:dyDescent="0.2">
      <c r="A1123" s="5">
        <v>1062</v>
      </c>
      <c r="B1123" s="138">
        <f>'Expenditures 15-22'!K55</f>
        <v>3030300</v>
      </c>
      <c r="C1123" s="2" t="s">
        <v>573</v>
      </c>
      <c r="D1123" s="2" t="str">
        <f t="shared" si="16"/>
        <v>Error?</v>
      </c>
    </row>
    <row r="1124" spans="1:4" x14ac:dyDescent="0.2">
      <c r="A1124" s="5">
        <v>1063</v>
      </c>
      <c r="B1124" s="138">
        <f>'Expenditures 15-22'!K56</f>
        <v>211277</v>
      </c>
      <c r="C1124" s="2" t="s">
        <v>573</v>
      </c>
      <c r="D1124" s="2" t="str">
        <f t="shared" si="16"/>
        <v>Error?</v>
      </c>
    </row>
    <row r="1125" spans="1:4" x14ac:dyDescent="0.2">
      <c r="A1125" s="5">
        <v>1064</v>
      </c>
      <c r="B1125" s="138">
        <f>'Expenditures 15-22'!K57</f>
        <v>3241577</v>
      </c>
      <c r="C1125" s="2" t="s">
        <v>573</v>
      </c>
      <c r="D1125" s="2" t="str">
        <f t="shared" si="16"/>
        <v>Error?</v>
      </c>
    </row>
    <row r="1126" spans="1:4" x14ac:dyDescent="0.2">
      <c r="A1126" s="5">
        <v>1065</v>
      </c>
      <c r="B1126" s="138">
        <f>'Expenditures 15-22'!K59</f>
        <v>74140</v>
      </c>
      <c r="C1126" s="2" t="s">
        <v>573</v>
      </c>
      <c r="D1126" s="2" t="str">
        <f t="shared" si="16"/>
        <v>Error?</v>
      </c>
    </row>
    <row r="1127" spans="1:4" x14ac:dyDescent="0.2">
      <c r="A1127" s="5">
        <v>1066</v>
      </c>
      <c r="B1127" s="138">
        <f>'Expenditures 15-22'!K60</f>
        <v>549665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6563</v>
      </c>
      <c r="C1129" s="2" t="s">
        <v>573</v>
      </c>
      <c r="D1129" s="2" t="str">
        <f t="shared" si="16"/>
        <v>Error?</v>
      </c>
    </row>
    <row r="1130" spans="1:4" x14ac:dyDescent="0.2">
      <c r="A1130" s="5">
        <v>1069</v>
      </c>
      <c r="B1130" s="138">
        <f>'Expenditures 15-22'!K63</f>
        <v>1206556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1836924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1448485</v>
      </c>
      <c r="C1139" s="2" t="s">
        <v>573</v>
      </c>
      <c r="D1139" s="2" t="str">
        <f t="shared" si="16"/>
        <v>Error?</v>
      </c>
    </row>
    <row r="1140" spans="1:4" x14ac:dyDescent="0.2">
      <c r="A1140" s="10">
        <v>1079</v>
      </c>
      <c r="D1140" s="2" t="str">
        <f t="shared" si="16"/>
        <v>OK</v>
      </c>
    </row>
    <row r="1141" spans="1:4" x14ac:dyDescent="0.2">
      <c r="A1141" s="5">
        <v>1080</v>
      </c>
      <c r="B1141" s="138">
        <f>'Expenditures 15-22'!K72</f>
        <v>1448485</v>
      </c>
      <c r="C1141" s="2" t="s">
        <v>573</v>
      </c>
      <c r="D1141" s="2" t="str">
        <f t="shared" si="16"/>
        <v>Error?</v>
      </c>
    </row>
    <row r="1142" spans="1:4" x14ac:dyDescent="0.2">
      <c r="A1142" s="5">
        <v>1081</v>
      </c>
      <c r="B1142" s="138">
        <f>'Expenditures 15-22'!K73</f>
        <v>21805</v>
      </c>
      <c r="C1142" s="2" t="s">
        <v>573</v>
      </c>
      <c r="D1142" s="2" t="str">
        <f t="shared" si="16"/>
        <v>Error?</v>
      </c>
    </row>
    <row r="1143" spans="1:4" x14ac:dyDescent="0.2">
      <c r="A1143" s="5">
        <v>1082</v>
      </c>
      <c r="B1143" s="138">
        <f>'Expenditures 15-22'!K74</f>
        <v>11900627</v>
      </c>
      <c r="C1143" s="2" t="s">
        <v>573</v>
      </c>
      <c r="D1143" s="2" t="str">
        <f t="shared" si="16"/>
        <v>Error?</v>
      </c>
    </row>
    <row r="1144" spans="1:4" x14ac:dyDescent="0.2">
      <c r="A1144" s="5">
        <v>1083</v>
      </c>
      <c r="B1144" s="138">
        <f>'Expenditures 15-22'!K75</f>
        <v>5712</v>
      </c>
      <c r="C1144" s="2" t="s">
        <v>573</v>
      </c>
      <c r="D1144" s="2" t="str">
        <f t="shared" si="16"/>
        <v>Error?</v>
      </c>
    </row>
    <row r="1145" spans="1:4" x14ac:dyDescent="0.2">
      <c r="A1145" s="5">
        <v>1084</v>
      </c>
      <c r="B1145" s="138">
        <f>'Expenditures 15-22'!K102</f>
        <v>2535293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41282077</v>
      </c>
      <c r="C1152" s="2" t="s">
        <v>573</v>
      </c>
      <c r="D1152" s="2" t="str">
        <f t="shared" si="17"/>
        <v>Error?</v>
      </c>
    </row>
    <row r="1153" spans="1:4" x14ac:dyDescent="0.2">
      <c r="A1153" s="5">
        <v>1092</v>
      </c>
      <c r="B1153" s="138">
        <f>'Expenditures 15-22'!K115</f>
        <v>-988676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1625849</v>
      </c>
      <c r="D1221" s="2" t="str">
        <f t="shared" si="18"/>
        <v>Error?</v>
      </c>
    </row>
    <row r="1222" spans="1:4" x14ac:dyDescent="0.2">
      <c r="A1222" s="10">
        <v>1161</v>
      </c>
      <c r="D1222" s="2" t="str">
        <f t="shared" si="18"/>
        <v>OK</v>
      </c>
    </row>
    <row r="1223" spans="1:4" x14ac:dyDescent="0.2">
      <c r="A1223" s="5">
        <v>1162</v>
      </c>
      <c r="B1223" s="138">
        <f>'Expenditures 15-22'!C127</f>
        <v>1625849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1625849</v>
      </c>
      <c r="C1225" s="2" t="s">
        <v>573</v>
      </c>
      <c r="D1225" s="2" t="str">
        <f t="shared" si="18"/>
        <v>Error?</v>
      </c>
    </row>
    <row r="1226" spans="1:4" x14ac:dyDescent="0.2">
      <c r="A1226" s="5">
        <v>1165</v>
      </c>
      <c r="B1226" s="138">
        <f>'Expenditures 15-22'!C151</f>
        <v>1625849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390747</v>
      </c>
      <c r="D1229" s="2" t="str">
        <f t="shared" si="18"/>
        <v>Error?</v>
      </c>
    </row>
    <row r="1230" spans="1:4" x14ac:dyDescent="0.2">
      <c r="A1230" s="10">
        <v>1169</v>
      </c>
      <c r="D1230" s="2" t="str">
        <f t="shared" si="18"/>
        <v>OK</v>
      </c>
    </row>
    <row r="1231" spans="1:4" x14ac:dyDescent="0.2">
      <c r="A1231" s="5">
        <v>1170</v>
      </c>
      <c r="B1231" s="138">
        <f>'Expenditures 15-22'!D127</f>
        <v>390747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390747</v>
      </c>
      <c r="C1233" s="2" t="s">
        <v>573</v>
      </c>
      <c r="D1233" s="2" t="str">
        <f t="shared" si="18"/>
        <v>Error?</v>
      </c>
    </row>
    <row r="1234" spans="1:4" x14ac:dyDescent="0.2">
      <c r="A1234" s="5">
        <v>1173</v>
      </c>
      <c r="B1234" s="138">
        <f>'Expenditures 15-22'!D151</f>
        <v>390747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980799</v>
      </c>
      <c r="D1237" s="2" t="str">
        <f t="shared" si="18"/>
        <v>Error?</v>
      </c>
    </row>
    <row r="1238" spans="1:4" x14ac:dyDescent="0.2">
      <c r="A1238" s="10">
        <v>1177</v>
      </c>
      <c r="D1238" s="2" t="str">
        <f t="shared" si="18"/>
        <v>OK</v>
      </c>
    </row>
    <row r="1239" spans="1:4" x14ac:dyDescent="0.2">
      <c r="A1239" s="5">
        <v>1178</v>
      </c>
      <c r="B1239" s="138">
        <f>'Expenditures 15-22'!E127</f>
        <v>980799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980799</v>
      </c>
      <c r="C1241" s="2" t="s">
        <v>573</v>
      </c>
      <c r="D1241" s="2" t="str">
        <f t="shared" si="18"/>
        <v>Error?</v>
      </c>
    </row>
    <row r="1242" spans="1:4" x14ac:dyDescent="0.2">
      <c r="A1242" s="5">
        <v>1181</v>
      </c>
      <c r="B1242" s="138">
        <f>'Expenditures 15-22'!E151</f>
        <v>980799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1215148</v>
      </c>
      <c r="D1245" s="2" t="str">
        <f t="shared" si="18"/>
        <v>Error?</v>
      </c>
    </row>
    <row r="1246" spans="1:4" x14ac:dyDescent="0.2">
      <c r="A1246" s="10">
        <v>1185</v>
      </c>
      <c r="D1246" s="2" t="str">
        <f t="shared" si="18"/>
        <v>OK</v>
      </c>
    </row>
    <row r="1247" spans="1:4" x14ac:dyDescent="0.2">
      <c r="A1247" s="5">
        <v>1186</v>
      </c>
      <c r="B1247" s="138">
        <f>'Expenditures 15-22'!F127</f>
        <v>1215148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1215148</v>
      </c>
      <c r="C1249" s="2" t="s">
        <v>573</v>
      </c>
      <c r="D1249" s="2" t="str">
        <f t="shared" si="18"/>
        <v>Error?</v>
      </c>
    </row>
    <row r="1250" spans="1:4" x14ac:dyDescent="0.2">
      <c r="A1250" s="5">
        <v>1189</v>
      </c>
      <c r="B1250" s="138">
        <f>'Expenditures 15-22'!F151</f>
        <v>1215148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604048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604048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604048</v>
      </c>
      <c r="C1258" s="2" t="s">
        <v>573</v>
      </c>
      <c r="D1258" s="2" t="str">
        <f t="shared" si="18"/>
        <v>Error?</v>
      </c>
    </row>
    <row r="1259" spans="1:4" x14ac:dyDescent="0.2">
      <c r="A1259" s="5">
        <v>1198</v>
      </c>
      <c r="B1259" s="138">
        <f>'Expenditures 15-22'!G151</f>
        <v>604048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2822</v>
      </c>
      <c r="D1262" s="2" t="str">
        <f t="shared" si="18"/>
        <v>Error?</v>
      </c>
    </row>
    <row r="1263" spans="1:4" x14ac:dyDescent="0.2">
      <c r="A1263" s="10">
        <v>1202</v>
      </c>
      <c r="D1263" s="2" t="str">
        <f t="shared" si="18"/>
        <v>OK</v>
      </c>
    </row>
    <row r="1264" spans="1:4" x14ac:dyDescent="0.2">
      <c r="A1264" s="5">
        <v>1203</v>
      </c>
      <c r="B1264" s="138">
        <f>'Expenditures 15-22'!H127</f>
        <v>2822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2822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2822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5006248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5006248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5006248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5006248</v>
      </c>
      <c r="C1288" s="2" t="s">
        <v>573</v>
      </c>
      <c r="D1288" s="2" t="str">
        <f t="shared" si="19"/>
        <v>Error?</v>
      </c>
    </row>
    <row r="1289" spans="1:4" x14ac:dyDescent="0.2">
      <c r="A1289" s="5">
        <v>1228</v>
      </c>
      <c r="B1289" s="138">
        <f>'Expenditures 15-22'!K152</f>
        <v>732233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4966</v>
      </c>
      <c r="D1307" s="2" t="str">
        <f t="shared" si="19"/>
        <v>Error?</v>
      </c>
    </row>
    <row r="1308" spans="1:4" x14ac:dyDescent="0.2">
      <c r="A1308" s="5">
        <v>1247</v>
      </c>
      <c r="B1308" s="138">
        <f>'Expenditures 15-22'!E172</f>
        <v>4966</v>
      </c>
      <c r="C1308" s="2" t="s">
        <v>573</v>
      </c>
      <c r="D1308" s="2" t="str">
        <f t="shared" si="19"/>
        <v>Error?</v>
      </c>
    </row>
    <row r="1309" spans="1:4" x14ac:dyDescent="0.2">
      <c r="A1309" s="5">
        <v>1248</v>
      </c>
      <c r="B1309" s="138">
        <f>'Expenditures 15-22'!E174</f>
        <v>4966</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4332740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2982710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7315450</v>
      </c>
      <c r="C1317" s="2" t="s">
        <v>573</v>
      </c>
      <c r="D1317" s="2" t="str">
        <f t="shared" si="19"/>
        <v>Error?</v>
      </c>
    </row>
    <row r="1318" spans="1:4" x14ac:dyDescent="0.2">
      <c r="A1318" s="5">
        <v>1257</v>
      </c>
      <c r="B1318" s="138">
        <f>'Expenditures 15-22'!H174</f>
        <v>7315450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4332740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2982710</v>
      </c>
      <c r="C1329" s="2" t="s">
        <v>573</v>
      </c>
      <c r="D1329" s="2" t="str">
        <f t="shared" si="19"/>
        <v>Error?</v>
      </c>
    </row>
    <row r="1330" spans="1:4" x14ac:dyDescent="0.2">
      <c r="A1330" s="5">
        <v>1269</v>
      </c>
      <c r="B1330" s="138">
        <f>'Expenditures 15-22'!K171</f>
        <v>4966</v>
      </c>
      <c r="C1330" s="2" t="s">
        <v>573</v>
      </c>
      <c r="D1330" s="2" t="str">
        <f t="shared" si="19"/>
        <v>Error?</v>
      </c>
    </row>
    <row r="1331" spans="1:4" x14ac:dyDescent="0.2">
      <c r="A1331" s="5">
        <v>1270</v>
      </c>
      <c r="B1331" s="138">
        <f>'Expenditures 15-22'!K172</f>
        <v>7320416</v>
      </c>
      <c r="C1331" s="2" t="s">
        <v>573</v>
      </c>
      <c r="D1331" s="2" t="str">
        <f t="shared" si="19"/>
        <v>Error?</v>
      </c>
    </row>
    <row r="1332" spans="1:4" x14ac:dyDescent="0.2">
      <c r="A1332" s="5">
        <v>1271</v>
      </c>
      <c r="B1332" s="138">
        <f>'Expenditures 15-22'!K174</f>
        <v>7320416</v>
      </c>
      <c r="C1332" s="2" t="s">
        <v>573</v>
      </c>
      <c r="D1332" s="2" t="str">
        <f t="shared" si="19"/>
        <v>Error?</v>
      </c>
    </row>
    <row r="1333" spans="1:4" x14ac:dyDescent="0.2">
      <c r="A1333" s="5">
        <v>1272</v>
      </c>
      <c r="B1333" s="138">
        <f>'Expenditures 15-22'!K175</f>
        <v>-301885</v>
      </c>
      <c r="C1333" s="2" t="s">
        <v>573</v>
      </c>
      <c r="D1333" s="2" t="str">
        <f t="shared" si="19"/>
        <v>Error?</v>
      </c>
    </row>
    <row r="1334" spans="1:4" x14ac:dyDescent="0.2">
      <c r="A1334" s="10">
        <v>1273</v>
      </c>
      <c r="D1334" s="2" t="str">
        <f t="shared" si="19"/>
        <v>OK</v>
      </c>
    </row>
    <row r="1335" spans="1:4" x14ac:dyDescent="0.2">
      <c r="A1335" s="5">
        <v>1274</v>
      </c>
      <c r="B1335" s="138">
        <f>'Expenditures 15-22'!C182</f>
        <v>2061051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2061051</v>
      </c>
      <c r="C1339" s="2" t="s">
        <v>573</v>
      </c>
      <c r="D1339" s="2" t="str">
        <f t="shared" si="19"/>
        <v>Error?</v>
      </c>
    </row>
    <row r="1340" spans="1:4" x14ac:dyDescent="0.2">
      <c r="A1340" s="5">
        <v>1279</v>
      </c>
      <c r="B1340" s="138">
        <f>'Expenditures 15-22'!C210</f>
        <v>2061051</v>
      </c>
      <c r="C1340" s="2" t="s">
        <v>573</v>
      </c>
      <c r="D1340" s="2" t="str">
        <f t="shared" si="19"/>
        <v>Error?</v>
      </c>
    </row>
    <row r="1341" spans="1:4" x14ac:dyDescent="0.2">
      <c r="A1341" s="5">
        <v>1280</v>
      </c>
      <c r="B1341" s="138">
        <f>'Expenditures 15-22'!D182</f>
        <v>83264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83264</v>
      </c>
      <c r="C1345" s="2" t="s">
        <v>573</v>
      </c>
      <c r="D1345" s="2" t="str">
        <f t="shared" si="20"/>
        <v>Error?</v>
      </c>
    </row>
    <row r="1346" spans="1:4" x14ac:dyDescent="0.2">
      <c r="A1346" s="5">
        <v>1285</v>
      </c>
      <c r="B1346" s="138">
        <f>'Expenditures 15-22'!D210</f>
        <v>83264</v>
      </c>
      <c r="C1346" s="2" t="s">
        <v>573</v>
      </c>
      <c r="D1346" s="2" t="str">
        <f t="shared" si="20"/>
        <v>Error?</v>
      </c>
    </row>
    <row r="1347" spans="1:4" x14ac:dyDescent="0.2">
      <c r="A1347" s="5">
        <v>1286</v>
      </c>
      <c r="B1347" s="138">
        <f>'Expenditures 15-22'!E182</f>
        <v>907958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907958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907958</v>
      </c>
      <c r="C1353" s="2" t="s">
        <v>573</v>
      </c>
      <c r="D1353" s="2" t="str">
        <f t="shared" si="20"/>
        <v>Error?</v>
      </c>
    </row>
    <row r="1354" spans="1:4" x14ac:dyDescent="0.2">
      <c r="A1354" s="5">
        <v>1293</v>
      </c>
      <c r="B1354" s="138">
        <f>'Expenditures 15-22'!F182</f>
        <v>314809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314809</v>
      </c>
      <c r="C1358" s="2" t="s">
        <v>573</v>
      </c>
      <c r="D1358" s="2" t="str">
        <f t="shared" si="20"/>
        <v>Error?</v>
      </c>
    </row>
    <row r="1359" spans="1:4" x14ac:dyDescent="0.2">
      <c r="A1359" s="5">
        <v>1298</v>
      </c>
      <c r="B1359" s="138">
        <f>'Expenditures 15-22'!F210</f>
        <v>314809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5285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5285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5285</v>
      </c>
      <c r="C1376" s="2" t="s">
        <v>573</v>
      </c>
      <c r="D1376" s="2" t="str">
        <f t="shared" si="20"/>
        <v>Error?</v>
      </c>
    </row>
    <row r="1377" spans="1:4" x14ac:dyDescent="0.2">
      <c r="A1377" s="5">
        <v>1316</v>
      </c>
      <c r="B1377" s="138">
        <f>'Expenditures 15-22'!K182</f>
        <v>3375386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3375386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3375386</v>
      </c>
      <c r="C1388" s="2" t="s">
        <v>573</v>
      </c>
      <c r="D1388" s="2" t="str">
        <f t="shared" si="20"/>
        <v>Error?</v>
      </c>
    </row>
    <row r="1389" spans="1:4" x14ac:dyDescent="0.2">
      <c r="A1389" s="5">
        <v>1328</v>
      </c>
      <c r="B1389" s="138">
        <f>'Expenditures 15-22'!K211</f>
        <v>566530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8005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19044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386963</v>
      </c>
      <c r="C1410" s="2" t="s">
        <v>573</v>
      </c>
      <c r="D1410" s="2" t="str">
        <f t="shared" si="21"/>
        <v>Error?</v>
      </c>
    </row>
    <row r="1411" spans="1:4" x14ac:dyDescent="0.2">
      <c r="A1411" s="5">
        <v>1350</v>
      </c>
      <c r="B1411" s="138">
        <f>'Expenditures 15-22'!D232</f>
        <v>5963</v>
      </c>
      <c r="D1411" s="2" t="str">
        <f t="shared" si="21"/>
        <v>Error?</v>
      </c>
    </row>
    <row r="1412" spans="1:4" x14ac:dyDescent="0.2">
      <c r="A1412" s="5">
        <v>1351</v>
      </c>
      <c r="B1412" s="138">
        <f>'Expenditures 15-22'!D233</f>
        <v>11161</v>
      </c>
      <c r="D1412" s="2" t="str">
        <f t="shared" si="21"/>
        <v>Error?</v>
      </c>
    </row>
    <row r="1413" spans="1:4" x14ac:dyDescent="0.2">
      <c r="A1413" s="5">
        <v>1352</v>
      </c>
      <c r="B1413" s="138">
        <f>'Expenditures 15-22'!D234</f>
        <v>32753</v>
      </c>
      <c r="D1413" s="2" t="str">
        <f t="shared" si="21"/>
        <v>Error?</v>
      </c>
    </row>
    <row r="1414" spans="1:4" x14ac:dyDescent="0.2">
      <c r="A1414" s="5">
        <v>1353</v>
      </c>
      <c r="B1414" s="138">
        <f>'Expenditures 15-22'!D235</f>
        <v>4951</v>
      </c>
      <c r="D1414" s="2" t="str">
        <f t="shared" si="21"/>
        <v>Error?</v>
      </c>
    </row>
    <row r="1415" spans="1:4" x14ac:dyDescent="0.2">
      <c r="A1415" s="5">
        <v>1354</v>
      </c>
      <c r="B1415" s="138">
        <f>'Expenditures 15-22'!D236</f>
        <v>8016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62844</v>
      </c>
      <c r="C1417" s="2" t="s">
        <v>573</v>
      </c>
      <c r="D1417" s="2" t="str">
        <f t="shared" si="21"/>
        <v>Error?</v>
      </c>
    </row>
    <row r="1418" spans="1:4" x14ac:dyDescent="0.2">
      <c r="A1418" s="5">
        <v>1357</v>
      </c>
      <c r="B1418" s="138">
        <f>'Expenditures 15-22'!D240</f>
        <v>32691</v>
      </c>
      <c r="D1418" s="2" t="str">
        <f t="shared" si="21"/>
        <v>Error?</v>
      </c>
    </row>
    <row r="1419" spans="1:4" x14ac:dyDescent="0.2">
      <c r="A1419" s="5">
        <v>1358</v>
      </c>
      <c r="B1419" s="138">
        <f>'Expenditures 15-22'!D241</f>
        <v>23619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56310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32426</v>
      </c>
      <c r="D1423" s="2" t="str">
        <f t="shared" si="21"/>
        <v>Error?</v>
      </c>
    </row>
    <row r="1424" spans="1:4" x14ac:dyDescent="0.2">
      <c r="A1424" s="5">
        <v>1363</v>
      </c>
      <c r="B1424" s="138">
        <f>'Expenditures 15-22'!D257</f>
        <v>55391</v>
      </c>
      <c r="C1424" s="2" t="s">
        <v>573</v>
      </c>
      <c r="D1424" s="2" t="str">
        <f t="shared" si="21"/>
        <v>Error?</v>
      </c>
    </row>
    <row r="1425" spans="1:4" x14ac:dyDescent="0.2">
      <c r="A1425" s="5">
        <v>1364</v>
      </c>
      <c r="B1425" s="138">
        <f>'Expenditures 15-22'!D259</f>
        <v>107415</v>
      </c>
      <c r="D1425" s="2" t="str">
        <f t="shared" si="21"/>
        <v>Error?</v>
      </c>
    </row>
    <row r="1426" spans="1:4" x14ac:dyDescent="0.2">
      <c r="A1426" s="5">
        <v>1365</v>
      </c>
      <c r="B1426" s="138">
        <f>'Expenditures 15-22'!D260</f>
        <v>12784</v>
      </c>
      <c r="D1426" s="2" t="str">
        <f t="shared" si="21"/>
        <v>Error?</v>
      </c>
    </row>
    <row r="1427" spans="1:4" x14ac:dyDescent="0.2">
      <c r="A1427" s="5">
        <v>1366</v>
      </c>
      <c r="B1427" s="138">
        <f>'Expenditures 15-22'!D261</f>
        <v>120199</v>
      </c>
      <c r="C1427" s="2" t="s">
        <v>573</v>
      </c>
      <c r="D1427" s="2" t="str">
        <f t="shared" si="21"/>
        <v>Error?</v>
      </c>
    </row>
    <row r="1428" spans="1:4" x14ac:dyDescent="0.2">
      <c r="A1428" s="5">
        <v>1367</v>
      </c>
      <c r="B1428" s="138">
        <f>'Expenditures 15-22'!D263</f>
        <v>12793</v>
      </c>
      <c r="D1428" s="2" t="str">
        <f t="shared" si="21"/>
        <v>Error?</v>
      </c>
    </row>
    <row r="1429" spans="1:4" x14ac:dyDescent="0.2">
      <c r="A1429" s="5">
        <v>1368</v>
      </c>
      <c r="B1429" s="138">
        <f>'Expenditures 15-22'!D264</f>
        <v>58094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288248</v>
      </c>
      <c r="D1431" s="2" t="str">
        <f t="shared" si="21"/>
        <v>Error?</v>
      </c>
    </row>
    <row r="1432" spans="1:4" x14ac:dyDescent="0.2">
      <c r="A1432" s="5">
        <v>1371</v>
      </c>
      <c r="B1432" s="138">
        <f>'Expenditures 15-22'!D267</f>
        <v>359500</v>
      </c>
      <c r="D1432" s="2" t="str">
        <f t="shared" si="21"/>
        <v>Error?</v>
      </c>
    </row>
    <row r="1433" spans="1:4" x14ac:dyDescent="0.2">
      <c r="A1433" s="5">
        <v>1372</v>
      </c>
      <c r="B1433" s="138">
        <f>'Expenditures 15-22'!D268</f>
        <v>91663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810298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95769</v>
      </c>
      <c r="D1442" s="2" t="str">
        <f t="shared" si="21"/>
        <v>Error?</v>
      </c>
    </row>
    <row r="1443" spans="1:4" x14ac:dyDescent="0.2">
      <c r="A1443" s="10">
        <v>1382</v>
      </c>
      <c r="D1443" s="2" t="str">
        <f t="shared" si="21"/>
        <v>OK</v>
      </c>
    </row>
    <row r="1444" spans="1:4" x14ac:dyDescent="0.2">
      <c r="A1444" s="5">
        <v>1383</v>
      </c>
      <c r="B1444" s="138">
        <f>'Expenditures 15-22'!D277</f>
        <v>95769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1200811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1587774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8005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19044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386963</v>
      </c>
      <c r="C1474" s="2" t="s">
        <v>573</v>
      </c>
      <c r="D1474" s="2" t="str">
        <f t="shared" si="22"/>
        <v>Error?</v>
      </c>
    </row>
    <row r="1475" spans="1:4" x14ac:dyDescent="0.2">
      <c r="A1475" s="5">
        <v>1414</v>
      </c>
      <c r="B1475" s="138">
        <f>'Expenditures 15-22'!K232</f>
        <v>5963</v>
      </c>
      <c r="C1475" s="2" t="s">
        <v>573</v>
      </c>
      <c r="D1475" s="2" t="str">
        <f t="shared" si="22"/>
        <v>Error?</v>
      </c>
    </row>
    <row r="1476" spans="1:4" x14ac:dyDescent="0.2">
      <c r="A1476" s="5">
        <v>1415</v>
      </c>
      <c r="B1476" s="138">
        <f>'Expenditures 15-22'!K233</f>
        <v>11161</v>
      </c>
      <c r="C1476" s="2" t="s">
        <v>573</v>
      </c>
      <c r="D1476" s="2" t="str">
        <f t="shared" si="22"/>
        <v>Error?</v>
      </c>
    </row>
    <row r="1477" spans="1:4" x14ac:dyDescent="0.2">
      <c r="A1477" s="5">
        <v>1416</v>
      </c>
      <c r="B1477" s="138">
        <f>'Expenditures 15-22'!K234</f>
        <v>32753</v>
      </c>
      <c r="C1477" s="2" t="s">
        <v>573</v>
      </c>
      <c r="D1477" s="2" t="str">
        <f t="shared" si="22"/>
        <v>Error?</v>
      </c>
    </row>
    <row r="1478" spans="1:4" x14ac:dyDescent="0.2">
      <c r="A1478" s="5">
        <v>1417</v>
      </c>
      <c r="B1478" s="138">
        <f>'Expenditures 15-22'!K235</f>
        <v>4951</v>
      </c>
      <c r="C1478" s="2" t="s">
        <v>573</v>
      </c>
      <c r="D1478" s="2" t="str">
        <f t="shared" si="22"/>
        <v>Error?</v>
      </c>
    </row>
    <row r="1479" spans="1:4" x14ac:dyDescent="0.2">
      <c r="A1479" s="5">
        <v>1418</v>
      </c>
      <c r="B1479" s="138">
        <f>'Expenditures 15-22'!K236</f>
        <v>8016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62844</v>
      </c>
      <c r="C1481" s="2" t="s">
        <v>573</v>
      </c>
      <c r="D1481" s="2" t="str">
        <f t="shared" si="22"/>
        <v>Error?</v>
      </c>
    </row>
    <row r="1482" spans="1:4" x14ac:dyDescent="0.2">
      <c r="A1482" s="5">
        <v>1421</v>
      </c>
      <c r="B1482" s="138">
        <f>'Expenditures 15-22'!K240</f>
        <v>32691</v>
      </c>
      <c r="C1482" s="2" t="s">
        <v>573</v>
      </c>
      <c r="D1482" s="2" t="str">
        <f t="shared" si="22"/>
        <v>Error?</v>
      </c>
    </row>
    <row r="1483" spans="1:4" x14ac:dyDescent="0.2">
      <c r="A1483" s="5">
        <v>1422</v>
      </c>
      <c r="B1483" s="138">
        <f>'Expenditures 15-22'!K241</f>
        <v>23619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56310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32426</v>
      </c>
      <c r="C1487" s="2" t="s">
        <v>573</v>
      </c>
      <c r="D1487" s="2" t="str">
        <f t="shared" si="22"/>
        <v>Error?</v>
      </c>
    </row>
    <row r="1488" spans="1:4" x14ac:dyDescent="0.2">
      <c r="A1488" s="5">
        <v>1427</v>
      </c>
      <c r="B1488" s="138">
        <f>'Expenditures 15-22'!K257</f>
        <v>55391</v>
      </c>
      <c r="C1488" s="2" t="s">
        <v>573</v>
      </c>
      <c r="D1488" s="2" t="str">
        <f t="shared" si="22"/>
        <v>Error?</v>
      </c>
    </row>
    <row r="1489" spans="1:4" x14ac:dyDescent="0.2">
      <c r="A1489" s="5">
        <v>1428</v>
      </c>
      <c r="B1489" s="138">
        <f>'Expenditures 15-22'!K259</f>
        <v>107415</v>
      </c>
      <c r="C1489" s="2" t="s">
        <v>573</v>
      </c>
      <c r="D1489" s="2" t="str">
        <f t="shared" si="22"/>
        <v>Error?</v>
      </c>
    </row>
    <row r="1490" spans="1:4" x14ac:dyDescent="0.2">
      <c r="A1490" s="5">
        <v>1429</v>
      </c>
      <c r="B1490" s="138">
        <f>'Expenditures 15-22'!K260</f>
        <v>12784</v>
      </c>
      <c r="C1490" s="2" t="s">
        <v>573</v>
      </c>
      <c r="D1490" s="2" t="str">
        <f t="shared" si="22"/>
        <v>Error?</v>
      </c>
    </row>
    <row r="1491" spans="1:4" x14ac:dyDescent="0.2">
      <c r="A1491" s="5">
        <v>1430</v>
      </c>
      <c r="B1491" s="138">
        <f>'Expenditures 15-22'!K261</f>
        <v>120199</v>
      </c>
      <c r="C1491" s="2" t="s">
        <v>573</v>
      </c>
      <c r="D1491" s="2" t="str">
        <f t="shared" si="22"/>
        <v>Error?</v>
      </c>
    </row>
    <row r="1492" spans="1:4" x14ac:dyDescent="0.2">
      <c r="A1492" s="5">
        <v>1431</v>
      </c>
      <c r="B1492" s="138">
        <f>'Expenditures 15-22'!K263</f>
        <v>12793</v>
      </c>
      <c r="C1492" s="2" t="s">
        <v>573</v>
      </c>
      <c r="D1492" s="2" t="str">
        <f t="shared" si="22"/>
        <v>Error?</v>
      </c>
    </row>
    <row r="1493" spans="1:4" x14ac:dyDescent="0.2">
      <c r="A1493" s="5">
        <v>1432</v>
      </c>
      <c r="B1493" s="138">
        <f>'Expenditures 15-22'!K264</f>
        <v>58094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288248</v>
      </c>
      <c r="C1495" s="2" t="s">
        <v>573</v>
      </c>
      <c r="D1495" s="2" t="str">
        <f t="shared" si="22"/>
        <v>Error?</v>
      </c>
    </row>
    <row r="1496" spans="1:4" x14ac:dyDescent="0.2">
      <c r="A1496" s="5">
        <v>1435</v>
      </c>
      <c r="B1496" s="138">
        <f>'Expenditures 15-22'!K267</f>
        <v>359500</v>
      </c>
      <c r="C1496" s="2" t="s">
        <v>573</v>
      </c>
      <c r="D1496" s="2" t="str">
        <f t="shared" si="22"/>
        <v>Error?</v>
      </c>
    </row>
    <row r="1497" spans="1:4" x14ac:dyDescent="0.2">
      <c r="A1497" s="5">
        <v>1436</v>
      </c>
      <c r="B1497" s="138">
        <f>'Expenditures 15-22'!K268</f>
        <v>91663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810298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95769</v>
      </c>
      <c r="C1506" s="2" t="s">
        <v>573</v>
      </c>
      <c r="D1506" s="2" t="str">
        <f t="shared" si="22"/>
        <v>Error?</v>
      </c>
    </row>
    <row r="1507" spans="1:4" x14ac:dyDescent="0.2">
      <c r="A1507" s="10">
        <v>1446</v>
      </c>
      <c r="D1507" s="2" t="str">
        <f t="shared" si="22"/>
        <v>OK</v>
      </c>
    </row>
    <row r="1508" spans="1:4" x14ac:dyDescent="0.2">
      <c r="A1508" s="5">
        <v>1447</v>
      </c>
      <c r="B1508" s="138">
        <f>'Expenditures 15-22'!K277</f>
        <v>95769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1200811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1587774</v>
      </c>
      <c r="C1517" s="2" t="s">
        <v>573</v>
      </c>
      <c r="D1517" s="2" t="str">
        <f t="shared" si="22"/>
        <v>Error?</v>
      </c>
    </row>
    <row r="1518" spans="1:4" x14ac:dyDescent="0.2">
      <c r="A1518" s="5">
        <v>1457</v>
      </c>
      <c r="B1518" s="138">
        <f>'Expenditures 15-22'!K296</f>
        <v>126909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5217234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5217234</v>
      </c>
      <c r="C1547" s="2" t="s">
        <v>573</v>
      </c>
      <c r="D1547" s="2" t="str">
        <f t="shared" si="23"/>
        <v>Error?</v>
      </c>
    </row>
    <row r="1548" spans="1:4" x14ac:dyDescent="0.2">
      <c r="A1548" s="5">
        <v>1487</v>
      </c>
      <c r="B1548" s="138">
        <f>'Expenditures 15-22'!G312</f>
        <v>5217234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5217234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5217234</v>
      </c>
      <c r="C1559" s="2" t="s">
        <v>573</v>
      </c>
      <c r="D1559" s="2" t="str">
        <f t="shared" si="23"/>
        <v>Error?</v>
      </c>
    </row>
    <row r="1560" spans="1:4" x14ac:dyDescent="0.2">
      <c r="A1560" s="5">
        <v>1499</v>
      </c>
      <c r="B1560" s="138">
        <f>'Expenditures 15-22'!K312</f>
        <v>5217234</v>
      </c>
      <c r="C1560" s="2" t="s">
        <v>573</v>
      </c>
      <c r="D1560" s="2" t="str">
        <f t="shared" si="23"/>
        <v>Error?</v>
      </c>
    </row>
    <row r="1561" spans="1:4" x14ac:dyDescent="0.2">
      <c r="A1561" s="5">
        <v>1500</v>
      </c>
      <c r="B1561" s="138">
        <f>'Expenditures 15-22'!K313</f>
        <v>-4849690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22154689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21166013</v>
      </c>
      <c r="C1630" s="2" t="s">
        <v>573</v>
      </c>
      <c r="D1630" s="2" t="str">
        <f t="shared" si="24"/>
        <v>Error?</v>
      </c>
    </row>
    <row r="1631" spans="1:4" x14ac:dyDescent="0.2">
      <c r="A1631" s="5">
        <v>1570</v>
      </c>
      <c r="B1631" s="138">
        <f>'Acct Summary 7-8'!D79</f>
        <v>6072181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6804414</v>
      </c>
      <c r="C1644" s="2" t="s">
        <v>573</v>
      </c>
      <c r="D1644" s="2" t="str">
        <f t="shared" si="24"/>
        <v>Error?</v>
      </c>
    </row>
    <row r="1645" spans="1:4" x14ac:dyDescent="0.2">
      <c r="A1645" s="5">
        <v>1584</v>
      </c>
      <c r="B1645" s="138">
        <f>'Acct Summary 7-8'!E79</f>
        <v>4435622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4133737</v>
      </c>
      <c r="C1658" s="2" t="s">
        <v>573</v>
      </c>
      <c r="D1658" s="2" t="str">
        <f t="shared" si="24"/>
        <v>Error?</v>
      </c>
    </row>
    <row r="1659" spans="1:4" x14ac:dyDescent="0.2">
      <c r="A1659" s="5">
        <v>1598</v>
      </c>
      <c r="B1659" s="138">
        <f>'Acct Summary 7-8'!F79</f>
        <v>2853791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3420321</v>
      </c>
      <c r="C1672" s="2" t="s">
        <v>573</v>
      </c>
      <c r="D1672" s="2" t="str">
        <f t="shared" si="25"/>
        <v>Error?</v>
      </c>
    </row>
    <row r="1673" spans="1:4" x14ac:dyDescent="0.2">
      <c r="A1673" s="5">
        <v>1612</v>
      </c>
      <c r="B1673" s="138">
        <f>'Acct Summary 7-8'!G79</f>
        <v>1298984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1425893</v>
      </c>
      <c r="C1686" s="2" t="s">
        <v>573</v>
      </c>
      <c r="D1686" s="2" t="str">
        <f t="shared" si="25"/>
        <v>Error?</v>
      </c>
    </row>
    <row r="1687" spans="1:4" x14ac:dyDescent="0.2">
      <c r="A1687" s="5">
        <v>1626</v>
      </c>
      <c r="B1687" s="138">
        <f>'Acct Summary 7-8'!H79</f>
        <v>7198492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2348802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24479703</v>
      </c>
      <c r="C1744" s="2" t="s">
        <v>573</v>
      </c>
      <c r="D1744" s="2" t="str">
        <f t="shared" si="26"/>
        <v>Error?</v>
      </c>
    </row>
    <row r="1745" spans="1:5" x14ac:dyDescent="0.2">
      <c r="A1745" s="5">
        <v>1684</v>
      </c>
      <c r="B1745" s="138">
        <f>'Tax Sched 23'!B5</f>
        <v>4315990</v>
      </c>
      <c r="C1745" s="2" t="s">
        <v>573</v>
      </c>
      <c r="D1745" s="2" t="str">
        <f t="shared" si="26"/>
        <v>Error?</v>
      </c>
    </row>
    <row r="1746" spans="1:5" x14ac:dyDescent="0.2">
      <c r="A1746" s="5">
        <v>1685</v>
      </c>
      <c r="B1746" s="138">
        <f>'Tax Sched 23'!B6</f>
        <v>6445056</v>
      </c>
      <c r="C1746" s="2" t="s">
        <v>573</v>
      </c>
      <c r="D1746" s="2" t="str">
        <f t="shared" si="26"/>
        <v>Error?</v>
      </c>
    </row>
    <row r="1747" spans="1:5" x14ac:dyDescent="0.2">
      <c r="A1747" s="5">
        <v>1686</v>
      </c>
      <c r="B1747" s="138">
        <f>'Tax Sched 23'!B7</f>
        <v>2018236</v>
      </c>
      <c r="C1747" s="2" t="s">
        <v>573</v>
      </c>
      <c r="D1747" s="2" t="str">
        <f t="shared" si="26"/>
        <v>Error?</v>
      </c>
    </row>
    <row r="1748" spans="1:5" x14ac:dyDescent="0.2">
      <c r="A1748" s="5">
        <v>1687</v>
      </c>
      <c r="B1748" s="138">
        <f>'Tax Sched 23'!B8</f>
        <v>834312</v>
      </c>
      <c r="C1748" s="2" t="s">
        <v>573</v>
      </c>
      <c r="D1748" s="2" t="str">
        <f t="shared" si="26"/>
        <v>Error?</v>
      </c>
    </row>
    <row r="1749" spans="1:5" x14ac:dyDescent="0.2">
      <c r="A1749" s="5">
        <v>1688</v>
      </c>
      <c r="B1749" s="138">
        <f>'Tax Sched 23'!B10</f>
        <v>136787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496985</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4939111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44500492</v>
      </c>
      <c r="C1759" s="2" t="s">
        <v>573</v>
      </c>
      <c r="D1759" s="2" t="str">
        <f t="shared" si="26"/>
        <v>Error?</v>
      </c>
    </row>
    <row r="1760" spans="1:5" x14ac:dyDescent="0.2">
      <c r="A1760" s="5">
        <v>1699</v>
      </c>
      <c r="B1760" s="138">
        <f>'Tax Sched 23'!D4</f>
        <v>12857570</v>
      </c>
      <c r="C1760" s="2" t="s">
        <v>573</v>
      </c>
      <c r="D1760" s="2" t="str">
        <f t="shared" si="26"/>
        <v>Error?</v>
      </c>
    </row>
    <row r="1761" spans="1:5" x14ac:dyDescent="0.2">
      <c r="A1761" s="5">
        <v>1700</v>
      </c>
      <c r="B1761" s="138">
        <f>'Tax Sched 23'!D5</f>
        <v>2272538</v>
      </c>
      <c r="C1761" s="2" t="s">
        <v>573</v>
      </c>
      <c r="D1761" s="2" t="str">
        <f t="shared" si="26"/>
        <v>Error?</v>
      </c>
    </row>
    <row r="1762" spans="1:5" s="8" customFormat="1" x14ac:dyDescent="0.2">
      <c r="A1762" s="5">
        <v>1701</v>
      </c>
      <c r="B1762" s="138">
        <f>'Tax Sched 23'!D6</f>
        <v>3353105</v>
      </c>
      <c r="C1762" s="2" t="s">
        <v>573</v>
      </c>
      <c r="D1762" s="2" t="str">
        <f t="shared" si="26"/>
        <v>Error?</v>
      </c>
      <c r="E1762" s="9"/>
    </row>
    <row r="1763" spans="1:5" x14ac:dyDescent="0.2">
      <c r="A1763" s="5">
        <v>1702</v>
      </c>
      <c r="B1763" s="138">
        <f>'Tax Sched 23'!D7</f>
        <v>996509</v>
      </c>
      <c r="C1763" s="2" t="s">
        <v>573</v>
      </c>
      <c r="D1763" s="2" t="str">
        <f t="shared" si="26"/>
        <v>Error?</v>
      </c>
    </row>
    <row r="1764" spans="1:5" x14ac:dyDescent="0.2">
      <c r="A1764" s="5">
        <v>1703</v>
      </c>
      <c r="B1764" s="138">
        <f>'Tax Sched 23'!D8</f>
        <v>461809</v>
      </c>
      <c r="C1764" s="2" t="s">
        <v>573</v>
      </c>
      <c r="D1764" s="2" t="str">
        <f t="shared" si="26"/>
        <v>Error?</v>
      </c>
    </row>
    <row r="1765" spans="1:5" x14ac:dyDescent="0.2">
      <c r="A1765" s="5">
        <v>1704</v>
      </c>
      <c r="B1765" s="138">
        <f>'Tax Sched 23'!D10</f>
        <v>72931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230908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2576368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23283547</v>
      </c>
      <c r="C1775" s="2" t="s">
        <v>573</v>
      </c>
      <c r="D1775" s="2" t="str">
        <f t="shared" si="26"/>
        <v>Error?</v>
      </c>
    </row>
    <row r="1776" spans="1:5" x14ac:dyDescent="0.2">
      <c r="A1776" s="5">
        <v>1715</v>
      </c>
      <c r="B1776" s="138">
        <f>'Tax Sched 23'!C4</f>
        <v>11622133</v>
      </c>
      <c r="D1776" s="2" t="str">
        <f t="shared" si="26"/>
        <v>Error?</v>
      </c>
    </row>
    <row r="1777" spans="1:4" x14ac:dyDescent="0.2">
      <c r="A1777" s="5">
        <v>1716</v>
      </c>
      <c r="B1777" s="138">
        <f>'Tax Sched 23'!C5</f>
        <v>2043452</v>
      </c>
      <c r="D1777" s="2" t="str">
        <f t="shared" si="26"/>
        <v>Error?</v>
      </c>
    </row>
    <row r="1778" spans="1:4" x14ac:dyDescent="0.2">
      <c r="A1778" s="5">
        <v>1717</v>
      </c>
      <c r="B1778" s="138">
        <f>'Tax Sched 23'!C6</f>
        <v>3091951</v>
      </c>
      <c r="D1778" s="2" t="str">
        <f t="shared" si="26"/>
        <v>Error?</v>
      </c>
    </row>
    <row r="1779" spans="1:4" x14ac:dyDescent="0.2">
      <c r="A1779" s="5">
        <v>1718</v>
      </c>
      <c r="B1779" s="138">
        <f>'Tax Sched 23'!C7</f>
        <v>1021727</v>
      </c>
      <c r="D1779" s="2" t="str">
        <f t="shared" si="26"/>
        <v>Error?</v>
      </c>
    </row>
    <row r="1780" spans="1:4" x14ac:dyDescent="0.2">
      <c r="A1780" s="5">
        <v>1719</v>
      </c>
      <c r="B1780" s="138">
        <f>'Tax Sched 23'!C8</f>
        <v>372503</v>
      </c>
      <c r="D1780" s="2" t="str">
        <f t="shared" si="26"/>
        <v>Error?</v>
      </c>
    </row>
    <row r="1781" spans="1:4" x14ac:dyDescent="0.2">
      <c r="A1781" s="5">
        <v>1720</v>
      </c>
      <c r="B1781" s="138">
        <f>'Tax Sched 23'!C10</f>
        <v>63856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266077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2362743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21216945</v>
      </c>
      <c r="C1791" s="2" t="s">
        <v>573</v>
      </c>
      <c r="D1791" s="2" t="str">
        <f t="shared" ref="D1791:D1854" si="27">IF(ISBLANK(B1791),"OK",IF(A1791-B1791=0,"OK","Error?"))</f>
        <v>Error?</v>
      </c>
    </row>
    <row r="1792" spans="1:4" x14ac:dyDescent="0.2">
      <c r="A1792" s="5">
        <v>1731</v>
      </c>
      <c r="B1792" s="138">
        <f>'Tax Sched 23'!F4</f>
        <v>15462108</v>
      </c>
      <c r="C1792" s="2" t="s">
        <v>573</v>
      </c>
      <c r="D1792" s="2" t="str">
        <f t="shared" si="27"/>
        <v>Error?</v>
      </c>
    </row>
    <row r="1793" spans="1:4" x14ac:dyDescent="0.2">
      <c r="A1793" s="5">
        <v>1732</v>
      </c>
      <c r="B1793" s="138">
        <f>'Tax Sched 23'!F5</f>
        <v>2718611</v>
      </c>
      <c r="C1793" s="2" t="s">
        <v>573</v>
      </c>
      <c r="D1793" s="2" t="str">
        <f t="shared" si="27"/>
        <v>Error?</v>
      </c>
    </row>
    <row r="1794" spans="1:4" x14ac:dyDescent="0.2">
      <c r="A1794" s="5">
        <v>1733</v>
      </c>
      <c r="B1794" s="138">
        <f>'Tax Sched 23'!F6</f>
        <v>4113537</v>
      </c>
      <c r="C1794" s="2" t="s">
        <v>573</v>
      </c>
      <c r="D1794" s="2" t="str">
        <f t="shared" si="27"/>
        <v>Error?</v>
      </c>
    </row>
    <row r="1795" spans="1:4" x14ac:dyDescent="0.2">
      <c r="A1795" s="5">
        <v>1734</v>
      </c>
      <c r="B1795" s="138">
        <f>'Tax Sched 23'!F7</f>
        <v>1359308</v>
      </c>
      <c r="C1795" s="2" t="s">
        <v>573</v>
      </c>
      <c r="D1795" s="2" t="str">
        <f t="shared" si="27"/>
        <v>Error?</v>
      </c>
    </row>
    <row r="1796" spans="1:4" x14ac:dyDescent="0.2">
      <c r="A1796" s="5">
        <v>1735</v>
      </c>
      <c r="B1796" s="138">
        <f>'Tax Sched 23'!F8</f>
        <v>495578</v>
      </c>
      <c r="C1796" s="2" t="s">
        <v>573</v>
      </c>
      <c r="D1796" s="2" t="str">
        <f t="shared" si="27"/>
        <v>Error?</v>
      </c>
    </row>
    <row r="1797" spans="1:4" x14ac:dyDescent="0.2">
      <c r="A1797" s="5">
        <v>1736</v>
      </c>
      <c r="B1797" s="138">
        <f>'Tax Sched 23'!F10</f>
        <v>84955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353989</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3143398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28227063</v>
      </c>
      <c r="C1807" s="2" t="s">
        <v>573</v>
      </c>
      <c r="D1807" s="2" t="str">
        <f t="shared" si="27"/>
        <v>Error?</v>
      </c>
    </row>
    <row r="1808" spans="1:4" x14ac:dyDescent="0.2">
      <c r="A1808" s="5">
        <v>1747</v>
      </c>
      <c r="B1808" s="138">
        <f>'Tax Sched 23'!E4</f>
        <v>27084241</v>
      </c>
      <c r="D1808" s="2" t="str">
        <f t="shared" si="27"/>
        <v>Error?</v>
      </c>
    </row>
    <row r="1809" spans="1:4" x14ac:dyDescent="0.2">
      <c r="A1809" s="5">
        <v>1748</v>
      </c>
      <c r="B1809" s="138">
        <f>'Tax Sched 23'!E5</f>
        <v>4762063</v>
      </c>
      <c r="D1809" s="2" t="str">
        <f t="shared" si="27"/>
        <v>Error?</v>
      </c>
    </row>
    <row r="1810" spans="1:4" x14ac:dyDescent="0.2">
      <c r="A1810" s="5">
        <v>1749</v>
      </c>
      <c r="B1810" s="138">
        <f>'Tax Sched 23'!E6</f>
        <v>7205488</v>
      </c>
      <c r="D1810" s="2" t="str">
        <f t="shared" si="27"/>
        <v>Error?</v>
      </c>
    </row>
    <row r="1811" spans="1:4" x14ac:dyDescent="0.2">
      <c r="A1811" s="5">
        <v>1750</v>
      </c>
      <c r="B1811" s="138">
        <f>'Tax Sched 23'!E7</f>
        <v>2381035</v>
      </c>
      <c r="D1811" s="2" t="str">
        <f t="shared" si="27"/>
        <v>Error?</v>
      </c>
    </row>
    <row r="1812" spans="1:4" x14ac:dyDescent="0.2">
      <c r="A1812" s="5">
        <v>1751</v>
      </c>
      <c r="B1812" s="138">
        <f>'Tax Sched 23'!E8</f>
        <v>868081</v>
      </c>
      <c r="D1812" s="2" t="str">
        <f t="shared" si="27"/>
        <v>Error?</v>
      </c>
    </row>
    <row r="1813" spans="1:4" x14ac:dyDescent="0.2">
      <c r="A1813" s="5">
        <v>1752</v>
      </c>
      <c r="B1813" s="138">
        <f>'Tax Sched 23'!E10</f>
        <v>148811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620066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5506141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49444008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48790899</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4940699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4940699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1244168</v>
      </c>
      <c r="D1980" s="2" t="str">
        <f t="shared" si="29"/>
        <v>Error?</v>
      </c>
    </row>
    <row r="1981" spans="1:5" x14ac:dyDescent="0.2">
      <c r="A1981" s="10">
        <v>1920</v>
      </c>
      <c r="D1981" s="2" t="str">
        <f t="shared" si="29"/>
        <v>OK</v>
      </c>
      <c r="E1981" s="2" t="s">
        <v>135</v>
      </c>
    </row>
    <row r="1982" spans="1:5" x14ac:dyDescent="0.2">
      <c r="A1982" s="5">
        <v>1921</v>
      </c>
      <c r="B1982" s="138">
        <f>'Rest Tax Levies-Tort Im 25'!H23</f>
        <v>4940699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6004268</v>
      </c>
      <c r="D2008" s="2" t="str">
        <f t="shared" si="30"/>
        <v>Error?</v>
      </c>
    </row>
    <row r="2009" spans="1:4" x14ac:dyDescent="0.2">
      <c r="A2009" s="5">
        <v>1948</v>
      </c>
      <c r="B2009" s="138">
        <f>'Cap Outlay Deprec 26'!C8</f>
        <v>103967428</v>
      </c>
      <c r="D2009" s="2" t="str">
        <f t="shared" si="30"/>
        <v>Error?</v>
      </c>
    </row>
    <row r="2010" spans="1:4" x14ac:dyDescent="0.2">
      <c r="A2010" s="5">
        <v>1949</v>
      </c>
      <c r="B2010" s="138">
        <f>'Cap Outlay Deprec 26'!C10</f>
        <v>4327115</v>
      </c>
      <c r="D2010" s="2" t="str">
        <f t="shared" si="30"/>
        <v>Error?</v>
      </c>
    </row>
    <row r="2011" spans="1:4" x14ac:dyDescent="0.2">
      <c r="A2011" s="5">
        <v>1950</v>
      </c>
      <c r="B2011" s="138">
        <f>'Cap Outlay Deprec 26'!C12</f>
        <v>3847331</v>
      </c>
      <c r="D2011" s="2" t="str">
        <f t="shared" si="30"/>
        <v>Error?</v>
      </c>
    </row>
    <row r="2012" spans="1:4" x14ac:dyDescent="0.2">
      <c r="A2012" s="5">
        <v>1951</v>
      </c>
      <c r="B2012" s="138">
        <f>'Cap Outlay Deprec 26'!C13</f>
        <v>377927</v>
      </c>
      <c r="D2012" s="2" t="str">
        <f t="shared" si="30"/>
        <v>Error?</v>
      </c>
    </row>
    <row r="2013" spans="1:4" x14ac:dyDescent="0.2">
      <c r="A2013" s="5">
        <v>1952</v>
      </c>
      <c r="B2013" s="138">
        <f>'Cap Outlay Deprec 26'!C16</f>
        <v>141998708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28423150</v>
      </c>
      <c r="D2015" s="2" t="str">
        <f t="shared" si="30"/>
        <v>Error?</v>
      </c>
    </row>
    <row r="2016" spans="1:4" x14ac:dyDescent="0.2">
      <c r="A2016" s="5">
        <v>1955</v>
      </c>
      <c r="B2016" s="138">
        <f>'Cap Outlay Deprec 26'!D10</f>
        <v>5790</v>
      </c>
      <c r="D2016" s="2" t="str">
        <f t="shared" si="30"/>
        <v>Error?</v>
      </c>
    </row>
    <row r="2017" spans="1:4" x14ac:dyDescent="0.2">
      <c r="A2017" s="5">
        <v>1956</v>
      </c>
      <c r="B2017" s="138">
        <f>'Cap Outlay Deprec 26'!D12</f>
        <v>805903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29234843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23107571</v>
      </c>
      <c r="C2025" s="2" t="s">
        <v>573</v>
      </c>
      <c r="D2025" s="2" t="str">
        <f t="shared" si="30"/>
        <v>Error?</v>
      </c>
    </row>
    <row r="2026" spans="1:4" x14ac:dyDescent="0.2">
      <c r="A2026" s="5">
        <v>1965</v>
      </c>
      <c r="B2026" s="138">
        <f>'Cap Outlay Deprec 26'!F5</f>
        <v>6004268</v>
      </c>
      <c r="C2026" s="2" t="s">
        <v>573</v>
      </c>
      <c r="D2026" s="2" t="str">
        <f t="shared" si="30"/>
        <v>Error?</v>
      </c>
    </row>
    <row r="2027" spans="1:4" x14ac:dyDescent="0.2">
      <c r="A2027" s="5">
        <v>1966</v>
      </c>
      <c r="B2027" s="138">
        <f>'Cap Outlay Deprec 26'!F8</f>
        <v>132390578</v>
      </c>
      <c r="C2027" s="2" t="s">
        <v>573</v>
      </c>
      <c r="D2027" s="2" t="str">
        <f t="shared" si="30"/>
        <v>Error?</v>
      </c>
    </row>
    <row r="2028" spans="1:4" x14ac:dyDescent="0.2">
      <c r="A2028" s="5">
        <v>1967</v>
      </c>
      <c r="B2028" s="138">
        <f>'Cap Outlay Deprec 26'!F10</f>
        <v>4332905</v>
      </c>
      <c r="C2028" s="2" t="s">
        <v>573</v>
      </c>
      <c r="D2028" s="2" t="str">
        <f t="shared" si="30"/>
        <v>Error?</v>
      </c>
    </row>
    <row r="2029" spans="1:4" x14ac:dyDescent="0.2">
      <c r="A2029" s="5">
        <v>1968</v>
      </c>
      <c r="B2029" s="138">
        <f>'Cap Outlay Deprec 26'!F12</f>
        <v>4653234</v>
      </c>
      <c r="C2029" s="2" t="s">
        <v>573</v>
      </c>
      <c r="D2029" s="2" t="str">
        <f t="shared" si="30"/>
        <v>Error?</v>
      </c>
    </row>
    <row r="2030" spans="1:4" x14ac:dyDescent="0.2">
      <c r="A2030" s="5">
        <v>1969</v>
      </c>
      <c r="B2030" s="138">
        <f>'Cap Outlay Deprec 26'!F13</f>
        <v>377927</v>
      </c>
      <c r="C2030" s="2" t="s">
        <v>573</v>
      </c>
      <c r="D2030" s="2" t="str">
        <f t="shared" si="30"/>
        <v>Error?</v>
      </c>
    </row>
    <row r="2031" spans="1:4" x14ac:dyDescent="0.2">
      <c r="A2031" s="5">
        <v>1970</v>
      </c>
      <c r="B2031" s="138">
        <f>'Cap Outlay Deprec 26'!F16</f>
        <v>148125980</v>
      </c>
      <c r="C2031" s="2" t="s">
        <v>573</v>
      </c>
      <c r="D2031" s="2" t="str">
        <f t="shared" si="30"/>
        <v>Error?</v>
      </c>
    </row>
    <row r="2032" spans="1:4" x14ac:dyDescent="0.2">
      <c r="A2032" s="10">
        <v>1971</v>
      </c>
      <c r="D2032" s="2" t="str">
        <f t="shared" si="30"/>
        <v>OK</v>
      </c>
    </row>
    <row r="2033" spans="1:4" x14ac:dyDescent="0.2">
      <c r="A2033" s="5">
        <v>1972</v>
      </c>
      <c r="B2033" s="138">
        <f>'Cap Outlay Deprec 26'!H8</f>
        <v>35485920</v>
      </c>
      <c r="D2033" s="2" t="str">
        <f t="shared" si="30"/>
        <v>Error?</v>
      </c>
    </row>
    <row r="2034" spans="1:4" x14ac:dyDescent="0.2">
      <c r="A2034" s="5">
        <v>1973</v>
      </c>
      <c r="B2034" s="138">
        <f>'Cap Outlay Deprec 26'!H10</f>
        <v>2894740</v>
      </c>
      <c r="D2034" s="2" t="str">
        <f t="shared" si="30"/>
        <v>Error?</v>
      </c>
    </row>
    <row r="2035" spans="1:4" x14ac:dyDescent="0.2">
      <c r="A2035" s="5">
        <v>1974</v>
      </c>
      <c r="B2035" s="138">
        <f>'Cap Outlay Deprec 26'!H12</f>
        <v>2756283</v>
      </c>
      <c r="D2035" s="2" t="str">
        <f t="shared" si="30"/>
        <v>Error?</v>
      </c>
    </row>
    <row r="2036" spans="1:4" x14ac:dyDescent="0.2">
      <c r="A2036" s="5">
        <v>1975</v>
      </c>
      <c r="B2036" s="138">
        <f>'Cap Outlay Deprec 26'!H13</f>
        <v>198931</v>
      </c>
      <c r="D2036" s="2" t="str">
        <f t="shared" si="30"/>
        <v>Error?</v>
      </c>
    </row>
    <row r="2037" spans="1:4" x14ac:dyDescent="0.2">
      <c r="A2037" s="5">
        <v>1976</v>
      </c>
      <c r="B2037" s="138">
        <f>'Cap Outlay Deprec 26'!H16</f>
        <v>41335874</v>
      </c>
      <c r="C2037" s="2" t="s">
        <v>573</v>
      </c>
      <c r="D2037" s="2" t="str">
        <f t="shared" si="30"/>
        <v>Error?</v>
      </c>
    </row>
    <row r="2038" spans="1:4" x14ac:dyDescent="0.2">
      <c r="A2038" s="10">
        <v>1977</v>
      </c>
      <c r="D2038" s="2" t="str">
        <f t="shared" si="30"/>
        <v>OK</v>
      </c>
    </row>
    <row r="2039" spans="1:4" x14ac:dyDescent="0.2">
      <c r="A2039" s="5">
        <v>1978</v>
      </c>
      <c r="B2039" s="138">
        <f>'Cap Outlay Deprec 26'!I8</f>
        <v>2627456</v>
      </c>
      <c r="D2039" s="2" t="str">
        <f t="shared" si="30"/>
        <v>Error?</v>
      </c>
    </row>
    <row r="2040" spans="1:4" x14ac:dyDescent="0.2">
      <c r="A2040" s="5">
        <v>1979</v>
      </c>
      <c r="B2040" s="138">
        <f>'Cap Outlay Deprec 26'!I10</f>
        <v>192649</v>
      </c>
      <c r="D2040" s="2" t="str">
        <f t="shared" si="30"/>
        <v>Error?</v>
      </c>
    </row>
    <row r="2041" spans="1:4" x14ac:dyDescent="0.2">
      <c r="A2041" s="5">
        <v>1980</v>
      </c>
      <c r="B2041" s="138">
        <f>'Cap Outlay Deprec 26'!I12</f>
        <v>281523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3101628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38113376</v>
      </c>
      <c r="C2051" s="2" t="s">
        <v>573</v>
      </c>
      <c r="D2051" s="2" t="str">
        <f t="shared" si="31"/>
        <v>Error?</v>
      </c>
    </row>
    <row r="2052" spans="1:4" x14ac:dyDescent="0.2">
      <c r="A2052" s="5">
        <v>1991</v>
      </c>
      <c r="B2052" s="138">
        <f>'Cap Outlay Deprec 26'!K10</f>
        <v>3087389</v>
      </c>
      <c r="C2052" s="2" t="s">
        <v>573</v>
      </c>
      <c r="D2052" s="2" t="str">
        <f t="shared" si="31"/>
        <v>Error?</v>
      </c>
    </row>
    <row r="2053" spans="1:4" x14ac:dyDescent="0.2">
      <c r="A2053" s="5">
        <v>1992</v>
      </c>
      <c r="B2053" s="138">
        <f>'Cap Outlay Deprec 26'!K12</f>
        <v>3037806</v>
      </c>
      <c r="C2053" s="2" t="s">
        <v>573</v>
      </c>
      <c r="D2053" s="2" t="str">
        <f t="shared" si="31"/>
        <v>Error?</v>
      </c>
    </row>
    <row r="2054" spans="1:4" x14ac:dyDescent="0.2">
      <c r="A2054" s="5">
        <v>1993</v>
      </c>
      <c r="B2054" s="138">
        <f>'Cap Outlay Deprec 26'!K13</f>
        <v>198931</v>
      </c>
      <c r="C2054" s="2" t="s">
        <v>573</v>
      </c>
      <c r="D2054" s="2" t="str">
        <f t="shared" si="31"/>
        <v>Error?</v>
      </c>
    </row>
    <row r="2055" spans="1:4" x14ac:dyDescent="0.2">
      <c r="A2055" s="5">
        <v>1994</v>
      </c>
      <c r="B2055" s="138">
        <f>'Cap Outlay Deprec 26'!K16</f>
        <v>44437502</v>
      </c>
      <c r="C2055" s="2" t="s">
        <v>573</v>
      </c>
      <c r="D2055" s="2" t="str">
        <f t="shared" si="31"/>
        <v>Error?</v>
      </c>
    </row>
    <row r="2056" spans="1:4" x14ac:dyDescent="0.2">
      <c r="A2056" s="5">
        <v>1995</v>
      </c>
      <c r="B2056" s="138">
        <f>'Cap Outlay Deprec 26'!L5</f>
        <v>6004268</v>
      </c>
      <c r="C2056" s="2" t="s">
        <v>573</v>
      </c>
      <c r="D2056" s="2" t="str">
        <f t="shared" si="31"/>
        <v>Error?</v>
      </c>
    </row>
    <row r="2057" spans="1:4" x14ac:dyDescent="0.2">
      <c r="A2057" s="5">
        <v>1996</v>
      </c>
      <c r="B2057" s="138">
        <f>'Cap Outlay Deprec 26'!L8</f>
        <v>94277202</v>
      </c>
      <c r="C2057" s="2" t="s">
        <v>573</v>
      </c>
      <c r="D2057" s="2" t="str">
        <f t="shared" si="31"/>
        <v>Error?</v>
      </c>
    </row>
    <row r="2058" spans="1:4" x14ac:dyDescent="0.2">
      <c r="A2058" s="5">
        <v>1997</v>
      </c>
      <c r="B2058" s="138">
        <f>'Cap Outlay Deprec 26'!L10</f>
        <v>1245516</v>
      </c>
      <c r="C2058" s="2" t="s">
        <v>573</v>
      </c>
      <c r="D2058" s="2" t="str">
        <f t="shared" si="31"/>
        <v>Error?</v>
      </c>
    </row>
    <row r="2059" spans="1:4" x14ac:dyDescent="0.2">
      <c r="A2059" s="5">
        <v>1998</v>
      </c>
      <c r="B2059" s="138">
        <f>'Cap Outlay Deprec 26'!L12</f>
        <v>1615428</v>
      </c>
      <c r="C2059" s="2" t="s">
        <v>573</v>
      </c>
      <c r="D2059" s="2" t="str">
        <f t="shared" si="31"/>
        <v>Error?</v>
      </c>
    </row>
    <row r="2060" spans="1:4" x14ac:dyDescent="0.2">
      <c r="A2060" s="5">
        <v>1999</v>
      </c>
      <c r="B2060" s="138">
        <f>'Cap Outlay Deprec 26'!L13</f>
        <v>178996</v>
      </c>
      <c r="C2060" s="2" t="s">
        <v>573</v>
      </c>
      <c r="D2060" s="2" t="str">
        <f t="shared" si="31"/>
        <v>Error?</v>
      </c>
    </row>
    <row r="2061" spans="1:4" x14ac:dyDescent="0.2">
      <c r="A2061" s="5">
        <v>2000</v>
      </c>
      <c r="B2061" s="138">
        <f>'Cap Outlay Deprec 26'!L16</f>
        <v>103688478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847512</v>
      </c>
      <c r="C2088" s="2" t="s">
        <v>573</v>
      </c>
      <c r="D2088" s="2" t="str">
        <f t="shared" si="31"/>
        <v>Error?</v>
      </c>
    </row>
    <row r="2089" spans="1:4" x14ac:dyDescent="0.2">
      <c r="A2089" s="5">
        <v>2028</v>
      </c>
      <c r="B2089" s="138">
        <f>'Expenditures 15-22'!K92</f>
        <v>1687781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149128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668298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769643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32429263</v>
      </c>
      <c r="C2551" s="2" t="s">
        <v>573</v>
      </c>
      <c r="D2551" s="2" t="str">
        <f t="shared" si="38"/>
        <v>Error?</v>
      </c>
    </row>
    <row r="2552" spans="1:4" x14ac:dyDescent="0.2">
      <c r="A2552" s="10">
        <v>2491</v>
      </c>
      <c r="D2552" s="2" t="str">
        <f t="shared" si="38"/>
        <v>OK</v>
      </c>
    </row>
    <row r="2553" spans="1:4" x14ac:dyDescent="0.2">
      <c r="A2553" s="5">
        <v>2492</v>
      </c>
      <c r="B2553" s="138">
        <f>'Acct Summary 7-8'!C6</f>
        <v>6598543</v>
      </c>
      <c r="C2553" s="2" t="s">
        <v>573</v>
      </c>
      <c r="D2553" s="2" t="str">
        <f t="shared" si="38"/>
        <v>Error?</v>
      </c>
    </row>
    <row r="2554" spans="1:4" x14ac:dyDescent="0.2">
      <c r="A2554" s="5">
        <v>2493</v>
      </c>
      <c r="B2554" s="138">
        <f>'Acct Summary 7-8'!C7</f>
        <v>1265595</v>
      </c>
      <c r="C2554" s="2" t="s">
        <v>573</v>
      </c>
      <c r="D2554" s="2" t="str">
        <f t="shared" si="38"/>
        <v>Error?</v>
      </c>
    </row>
    <row r="2555" spans="1:4" x14ac:dyDescent="0.2">
      <c r="A2555" s="5">
        <v>2494</v>
      </c>
      <c r="B2555" s="138">
        <f>'Acct Summary 7-8'!C8</f>
        <v>40293401</v>
      </c>
      <c r="C2555" s="2" t="s">
        <v>573</v>
      </c>
      <c r="D2555" s="2" t="str">
        <f t="shared" si="38"/>
        <v>Error?</v>
      </c>
    </row>
    <row r="2556" spans="1:4" x14ac:dyDescent="0.2">
      <c r="A2556" s="5">
        <v>2495</v>
      </c>
      <c r="B2556" s="138">
        <f>'Acct Summary 7-8'!C12</f>
        <v>26840445</v>
      </c>
      <c r="C2556" s="2" t="s">
        <v>573</v>
      </c>
      <c r="D2556" s="2" t="str">
        <f t="shared" si="38"/>
        <v>Error?</v>
      </c>
    </row>
    <row r="2557" spans="1:4" x14ac:dyDescent="0.2">
      <c r="A2557" s="5">
        <v>2496</v>
      </c>
      <c r="B2557" s="138">
        <f>'Acct Summary 7-8'!C13</f>
        <v>11900627</v>
      </c>
      <c r="C2557" s="2" t="s">
        <v>573</v>
      </c>
      <c r="D2557" s="2" t="str">
        <f t="shared" si="38"/>
        <v>Error?</v>
      </c>
    </row>
    <row r="2558" spans="1:4" x14ac:dyDescent="0.2">
      <c r="A2558" s="5">
        <v>2497</v>
      </c>
      <c r="B2558" s="138">
        <f>'Acct Summary 7-8'!C14</f>
        <v>5712</v>
      </c>
      <c r="C2558" s="2" t="s">
        <v>573</v>
      </c>
      <c r="D2558" s="2" t="str">
        <f t="shared" si="38"/>
        <v>Error?</v>
      </c>
    </row>
    <row r="2559" spans="1:4" x14ac:dyDescent="0.2">
      <c r="A2559" s="5">
        <v>2498</v>
      </c>
      <c r="B2559" s="138">
        <f>'Acct Summary 7-8'!C15</f>
        <v>2535293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41282077</v>
      </c>
      <c r="C2561" s="2" t="s">
        <v>573</v>
      </c>
      <c r="D2561" s="2" t="str">
        <f t="shared" si="39"/>
        <v>Error?</v>
      </c>
    </row>
    <row r="2562" spans="1:4" x14ac:dyDescent="0.2">
      <c r="A2562" s="5">
        <v>2501</v>
      </c>
      <c r="B2562" s="138">
        <f>'Acct Summary 7-8'!C20</f>
        <v>-988676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4756481</v>
      </c>
      <c r="C2564" s="2" t="s">
        <v>573</v>
      </c>
      <c r="D2564" s="2" t="str">
        <f t="shared" si="39"/>
        <v>Error?</v>
      </c>
    </row>
    <row r="2565" spans="1:4" x14ac:dyDescent="0.2">
      <c r="A2565" s="10">
        <v>2504</v>
      </c>
      <c r="D2565" s="2" t="str">
        <f t="shared" si="39"/>
        <v>OK</v>
      </c>
    </row>
    <row r="2566" spans="1:4" x14ac:dyDescent="0.2">
      <c r="A2566" s="5">
        <v>2505</v>
      </c>
      <c r="B2566" s="138">
        <f>'Acct Summary 7-8'!D6</f>
        <v>982000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5738481</v>
      </c>
      <c r="C2568" s="2" t="s">
        <v>573</v>
      </c>
      <c r="D2568" s="2" t="str">
        <f t="shared" si="39"/>
        <v>Error?</v>
      </c>
    </row>
    <row r="2569" spans="1:4" x14ac:dyDescent="0.2">
      <c r="A2569" s="5">
        <v>2508</v>
      </c>
      <c r="B2569" s="138">
        <f>'Acct Summary 7-8'!D13</f>
        <v>5006248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5006248</v>
      </c>
      <c r="C2573" s="2" t="s">
        <v>573</v>
      </c>
      <c r="D2573" s="2" t="str">
        <f t="shared" si="39"/>
        <v>Error?</v>
      </c>
    </row>
    <row r="2574" spans="1:4" x14ac:dyDescent="0.2">
      <c r="A2574" s="5">
        <v>2513</v>
      </c>
      <c r="B2574" s="138">
        <f>'Acct Summary 7-8'!D20</f>
        <v>732233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2079376</v>
      </c>
      <c r="C2591" s="2" t="s">
        <v>573</v>
      </c>
      <c r="D2591" s="2" t="str">
        <f t="shared" si="39"/>
        <v>Error?</v>
      </c>
    </row>
    <row r="2592" spans="1:4" x14ac:dyDescent="0.2">
      <c r="A2592" s="10">
        <v>2531</v>
      </c>
      <c r="D2592" s="2" t="str">
        <f t="shared" si="39"/>
        <v>OK</v>
      </c>
    </row>
    <row r="2593" spans="1:4" x14ac:dyDescent="0.2">
      <c r="A2593" s="5">
        <v>2532</v>
      </c>
      <c r="B2593" s="138">
        <f>'Acct Summary 7-8'!F6</f>
        <v>1862540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3941916</v>
      </c>
      <c r="C2595" s="2" t="s">
        <v>573</v>
      </c>
      <c r="D2595" s="2" t="str">
        <f t="shared" si="39"/>
        <v>Error?</v>
      </c>
    </row>
    <row r="2596" spans="1:4" x14ac:dyDescent="0.2">
      <c r="A2596" s="5">
        <v>2535</v>
      </c>
      <c r="B2596" s="138">
        <f>'Acct Summary 7-8'!F13</f>
        <v>3375386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3375386</v>
      </c>
      <c r="C2600" s="2" t="s">
        <v>573</v>
      </c>
      <c r="D2600" s="2" t="str">
        <f t="shared" si="39"/>
        <v>Error?</v>
      </c>
    </row>
    <row r="2601" spans="1:4" x14ac:dyDescent="0.2">
      <c r="A2601" s="5">
        <v>2540</v>
      </c>
      <c r="B2601" s="138">
        <f>'Acct Summary 7-8'!F20</f>
        <v>566530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1714683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1714683</v>
      </c>
      <c r="C2606" s="2" t="s">
        <v>573</v>
      </c>
      <c r="D2606" s="2" t="str">
        <f t="shared" si="39"/>
        <v>Error?</v>
      </c>
    </row>
    <row r="2607" spans="1:4" x14ac:dyDescent="0.2">
      <c r="A2607" s="5">
        <v>2546</v>
      </c>
      <c r="B2607" s="138">
        <f>'Acct Summary 7-8'!G12</f>
        <v>386963</v>
      </c>
      <c r="C2607" s="2" t="s">
        <v>573</v>
      </c>
      <c r="D2607" s="2" t="str">
        <f t="shared" si="39"/>
        <v>Error?</v>
      </c>
    </row>
    <row r="2608" spans="1:4" x14ac:dyDescent="0.2">
      <c r="A2608" s="5">
        <v>2547</v>
      </c>
      <c r="B2608" s="138">
        <f>'Acct Summary 7-8'!G13</f>
        <v>1200811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1587774</v>
      </c>
      <c r="C2612" s="2" t="s">
        <v>573</v>
      </c>
      <c r="D2612" s="2" t="str">
        <f t="shared" si="39"/>
        <v>Error?</v>
      </c>
    </row>
    <row r="2613" spans="1:4" x14ac:dyDescent="0.2">
      <c r="A2613" s="5">
        <v>2552</v>
      </c>
      <c r="B2613" s="138">
        <f>'Acct Summary 7-8'!G20</f>
        <v>126909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7018531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7018531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7320416</v>
      </c>
      <c r="C2634" s="2" t="s">
        <v>573</v>
      </c>
      <c r="D2634" s="2" t="str">
        <f t="shared" si="40"/>
        <v>Error?</v>
      </c>
    </row>
    <row r="2635" spans="1:4" x14ac:dyDescent="0.2">
      <c r="A2635" s="5">
        <v>2574</v>
      </c>
      <c r="B2635" s="138">
        <f>'Acct Summary 7-8'!E17</f>
        <v>7320416</v>
      </c>
      <c r="C2635" s="2" t="s">
        <v>573</v>
      </c>
      <c r="D2635" s="2" t="str">
        <f t="shared" si="40"/>
        <v>Error?</v>
      </c>
    </row>
    <row r="2636" spans="1:4" x14ac:dyDescent="0.2">
      <c r="A2636" s="5">
        <v>2575</v>
      </c>
      <c r="B2636" s="138">
        <f>'Acct Summary 7-8'!E20</f>
        <v>-301885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367544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367544</v>
      </c>
      <c r="C2658" s="2" t="s">
        <v>573</v>
      </c>
      <c r="D2658" s="2" t="str">
        <f t="shared" si="40"/>
        <v>Error?</v>
      </c>
    </row>
    <row r="2659" spans="1:4" x14ac:dyDescent="0.2">
      <c r="A2659" s="5">
        <v>2598</v>
      </c>
      <c r="B2659" s="138">
        <f>'Acct Summary 7-8'!H13</f>
        <v>5217234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5217234</v>
      </c>
      <c r="C2661" s="2" t="s">
        <v>573</v>
      </c>
      <c r="D2661" s="2" t="str">
        <f t="shared" si="40"/>
        <v>Error?</v>
      </c>
    </row>
    <row r="2662" spans="1:4" x14ac:dyDescent="0.2">
      <c r="A2662" s="5">
        <v>2601</v>
      </c>
      <c r="B2662" s="138">
        <f>'Acct Summary 7-8'!H20</f>
        <v>-4849690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213739</v>
      </c>
      <c r="D2718" s="2" t="str">
        <f t="shared" si="41"/>
        <v>Error?</v>
      </c>
    </row>
    <row r="2719" spans="1:4" x14ac:dyDescent="0.2">
      <c r="A2719" s="5">
        <v>2658</v>
      </c>
      <c r="B2719" s="138">
        <f>'Expenditures 15-22'!D51</f>
        <v>56374</v>
      </c>
      <c r="D2719" s="2" t="str">
        <f t="shared" si="41"/>
        <v>Error?</v>
      </c>
    </row>
    <row r="2720" spans="1:4" x14ac:dyDescent="0.2">
      <c r="A2720" s="5">
        <v>2659</v>
      </c>
      <c r="B2720" s="138">
        <f>'Expenditures 15-22'!E51</f>
        <v>2078</v>
      </c>
      <c r="D2720" s="2" t="str">
        <f t="shared" si="41"/>
        <v>Error?</v>
      </c>
    </row>
    <row r="2721" spans="1:4" x14ac:dyDescent="0.2">
      <c r="A2721" s="5">
        <v>2660</v>
      </c>
      <c r="B2721" s="138">
        <f>'Expenditures 15-22'!F51</f>
        <v>1006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665</v>
      </c>
      <c r="D2723" s="2" t="str">
        <f t="shared" si="41"/>
        <v>Error?</v>
      </c>
    </row>
    <row r="2724" spans="1:4" x14ac:dyDescent="0.2">
      <c r="A2724" s="5">
        <v>2663</v>
      </c>
      <c r="B2724" s="138">
        <f>'Expenditures 15-22'!K51</f>
        <v>273862</v>
      </c>
      <c r="C2724" s="2" t="s">
        <v>573</v>
      </c>
      <c r="D2724" s="2" t="str">
        <f t="shared" si="41"/>
        <v>Error?</v>
      </c>
    </row>
    <row r="2725" spans="1:4" x14ac:dyDescent="0.2">
      <c r="A2725" s="5">
        <v>2664</v>
      </c>
      <c r="B2725" s="138">
        <f>'Expenditures 15-22'!D247</f>
        <v>22965</v>
      </c>
      <c r="D2725" s="2" t="str">
        <f t="shared" si="41"/>
        <v>Error?</v>
      </c>
    </row>
    <row r="2726" spans="1:4" x14ac:dyDescent="0.2">
      <c r="A2726" s="5">
        <v>2665</v>
      </c>
      <c r="B2726" s="138">
        <f>'Expenditures 15-22'!K247</f>
        <v>22965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847512</v>
      </c>
      <c r="C2789" s="2" t="s">
        <v>573</v>
      </c>
      <c r="D2789" s="2" t="str">
        <f t="shared" si="42"/>
        <v>Error?</v>
      </c>
    </row>
    <row r="2790" spans="1:4" x14ac:dyDescent="0.2">
      <c r="A2790" s="5">
        <v>2729</v>
      </c>
      <c r="B2790" s="138">
        <f>'Expenditures 15-22'!E102</f>
        <v>847512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367068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2242822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149638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2242822</v>
      </c>
      <c r="D2912" s="2" t="str">
        <f t="shared" si="44"/>
        <v>Error?</v>
      </c>
    </row>
    <row r="2913" spans="1:4" x14ac:dyDescent="0.2">
      <c r="A2913" s="5">
        <v>2852</v>
      </c>
      <c r="B2913" s="138">
        <f>'Assets-Liab 5-6'!I41</f>
        <v>2242822</v>
      </c>
      <c r="C2913" s="2" t="s">
        <v>573</v>
      </c>
      <c r="D2913" s="2" t="str">
        <f t="shared" si="44"/>
        <v>Error?</v>
      </c>
    </row>
    <row r="2914" spans="1:4" x14ac:dyDescent="0.2">
      <c r="A2914" s="5">
        <v>2853</v>
      </c>
      <c r="B2914" s="138">
        <f>'Assets-Liab 5-6'!L33</f>
        <v>149638</v>
      </c>
      <c r="D2914" s="2" t="str">
        <f t="shared" si="44"/>
        <v>Error?</v>
      </c>
    </row>
    <row r="2915" spans="1:4" x14ac:dyDescent="0.2">
      <c r="A2915" s="10">
        <v>2854</v>
      </c>
      <c r="D2915" s="2" t="str">
        <f t="shared" si="44"/>
        <v>OK</v>
      </c>
    </row>
    <row r="2916" spans="1:4" x14ac:dyDescent="0.2">
      <c r="A2916" s="5">
        <v>2855</v>
      </c>
      <c r="B2916" s="138">
        <f>'Assets-Liab 5-6'!L34</f>
        <v>149638</v>
      </c>
      <c r="C2916" s="2" t="s">
        <v>573</v>
      </c>
      <c r="D2916" s="2" t="str">
        <f t="shared" si="44"/>
        <v>Error?</v>
      </c>
    </row>
    <row r="2917" spans="1:4" x14ac:dyDescent="0.2">
      <c r="A2917" s="5">
        <v>2856</v>
      </c>
      <c r="B2917" s="138">
        <f>'Assets-Liab 5-6'!L41</f>
        <v>149638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847512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847512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606548</v>
      </c>
      <c r="D3055" s="2" t="str">
        <f t="shared" si="46"/>
        <v>Error?</v>
      </c>
    </row>
    <row r="3056" spans="1:4" x14ac:dyDescent="0.2">
      <c r="A3056" s="5">
        <v>2995</v>
      </c>
      <c r="B3056" s="138">
        <f>'Expenditures 15-22'!D10</f>
        <v>176887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783435</v>
      </c>
      <c r="C3062" s="2" t="s">
        <v>573</v>
      </c>
      <c r="D3062" s="2" t="str">
        <f t="shared" si="46"/>
        <v>Error?</v>
      </c>
    </row>
    <row r="3063" spans="1:4" x14ac:dyDescent="0.2">
      <c r="A3063" s="10">
        <v>3002</v>
      </c>
      <c r="D3063" s="2" t="str">
        <f t="shared" si="46"/>
        <v>OK</v>
      </c>
    </row>
    <row r="3064" spans="1:4" x14ac:dyDescent="0.2">
      <c r="A3064" s="5">
        <v>3003</v>
      </c>
      <c r="B3064" s="138">
        <f>'Expenditures 15-22'!D219</f>
        <v>8422</v>
      </c>
      <c r="D3064" s="2" t="str">
        <f t="shared" si="46"/>
        <v>Error?</v>
      </c>
    </row>
    <row r="3065" spans="1:4" x14ac:dyDescent="0.2">
      <c r="A3065" s="5">
        <v>3004</v>
      </c>
      <c r="B3065" s="138">
        <f>'Expenditures 15-22'!K219</f>
        <v>8422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175282</v>
      </c>
      <c r="C3225" s="2" t="s">
        <v>573</v>
      </c>
      <c r="D3225" s="2" t="str">
        <f t="shared" si="49"/>
        <v>Error?</v>
      </c>
    </row>
    <row r="3226" spans="1:4" x14ac:dyDescent="0.2">
      <c r="A3226" s="5">
        <v>3165</v>
      </c>
      <c r="B3226" s="138">
        <f>'Acct Summary 7-8'!I8</f>
        <v>175282</v>
      </c>
      <c r="C3226" s="2" t="s">
        <v>573</v>
      </c>
      <c r="D3226" s="2" t="str">
        <f t="shared" si="49"/>
        <v>Error?</v>
      </c>
    </row>
    <row r="3227" spans="1:4" x14ac:dyDescent="0.2">
      <c r="A3227" s="5">
        <v>3166</v>
      </c>
      <c r="B3227" s="138">
        <f>'Acct Summary 7-8'!I20</f>
        <v>175282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-988676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732233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566530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126909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-301885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-4849690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175282</v>
      </c>
      <c r="C3320" s="2" t="s">
        <v>573</v>
      </c>
      <c r="D3320" s="2" t="str">
        <f t="shared" si="50"/>
        <v>Error?</v>
      </c>
    </row>
    <row r="3321" spans="1:4" x14ac:dyDescent="0.2">
      <c r="A3321" s="5">
        <v>3260</v>
      </c>
      <c r="B3321" s="138">
        <f>'Acct Summary 7-8'!I79</f>
        <v>2067540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2242822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1912815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383154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5479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37254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2338702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210805</v>
      </c>
      <c r="D3387" s="2" t="str">
        <f t="shared" si="51"/>
        <v>Error?</v>
      </c>
    </row>
    <row r="3388" spans="1:4" x14ac:dyDescent="0.2">
      <c r="A3388" s="5">
        <v>3327</v>
      </c>
      <c r="B3388" s="138">
        <f>'Expenditures 15-22'!D217</f>
        <v>122274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210805</v>
      </c>
      <c r="C3390" s="2" t="s">
        <v>573</v>
      </c>
      <c r="D3390" s="2" t="str">
        <f t="shared" si="51"/>
        <v>Error?</v>
      </c>
    </row>
    <row r="3391" spans="1:4" x14ac:dyDescent="0.2">
      <c r="A3391" s="5">
        <v>3330</v>
      </c>
      <c r="B3391" s="138">
        <f>'Expenditures 15-22'!K217</f>
        <v>122274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21255407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6809310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4133737</v>
      </c>
      <c r="D3417" s="2" t="str">
        <f t="shared" si="52"/>
        <v>Error?</v>
      </c>
    </row>
    <row r="3418" spans="1:4" x14ac:dyDescent="0.2">
      <c r="A3418" s="10">
        <v>3357</v>
      </c>
      <c r="D3418" s="2" t="str">
        <f t="shared" si="52"/>
        <v>OK</v>
      </c>
    </row>
    <row r="3419" spans="1:4" x14ac:dyDescent="0.2">
      <c r="A3419" s="5">
        <v>3358</v>
      </c>
      <c r="B3419" s="138">
        <f>'Assets-Liab 5-6'!F4</f>
        <v>3420897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1425893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2348802</v>
      </c>
      <c r="D3425" s="2" t="str">
        <f t="shared" si="52"/>
        <v>Error?</v>
      </c>
    </row>
    <row r="3426" spans="1:4" x14ac:dyDescent="0.2">
      <c r="A3426" s="10">
        <v>3365</v>
      </c>
      <c r="D3426" s="2" t="str">
        <f t="shared" si="52"/>
        <v>OK</v>
      </c>
    </row>
    <row r="3427" spans="1:4" x14ac:dyDescent="0.2">
      <c r="A3427" s="5">
        <v>3366</v>
      </c>
      <c r="B3427" s="138">
        <f>'Assets-Liab 5-6'!I4</f>
        <v>2242822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149638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834312</v>
      </c>
      <c r="C3446" s="2" t="s">
        <v>573</v>
      </c>
      <c r="D3446" s="2" t="str">
        <f t="shared" si="52"/>
        <v>Error?</v>
      </c>
    </row>
    <row r="3447" spans="1:4" x14ac:dyDescent="0.2">
      <c r="A3447" s="5">
        <v>3386</v>
      </c>
      <c r="B3447" s="138">
        <f>'Tax Sched 23'!D16</f>
        <v>461809</v>
      </c>
      <c r="C3447" s="2" t="s">
        <v>573</v>
      </c>
      <c r="D3447" s="2" t="str">
        <f t="shared" si="52"/>
        <v>Error?</v>
      </c>
    </row>
    <row r="3448" spans="1:4" x14ac:dyDescent="0.2">
      <c r="A3448" s="5">
        <v>3387</v>
      </c>
      <c r="B3448" s="138">
        <f>'Tax Sched 23'!C16</f>
        <v>372503</v>
      </c>
      <c r="D3448" s="2" t="str">
        <f t="shared" si="52"/>
        <v>Error?</v>
      </c>
    </row>
    <row r="3449" spans="1:4" x14ac:dyDescent="0.2">
      <c r="A3449" s="5">
        <v>3388</v>
      </c>
      <c r="B3449" s="138">
        <f>'Tax Sched 23'!F16</f>
        <v>495579</v>
      </c>
      <c r="C3449" s="2" t="s">
        <v>573</v>
      </c>
      <c r="D3449" s="2" t="str">
        <f t="shared" si="52"/>
        <v>Error?</v>
      </c>
    </row>
    <row r="3450" spans="1:4" x14ac:dyDescent="0.2">
      <c r="A3450" s="5">
        <v>3389</v>
      </c>
      <c r="B3450" s="138">
        <f>'Tax Sched 23'!E16</f>
        <v>868082</v>
      </c>
      <c r="D3450" s="2" t="str">
        <f t="shared" si="52"/>
        <v>Error?</v>
      </c>
    </row>
    <row r="3451" spans="1:4" x14ac:dyDescent="0.2">
      <c r="A3451" s="5">
        <v>3390</v>
      </c>
      <c r="B3451" s="138">
        <f>'Cap Outlay Deprec 26'!C15</f>
        <v>23474639</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23107571</v>
      </c>
      <c r="D3453" s="2" t="str">
        <f t="shared" si="52"/>
        <v>Error?</v>
      </c>
    </row>
    <row r="3454" spans="1:4" x14ac:dyDescent="0.2">
      <c r="A3454" s="5">
        <v>3393</v>
      </c>
      <c r="B3454" s="138">
        <f>'Cap Outlay Deprec 26'!F15</f>
        <v>367068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367068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233175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16492210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56785611</v>
      </c>
      <c r="C4122" s="2" t="s">
        <v>573</v>
      </c>
      <c r="D4122" s="2" t="str">
        <f t="shared" si="63"/>
        <v>Error?</v>
      </c>
    </row>
    <row r="4123" spans="1:4" x14ac:dyDescent="0.2">
      <c r="A4123" s="5">
        <v>4062</v>
      </c>
      <c r="B4123" s="138">
        <f>'Acct Summary 7-8'!D10</f>
        <v>5738481</v>
      </c>
      <c r="C4123" s="2" t="s">
        <v>573</v>
      </c>
      <c r="D4123" s="2" t="str">
        <f t="shared" si="63"/>
        <v>Error?</v>
      </c>
    </row>
    <row r="4124" spans="1:4" x14ac:dyDescent="0.2">
      <c r="A4124" s="5">
        <v>4063</v>
      </c>
      <c r="B4124" s="138">
        <f>'Acct Summary 7-8'!E10</f>
        <v>7018531</v>
      </c>
      <c r="C4124" s="2" t="s">
        <v>573</v>
      </c>
      <c r="D4124" s="2" t="str">
        <f t="shared" si="63"/>
        <v>Error?</v>
      </c>
    </row>
    <row r="4125" spans="1:4" x14ac:dyDescent="0.2">
      <c r="A4125" s="5">
        <v>4064</v>
      </c>
      <c r="B4125" s="138">
        <f>'Acct Summary 7-8'!F10</f>
        <v>3941916</v>
      </c>
      <c r="C4125" s="2" t="s">
        <v>573</v>
      </c>
      <c r="D4125" s="2" t="str">
        <f t="shared" si="63"/>
        <v>Error?</v>
      </c>
    </row>
    <row r="4126" spans="1:4" x14ac:dyDescent="0.2">
      <c r="A4126" s="5">
        <v>4065</v>
      </c>
      <c r="B4126" s="138">
        <f>'Acct Summary 7-8'!G10</f>
        <v>1714683</v>
      </c>
      <c r="C4126" s="2" t="s">
        <v>573</v>
      </c>
      <c r="D4126" s="2" t="str">
        <f t="shared" si="63"/>
        <v>Error?</v>
      </c>
    </row>
    <row r="4127" spans="1:4" x14ac:dyDescent="0.2">
      <c r="A4127" s="5">
        <v>4066</v>
      </c>
      <c r="B4127" s="138">
        <f>'Acct Summary 7-8'!H10</f>
        <v>367544</v>
      </c>
      <c r="C4127" s="2" t="s">
        <v>573</v>
      </c>
      <c r="D4127" s="2" t="str">
        <f t="shared" si="63"/>
        <v>Error?</v>
      </c>
    </row>
    <row r="4128" spans="1:4" x14ac:dyDescent="0.2">
      <c r="A4128" s="5">
        <v>4067</v>
      </c>
      <c r="B4128" s="138">
        <f>'Acct Summary 7-8'!I10</f>
        <v>175282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16492210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57774287</v>
      </c>
      <c r="C4136" s="2" t="s">
        <v>573</v>
      </c>
      <c r="D4136" s="2" t="str">
        <f t="shared" si="63"/>
        <v>Error?</v>
      </c>
    </row>
    <row r="4137" spans="1:4" x14ac:dyDescent="0.2">
      <c r="A4137" s="5">
        <v>4076</v>
      </c>
      <c r="B4137" s="138">
        <f>'Acct Summary 7-8'!D19</f>
        <v>5006248</v>
      </c>
      <c r="C4137" s="2" t="s">
        <v>573</v>
      </c>
      <c r="D4137" s="2" t="str">
        <f t="shared" si="63"/>
        <v>Error?</v>
      </c>
    </row>
    <row r="4138" spans="1:4" x14ac:dyDescent="0.2">
      <c r="A4138" s="5">
        <v>4077</v>
      </c>
      <c r="B4138" s="138">
        <f>'Acct Summary 7-8'!E19</f>
        <v>7320416</v>
      </c>
      <c r="C4138" s="2" t="s">
        <v>573</v>
      </c>
      <c r="D4138" s="2" t="str">
        <f t="shared" si="63"/>
        <v>Error?</v>
      </c>
    </row>
    <row r="4139" spans="1:4" x14ac:dyDescent="0.2">
      <c r="A4139" s="5">
        <v>4078</v>
      </c>
      <c r="B4139" s="138">
        <f>'Acct Summary 7-8'!F19</f>
        <v>3375386</v>
      </c>
      <c r="C4139" s="2" t="s">
        <v>573</v>
      </c>
      <c r="D4139" s="2" t="str">
        <f t="shared" si="63"/>
        <v>Error?</v>
      </c>
    </row>
    <row r="4140" spans="1:4" x14ac:dyDescent="0.2">
      <c r="A4140" s="5">
        <v>4079</v>
      </c>
      <c r="B4140" s="138">
        <f>'Acct Summary 7-8'!G19</f>
        <v>1587774</v>
      </c>
      <c r="C4140" s="2" t="s">
        <v>573</v>
      </c>
      <c r="D4140" s="2" t="str">
        <f t="shared" si="63"/>
        <v>Error?</v>
      </c>
    </row>
    <row r="4141" spans="1:4" x14ac:dyDescent="0.2">
      <c r="A4141" s="5">
        <v>4080</v>
      </c>
      <c r="B4141" s="138">
        <f>'Acct Summary 7-8'!H19</f>
        <v>5217234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45808189</v>
      </c>
      <c r="C4171" s="2" t="s">
        <v>573</v>
      </c>
      <c r="D4171" s="2" t="str">
        <f t="shared" si="64"/>
        <v>Error?</v>
      </c>
    </row>
    <row r="4172" spans="1:4" x14ac:dyDescent="0.2">
      <c r="A4172" s="5">
        <v>4111</v>
      </c>
      <c r="B4172" s="138">
        <f>'Short-Term Long-Term Debt 24'!J49</f>
        <v>41674452</v>
      </c>
      <c r="C4172" s="2" t="s">
        <v>573</v>
      </c>
      <c r="D4172" s="2" t="str">
        <f t="shared" si="64"/>
        <v>Error?</v>
      </c>
    </row>
    <row r="4173" spans="1:4" x14ac:dyDescent="0.2">
      <c r="A4173" s="5">
        <v>4112</v>
      </c>
      <c r="B4173" s="138">
        <f>'Short-Term Long-Term Debt 24'!H49</f>
        <v>2982710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3676.1219999999998</v>
      </c>
      <c r="C4265" s="2" t="s">
        <v>573</v>
      </c>
      <c r="D4265" s="2" t="str">
        <f t="shared" si="65"/>
        <v>Error?</v>
      </c>
      <c r="E4265" s="128"/>
    </row>
    <row r="4266" spans="1:5" x14ac:dyDescent="0.2">
      <c r="A4266" s="12">
        <v>4205</v>
      </c>
      <c r="B4266" s="138">
        <f>('FP Info 3'!F10)*100000</f>
        <v>646.351</v>
      </c>
      <c r="C4266" s="2" t="s">
        <v>573</v>
      </c>
      <c r="D4266" s="2" t="str">
        <f t="shared" si="65"/>
        <v>Error?</v>
      </c>
      <c r="E4266" s="128"/>
    </row>
    <row r="4267" spans="1:5" x14ac:dyDescent="0.2">
      <c r="A4267" s="12">
        <v>4206</v>
      </c>
      <c r="B4267" s="138">
        <f>('FP Info 3'!H10)*100000</f>
        <v>323.17600000000004</v>
      </c>
      <c r="C4267" s="2" t="s">
        <v>573</v>
      </c>
      <c r="D4267" s="2" t="str">
        <f t="shared" si="65"/>
        <v>Error?</v>
      </c>
      <c r="E4267" s="128"/>
    </row>
    <row r="4268" spans="1:5" x14ac:dyDescent="0.2">
      <c r="A4268" s="12">
        <v>4207</v>
      </c>
      <c r="B4268" s="138">
        <f>('FP Info 3'!J10)*100000</f>
        <v>4646</v>
      </c>
      <c r="C4268" s="2" t="s">
        <v>573</v>
      </c>
      <c r="D4268" s="2" t="str">
        <f t="shared" si="65"/>
        <v>Error?</v>
      </c>
    </row>
    <row r="4269" spans="1:5" x14ac:dyDescent="0.2">
      <c r="A4269" s="12">
        <v>4208</v>
      </c>
      <c r="B4269" s="138">
        <f>'FP Info 3'!J16</f>
        <v>33633570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77377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76496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25092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43556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20.198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123485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75405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736761207</v>
      </c>
      <c r="D4995" s="2" t="str">
        <f t="shared" si="77"/>
        <v>Error?</v>
      </c>
    </row>
    <row r="4996" spans="1:4" x14ac:dyDescent="0.2">
      <c r="A4996" s="12">
        <v>4935</v>
      </c>
      <c r="B4996" s="138">
        <f>'FP Info 3'!H31</f>
        <v>101673046.56600001</v>
      </c>
      <c r="D4996" s="2" t="str">
        <f t="shared" si="77"/>
        <v>Error?</v>
      </c>
    </row>
    <row r="4997" spans="1:4" x14ac:dyDescent="0.2">
      <c r="A4997" s="12">
        <v>4936</v>
      </c>
      <c r="B4997" s="138">
        <f>'FP Info 3'!H37</f>
        <v>45808189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24479703</v>
      </c>
      <c r="D5061" s="2" t="str">
        <f t="shared" si="78"/>
        <v>Error?</v>
      </c>
    </row>
    <row r="5062" spans="1:4" x14ac:dyDescent="0.2">
      <c r="A5062" s="10">
        <v>5001</v>
      </c>
      <c r="D5062" s="2" t="str">
        <f t="shared" si="78"/>
        <v>OK</v>
      </c>
    </row>
    <row r="5063" spans="1:4" x14ac:dyDescent="0.2">
      <c r="A5063" s="5">
        <v>5002</v>
      </c>
      <c r="B5063" s="138">
        <f>'Revenues 9-14'!C7</f>
        <v>4939111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29418814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331244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331244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19963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947160</v>
      </c>
      <c r="C5096" s="2" t="s">
        <v>573</v>
      </c>
      <c r="D5096" s="2" t="str">
        <f t="shared" si="78"/>
        <v>Error?</v>
      </c>
    </row>
    <row r="5097" spans="1:4" x14ac:dyDescent="0.2">
      <c r="A5097" s="5">
        <v>5036</v>
      </c>
      <c r="B5097" s="138">
        <f>'Revenues 9-14'!C77</f>
        <v>31743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310070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341813</v>
      </c>
      <c r="C5102" s="2" t="s">
        <v>573</v>
      </c>
      <c r="D5102" s="2" t="str">
        <f t="shared" si="78"/>
        <v>Error?</v>
      </c>
    </row>
    <row r="5103" spans="1:4" x14ac:dyDescent="0.2">
      <c r="A5103" s="5">
        <v>5042</v>
      </c>
      <c r="B5103" s="138">
        <f>'Revenues 9-14'!C84</f>
        <v>726332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328830</v>
      </c>
      <c r="D5111" s="2" t="str">
        <f t="shared" si="78"/>
        <v>Error?</v>
      </c>
    </row>
    <row r="5112" spans="1:4" x14ac:dyDescent="0.2">
      <c r="A5112" s="5">
        <v>5051</v>
      </c>
      <c r="B5112" s="138">
        <f>'Revenues 9-14'!C93</f>
        <v>1055162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90499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24620</v>
      </c>
      <c r="D5119" s="2" t="str">
        <f t="shared" ref="D5119:D5182" si="79">IF(ISBLANK(B5119),"OK",IF(A5119-B5119=0,"OK","Error?"))</f>
        <v>Error?</v>
      </c>
    </row>
    <row r="5120" spans="1:4" x14ac:dyDescent="0.2">
      <c r="A5120" s="5">
        <v>5059</v>
      </c>
      <c r="B5120" s="138">
        <f>'Revenues 9-14'!C108</f>
        <v>335070</v>
      </c>
      <c r="C5120" s="2" t="s">
        <v>573</v>
      </c>
      <c r="D5120" s="2" t="str">
        <f t="shared" si="79"/>
        <v>Error?</v>
      </c>
    </row>
    <row r="5121" spans="1:4" x14ac:dyDescent="0.2">
      <c r="A5121" s="5">
        <v>5060</v>
      </c>
      <c r="B5121" s="138">
        <f>'Revenues 9-14'!C109</f>
        <v>32429263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6069419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6069419</v>
      </c>
      <c r="C5132" s="2" t="s">
        <v>573</v>
      </c>
      <c r="D5132" s="2" t="str">
        <f t="shared" si="79"/>
        <v>Error?</v>
      </c>
    </row>
    <row r="5133" spans="1:4" x14ac:dyDescent="0.2">
      <c r="A5133" s="5">
        <v>5072</v>
      </c>
      <c r="B5133" s="138">
        <f>'Revenues 9-14'!C125</f>
        <v>328717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8033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336750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42518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67507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2652</v>
      </c>
      <c r="D5167" s="2" t="str">
        <f t="shared" si="79"/>
        <v>Error?</v>
      </c>
    </row>
    <row r="5168" spans="1:4" x14ac:dyDescent="0.2">
      <c r="A5168" s="5">
        <v>5107</v>
      </c>
      <c r="B5168" s="138">
        <f>'Revenues 9-14'!C148</f>
        <v>46810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529124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6598543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233175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233175</v>
      </c>
      <c r="C5246" s="2" t="s">
        <v>573</v>
      </c>
      <c r="D5246" s="2" t="str">
        <f t="shared" si="80"/>
        <v>Error?</v>
      </c>
    </row>
    <row r="5247" spans="1:4" x14ac:dyDescent="0.2">
      <c r="A5247" s="5">
        <v>5186</v>
      </c>
      <c r="B5247" s="138">
        <f>'Revenues 9-14'!C200</f>
        <v>343865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343865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5837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401493</v>
      </c>
      <c r="D5278" s="2" t="str">
        <f t="shared" si="81"/>
        <v>Error?</v>
      </c>
    </row>
    <row r="5279" spans="1:4" x14ac:dyDescent="0.2">
      <c r="A5279" s="5">
        <v>5218</v>
      </c>
      <c r="B5279" s="138">
        <f>'Revenues 9-14'!C214</f>
        <v>12690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420020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46014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46014</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1265595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1265595</v>
      </c>
      <c r="C5326" s="2" t="s">
        <v>573</v>
      </c>
      <c r="D5326" s="2" t="str">
        <f t="shared" si="82"/>
        <v>Error?</v>
      </c>
    </row>
    <row r="5327" spans="1:5" x14ac:dyDescent="0.2">
      <c r="A5327" s="5">
        <v>5266</v>
      </c>
      <c r="B5327" s="138">
        <f>'Revenues 9-14'!C268</f>
        <v>40293401</v>
      </c>
      <c r="C5327" s="2" t="s">
        <v>573</v>
      </c>
      <c r="D5327" s="2" t="str">
        <f t="shared" si="82"/>
        <v>Error?</v>
      </c>
    </row>
    <row r="5328" spans="1:5" x14ac:dyDescent="0.2">
      <c r="A5328" s="5">
        <v>5267</v>
      </c>
      <c r="B5328" s="138">
        <f>'Revenues 9-14'!D5</f>
        <v>4315990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4315990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112338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112338</v>
      </c>
      <c r="C5339" s="2" t="s">
        <v>573</v>
      </c>
      <c r="D5339" s="2" t="str">
        <f t="shared" si="82"/>
        <v>Error?</v>
      </c>
    </row>
    <row r="5340" spans="1:4" x14ac:dyDescent="0.2">
      <c r="A5340" s="5">
        <v>5279</v>
      </c>
      <c r="B5340" s="138">
        <f>'Revenues 9-14'!D65</f>
        <v>134125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134125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25025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25025</v>
      </c>
      <c r="C5348" s="2" t="s">
        <v>573</v>
      </c>
      <c r="D5348" s="2" t="str">
        <f t="shared" si="82"/>
        <v>Error?</v>
      </c>
    </row>
    <row r="5349" spans="1:4" x14ac:dyDescent="0.2">
      <c r="A5349" s="5">
        <v>5288</v>
      </c>
      <c r="B5349" s="138">
        <f>'Revenues 9-14'!D95</f>
        <v>87463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346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81194</v>
      </c>
      <c r="D5354" s="2" t="str">
        <f t="shared" si="82"/>
        <v>Error?</v>
      </c>
    </row>
    <row r="5355" spans="1:4" x14ac:dyDescent="0.2">
      <c r="A5355" s="5">
        <v>5294</v>
      </c>
      <c r="B5355" s="138">
        <f>'Revenues 9-14'!D108</f>
        <v>169003</v>
      </c>
      <c r="C5355" s="2" t="s">
        <v>573</v>
      </c>
      <c r="D5355" s="2" t="str">
        <f t="shared" si="82"/>
        <v>Error?</v>
      </c>
    </row>
    <row r="5356" spans="1:4" x14ac:dyDescent="0.2">
      <c r="A5356" s="5">
        <v>5295</v>
      </c>
      <c r="B5356" s="138">
        <f>'Revenues 9-14'!D109</f>
        <v>4756481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982000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982000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982000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5738481</v>
      </c>
      <c r="C5508" s="2" t="s">
        <v>573</v>
      </c>
      <c r="D5508" s="2" t="str">
        <f t="shared" si="85"/>
        <v>Error?</v>
      </c>
    </row>
    <row r="5509" spans="1:4" x14ac:dyDescent="0.2">
      <c r="A5509" s="5">
        <v>5448</v>
      </c>
      <c r="B5509" s="138">
        <f>'Revenues 9-14'!E5</f>
        <v>6445056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6445056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47743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47743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525732</v>
      </c>
      <c r="C5526" s="2" t="s">
        <v>573</v>
      </c>
      <c r="D5526" s="2" t="str">
        <f t="shared" si="85"/>
        <v>Error?</v>
      </c>
    </row>
    <row r="5527" spans="1:4" x14ac:dyDescent="0.2">
      <c r="A5527" s="5">
        <v>5466</v>
      </c>
      <c r="B5527" s="138">
        <f>'Revenues 9-14'!E109</f>
        <v>7018531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7018531</v>
      </c>
      <c r="C5552" s="2" t="s">
        <v>573</v>
      </c>
      <c r="D5552" s="2" t="str">
        <f t="shared" si="85"/>
        <v>Error?</v>
      </c>
    </row>
    <row r="5553" spans="1:4" x14ac:dyDescent="0.2">
      <c r="A5553" s="5">
        <v>5492</v>
      </c>
      <c r="B5553" s="138">
        <f>'Revenues 9-14'!F5</f>
        <v>2018236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2018236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5329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5329</v>
      </c>
      <c r="C5579" s="2" t="s">
        <v>573</v>
      </c>
      <c r="D5579" s="2" t="str">
        <f t="shared" si="86"/>
        <v>Error?</v>
      </c>
    </row>
    <row r="5580" spans="1:4" x14ac:dyDescent="0.2">
      <c r="A5580" s="5">
        <v>5519</v>
      </c>
      <c r="B5580" s="138">
        <f>'Revenues 9-14'!F65</f>
        <v>42126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42126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1549</v>
      </c>
      <c r="D5585" s="2" t="str">
        <f t="shared" si="86"/>
        <v>Error?</v>
      </c>
    </row>
    <row r="5586" spans="1:4" x14ac:dyDescent="0.2">
      <c r="A5586" s="5">
        <v>5525</v>
      </c>
      <c r="B5586" s="138">
        <f>'Revenues 9-14'!F107</f>
        <v>12136</v>
      </c>
      <c r="D5586" s="2" t="str">
        <f t="shared" si="86"/>
        <v>Error?</v>
      </c>
    </row>
    <row r="5587" spans="1:4" x14ac:dyDescent="0.2">
      <c r="A5587" s="5">
        <v>5526</v>
      </c>
      <c r="B5587" s="138">
        <f>'Revenues 9-14'!F108</f>
        <v>13685</v>
      </c>
      <c r="C5587" s="2" t="s">
        <v>573</v>
      </c>
      <c r="D5587" s="2" t="str">
        <f t="shared" si="86"/>
        <v>Error?</v>
      </c>
    </row>
    <row r="5588" spans="1:4" x14ac:dyDescent="0.2">
      <c r="A5588" s="5">
        <v>5527</v>
      </c>
      <c r="B5588" s="138">
        <f>'Revenues 9-14'!F109</f>
        <v>2079376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1071971</v>
      </c>
      <c r="D5615" s="2" t="str">
        <f t="shared" si="86"/>
        <v>Error?</v>
      </c>
    </row>
    <row r="5616" spans="1:4" x14ac:dyDescent="0.2">
      <c r="A5616" s="10">
        <v>5555</v>
      </c>
      <c r="D5616" s="2" t="str">
        <f t="shared" si="86"/>
        <v>OK</v>
      </c>
    </row>
    <row r="5617" spans="1:5" x14ac:dyDescent="0.2">
      <c r="A5617" s="5">
        <v>5556</v>
      </c>
      <c r="B5617" s="138">
        <f>'Revenues 9-14'!F153</f>
        <v>790569</v>
      </c>
      <c r="D5617" s="2" t="str">
        <f t="shared" si="86"/>
        <v>Error?</v>
      </c>
    </row>
    <row r="5618" spans="1:5" x14ac:dyDescent="0.2">
      <c r="A5618" s="5">
        <v>5557</v>
      </c>
      <c r="B5618" s="138">
        <f>'Revenues 9-14'!F155</f>
        <v>1862540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1862540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1862540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3941916</v>
      </c>
      <c r="C5720" s="2" t="s">
        <v>573</v>
      </c>
      <c r="D5720" s="2" t="str">
        <f t="shared" si="88"/>
        <v>Error?</v>
      </c>
    </row>
    <row r="5721" spans="1:4" x14ac:dyDescent="0.2">
      <c r="A5721" s="5">
        <v>5660</v>
      </c>
      <c r="B5721" s="138">
        <f>'Revenues 9-14'!G5</f>
        <v>834312</v>
      </c>
      <c r="D5721" s="2" t="str">
        <f t="shared" si="88"/>
        <v>Error?</v>
      </c>
    </row>
    <row r="5722" spans="1:4" x14ac:dyDescent="0.2">
      <c r="A5722" s="5">
        <v>5661</v>
      </c>
      <c r="B5722" s="138">
        <f>'Revenues 9-14'!G7</f>
        <v>0</v>
      </c>
      <c r="D5722" s="2" t="str">
        <f t="shared" si="88"/>
        <v>Error?</v>
      </c>
    </row>
    <row r="5723" spans="1:4" x14ac:dyDescent="0.2">
      <c r="A5723" s="5">
        <v>5662</v>
      </c>
      <c r="B5723" s="138">
        <f>'Revenues 9-14'!G8</f>
        <v>834312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1668624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21028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21028</v>
      </c>
      <c r="C5730" s="2" t="s">
        <v>573</v>
      </c>
      <c r="D5730" s="2" t="str">
        <f t="shared" si="88"/>
        <v>Error?</v>
      </c>
    </row>
    <row r="5731" spans="1:4" x14ac:dyDescent="0.2">
      <c r="A5731" s="5">
        <v>5670</v>
      </c>
      <c r="B5731" s="138">
        <f>'Revenues 9-14'!G65</f>
        <v>25031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25031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1714683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199555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199555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167989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367544</v>
      </c>
      <c r="C5915" s="2" t="s">
        <v>573</v>
      </c>
      <c r="D5915" s="2" t="str">
        <f t="shared" si="91"/>
        <v>Error?</v>
      </c>
    </row>
    <row r="5916" spans="1:4" x14ac:dyDescent="0.2">
      <c r="A5916" s="5">
        <v>5855</v>
      </c>
      <c r="B5916" s="138">
        <f>'Revenues 9-14'!I5</f>
        <v>136787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136787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38495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38495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175282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1714683</v>
      </c>
      <c r="C6024" s="2" t="s">
        <v>573</v>
      </c>
      <c r="D6024" s="2" t="str">
        <f t="shared" si="93"/>
        <v>Error?</v>
      </c>
    </row>
    <row r="6025" spans="1:5" x14ac:dyDescent="0.2">
      <c r="A6025" s="5">
        <v>5964</v>
      </c>
      <c r="B6025" s="138">
        <f>'Revenues 9-14'!H109</f>
        <v>367544</v>
      </c>
      <c r="C6025" s="2" t="s">
        <v>573</v>
      </c>
      <c r="D6025" s="2" t="str">
        <f t="shared" si="93"/>
        <v>Error?</v>
      </c>
    </row>
    <row r="6026" spans="1:5" x14ac:dyDescent="0.2">
      <c r="A6026" s="5">
        <v>5965</v>
      </c>
      <c r="B6026" s="138">
        <f>'Revenues 9-14'!I109</f>
        <v>175282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927197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70688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4032.2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386649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386649</v>
      </c>
      <c r="D6215" s="2" t="str">
        <f t="shared" si="96"/>
        <v>Error?</v>
      </c>
      <c r="E6215" s="2" t="s">
        <v>190</v>
      </c>
    </row>
    <row r="6216" spans="1:5" x14ac:dyDescent="0.2">
      <c r="A6216">
        <v>6155</v>
      </c>
      <c r="B6216" s="138">
        <f>'Assets-Liab 5-6'!J41</f>
        <v>386649</v>
      </c>
      <c r="D6216" s="2" t="str">
        <f t="shared" si="96"/>
        <v>Error?</v>
      </c>
      <c r="E6216" s="2" t="s">
        <v>190</v>
      </c>
    </row>
    <row r="6217" spans="1:5" x14ac:dyDescent="0.2">
      <c r="A6217">
        <v>6156</v>
      </c>
      <c r="B6217" s="138">
        <f>'Assets-Liab 5-6'!J4</f>
        <v>386649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508455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508455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508455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697785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697785</v>
      </c>
      <c r="D6229" s="2" t="str">
        <f t="shared" si="96"/>
        <v>Error?</v>
      </c>
      <c r="E6229" s="2" t="s">
        <v>190</v>
      </c>
    </row>
    <row r="6230" spans="1:5" x14ac:dyDescent="0.2">
      <c r="A6230">
        <v>6169</v>
      </c>
      <c r="B6230" s="138">
        <f>'Acct Summary 7-8'!J20</f>
        <v>-189330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-189330</v>
      </c>
      <c r="D6263" s="2" t="str">
        <f t="shared" si="96"/>
        <v>Error?</v>
      </c>
      <c r="E6263" s="2" t="s">
        <v>190</v>
      </c>
    </row>
    <row r="6264" spans="1:5" x14ac:dyDescent="0.2">
      <c r="A6264">
        <v>6203</v>
      </c>
      <c r="B6264" s="138">
        <f>'Acct Summary 7-8'!J79</f>
        <v>575979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386649</v>
      </c>
      <c r="D6266" s="2" t="str">
        <f t="shared" si="96"/>
        <v>Error?</v>
      </c>
      <c r="E6266" s="2" t="s">
        <v>190</v>
      </c>
    </row>
    <row r="6267" spans="1:5" x14ac:dyDescent="0.2">
      <c r="A6267">
        <v>6206</v>
      </c>
      <c r="B6267" s="138">
        <f>'Acct Summary 7-8'!C82</f>
        <v>-988676</v>
      </c>
      <c r="D6267" s="2" t="str">
        <f t="shared" si="96"/>
        <v>Error?</v>
      </c>
      <c r="E6267" s="2" t="s">
        <v>190</v>
      </c>
    </row>
    <row r="6268" spans="1:5" x14ac:dyDescent="0.2">
      <c r="A6268">
        <v>6207</v>
      </c>
      <c r="B6268" s="138">
        <f>'Acct Summary 7-8'!D82</f>
        <v>732233</v>
      </c>
      <c r="D6268" s="2" t="str">
        <f t="shared" si="96"/>
        <v>Error?</v>
      </c>
      <c r="E6268" s="2" t="s">
        <v>190</v>
      </c>
    </row>
    <row r="6269" spans="1:5" x14ac:dyDescent="0.2">
      <c r="A6269">
        <v>6208</v>
      </c>
      <c r="B6269" s="138">
        <f>'Acct Summary 7-8'!E82</f>
        <v>-301885</v>
      </c>
      <c r="D6269" s="2" t="str">
        <f t="shared" si="96"/>
        <v>Error?</v>
      </c>
      <c r="E6269" s="2" t="s">
        <v>190</v>
      </c>
    </row>
    <row r="6270" spans="1:5" x14ac:dyDescent="0.2">
      <c r="A6270">
        <v>6209</v>
      </c>
      <c r="B6270" s="138">
        <f>'Acct Summary 7-8'!F82</f>
        <v>566530</v>
      </c>
      <c r="D6270" s="2" t="str">
        <f t="shared" si="96"/>
        <v>Error?</v>
      </c>
      <c r="E6270" s="2" t="s">
        <v>190</v>
      </c>
    </row>
    <row r="6271" spans="1:5" x14ac:dyDescent="0.2">
      <c r="A6271">
        <v>6210</v>
      </c>
      <c r="B6271" s="138">
        <f>'Acct Summary 7-8'!G82</f>
        <v>126909</v>
      </c>
      <c r="D6271" s="2" t="str">
        <f t="shared" ref="D6271:D6334" si="97">IF(ISBLANK(B6271),"OK",IF(A6271-B6271=0,"OK","Error?"))</f>
        <v>Error?</v>
      </c>
      <c r="E6271" s="2" t="s">
        <v>190</v>
      </c>
    </row>
    <row r="6272" spans="1:5" x14ac:dyDescent="0.2">
      <c r="A6272">
        <v>6211</v>
      </c>
      <c r="B6272" s="138">
        <f>'Acct Summary 7-8'!H82</f>
        <v>-4849690</v>
      </c>
      <c r="D6272" s="2" t="str">
        <f t="shared" si="97"/>
        <v>Error?</v>
      </c>
      <c r="E6272" s="2" t="s">
        <v>190</v>
      </c>
    </row>
    <row r="6273" spans="1:5" x14ac:dyDescent="0.2">
      <c r="A6273">
        <v>6212</v>
      </c>
      <c r="B6273" s="138">
        <f>'Acct Summary 7-8'!I82</f>
        <v>175282</v>
      </c>
      <c r="D6273" s="2" t="str">
        <f t="shared" si="97"/>
        <v>Error?</v>
      </c>
      <c r="E6273" s="2" t="s">
        <v>190</v>
      </c>
    </row>
    <row r="6274" spans="1:5" x14ac:dyDescent="0.2">
      <c r="A6274">
        <v>6213</v>
      </c>
      <c r="B6274" s="138">
        <f>'Acct Summary 7-8'!J82</f>
        <v>-189330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-4.6710544872102272E-2</v>
      </c>
      <c r="D6276" s="2" t="str">
        <f t="shared" si="97"/>
        <v>Error?</v>
      </c>
      <c r="E6276" s="2" t="s">
        <v>190</v>
      </c>
    </row>
    <row r="6277" spans="1:5" x14ac:dyDescent="0.2">
      <c r="A6277">
        <v>6216</v>
      </c>
      <c r="B6277" s="138">
        <f>'Acct Summary 7-8'!D83</f>
        <v>0.10761147102454377</v>
      </c>
      <c r="D6277" s="2" t="str">
        <f t="shared" si="97"/>
        <v>Error?</v>
      </c>
      <c r="E6277" s="2" t="s">
        <v>190</v>
      </c>
    </row>
    <row r="6278" spans="1:5" x14ac:dyDescent="0.2">
      <c r="A6278">
        <v>6217</v>
      </c>
      <c r="B6278" s="138">
        <f>'Acct Summary 7-8'!E83</f>
        <v>-7.3029561387190328E-2</v>
      </c>
      <c r="D6278" s="2" t="str">
        <f t="shared" si="97"/>
        <v>Error?</v>
      </c>
      <c r="E6278" s="2" t="s">
        <v>190</v>
      </c>
    </row>
    <row r="6279" spans="1:5" x14ac:dyDescent="0.2">
      <c r="A6279">
        <v>6218</v>
      </c>
      <c r="B6279" s="138">
        <f>'Acct Summary 7-8'!F83</f>
        <v>0.16563650019983506</v>
      </c>
      <c r="D6279" s="2" t="str">
        <f t="shared" si="97"/>
        <v>Error?</v>
      </c>
      <c r="E6279" s="2" t="s">
        <v>190</v>
      </c>
    </row>
    <row r="6280" spans="1:5" x14ac:dyDescent="0.2">
      <c r="A6280">
        <v>6219</v>
      </c>
      <c r="B6280" s="138">
        <f>'Acct Summary 7-8'!G83</f>
        <v>8.9003172047271428E-2</v>
      </c>
      <c r="D6280" s="2" t="str">
        <f t="shared" si="97"/>
        <v>Error?</v>
      </c>
      <c r="E6280" s="2" t="s">
        <v>190</v>
      </c>
    </row>
    <row r="6281" spans="1:5" x14ac:dyDescent="0.2">
      <c r="A6281">
        <v>6220</v>
      </c>
      <c r="B6281" s="138">
        <f>'Acct Summary 7-8'!H83</f>
        <v>-2.0647504557642575</v>
      </c>
      <c r="D6281" s="2" t="str">
        <f t="shared" si="97"/>
        <v>Error?</v>
      </c>
      <c r="E6281" s="2" t="s">
        <v>190</v>
      </c>
    </row>
    <row r="6282" spans="1:5" x14ac:dyDescent="0.2">
      <c r="A6282">
        <v>6221</v>
      </c>
      <c r="B6282" s="138">
        <f>'Acct Summary 7-8'!I83</f>
        <v>7.8152434745155874E-2</v>
      </c>
      <c r="D6282" s="2" t="str">
        <f t="shared" si="97"/>
        <v>Error?</v>
      </c>
      <c r="E6282" s="2" t="s">
        <v>190</v>
      </c>
    </row>
    <row r="6283" spans="1:5" x14ac:dyDescent="0.2">
      <c r="A6283">
        <v>6222</v>
      </c>
      <c r="B6283" s="138">
        <f>'Acct Summary 7-8'!J83</f>
        <v>-0.48966892452844829</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496985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496985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11470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11470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46028</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525732</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167989</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50438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508455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24989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39316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418004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16406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39959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799652</v>
      </c>
      <c r="D6880" s="2" t="str">
        <f t="shared" si="106"/>
        <v>Error?</v>
      </c>
    </row>
    <row r="6881" spans="1:4" x14ac:dyDescent="0.2">
      <c r="A6881">
        <v>6820</v>
      </c>
      <c r="B6881" s="138">
        <f>'Expenditures 15-22'!K22</f>
        <v>799652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55722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3657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3657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34366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34366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3402</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9438</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12840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202187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202187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253050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1482554</v>
      </c>
      <c r="D6983" s="2" t="str">
        <f t="shared" si="108"/>
        <v>Error?</v>
      </c>
    </row>
    <row r="6984" spans="1:4" x14ac:dyDescent="0.2">
      <c r="A6984">
        <v>6923</v>
      </c>
      <c r="B6984" s="138">
        <f>'Expenditures 15-22'!K86</f>
        <v>1482554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151257</v>
      </c>
      <c r="D6987" s="2" t="str">
        <f t="shared" si="108"/>
        <v>Error?</v>
      </c>
    </row>
    <row r="6988" spans="1:4" x14ac:dyDescent="0.2">
      <c r="A6988">
        <v>6927</v>
      </c>
      <c r="B6988" s="138">
        <f>'Expenditures 15-22'!K88</f>
        <v>151257</v>
      </c>
      <c r="D6988" s="2" t="str">
        <f t="shared" si="108"/>
        <v>Error?</v>
      </c>
    </row>
    <row r="6989" spans="1:4" x14ac:dyDescent="0.2">
      <c r="A6989">
        <v>6928</v>
      </c>
      <c r="B6989" s="138">
        <f>'Expenditures 15-22'!H89</f>
        <v>27930</v>
      </c>
      <c r="D6989" s="2" t="str">
        <f t="shared" si="108"/>
        <v>Error?</v>
      </c>
    </row>
    <row r="6990" spans="1:4" x14ac:dyDescent="0.2">
      <c r="A6990">
        <v>6929</v>
      </c>
      <c r="B6990" s="138">
        <f>'Expenditures 15-22'!K89</f>
        <v>27930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26040</v>
      </c>
      <c r="D6993" s="2" t="str">
        <f t="shared" si="108"/>
        <v>Error?</v>
      </c>
    </row>
    <row r="6994" spans="1:4" x14ac:dyDescent="0.2">
      <c r="A6994">
        <v>6933</v>
      </c>
      <c r="B6994" s="138">
        <f>'Expenditures 15-22'!K91</f>
        <v>26040</v>
      </c>
      <c r="D6994" s="2" t="str">
        <f t="shared" si="108"/>
        <v>Error?</v>
      </c>
    </row>
    <row r="6995" spans="1:4" x14ac:dyDescent="0.2">
      <c r="A6995">
        <v>6934</v>
      </c>
      <c r="B6995" s="138">
        <f>'Expenditures 15-22'!H92</f>
        <v>1687781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308772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186835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186835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186835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697785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186835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508455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3019</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3019</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3019</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17899</v>
      </c>
      <c r="D7075" s="2" t="str">
        <f t="shared" si="109"/>
        <v>Error?</v>
      </c>
    </row>
    <row r="7076" spans="1:4" x14ac:dyDescent="0.2">
      <c r="A7076">
        <v>7015</v>
      </c>
      <c r="B7076" s="138">
        <f>'Expenditures 15-22'!K218</f>
        <v>17899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514</v>
      </c>
      <c r="D7079" s="2" t="str">
        <f t="shared" si="109"/>
        <v>Error?</v>
      </c>
    </row>
    <row r="7080" spans="1:4" x14ac:dyDescent="0.2">
      <c r="A7080">
        <v>7019</v>
      </c>
      <c r="B7080" s="138">
        <f>'Expenditures 15-22'!K226</f>
        <v>514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253463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253463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1395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1395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250411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250411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697785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697785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697785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697785</v>
      </c>
      <c r="D7224" s="2" t="str">
        <f t="shared" si="111"/>
        <v>Error?</v>
      </c>
    </row>
    <row r="7225" spans="1:4" x14ac:dyDescent="0.2">
      <c r="A7225">
        <v>7164</v>
      </c>
      <c r="B7225" s="138">
        <f>'Expenditures 15-22'!K343</f>
        <v>-189330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331995</v>
      </c>
      <c r="D7251" s="2" t="str">
        <f t="shared" si="112"/>
        <v>Error?</v>
      </c>
    </row>
    <row r="7252" spans="1:4" x14ac:dyDescent="0.2">
      <c r="A7252">
        <f t="shared" si="113"/>
        <v>7191</v>
      </c>
      <c r="B7252" s="138">
        <f>'Expenditures 15-22'!D9</f>
        <v>85191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818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36112</v>
      </c>
      <c r="D7263" s="2" t="str">
        <f t="shared" si="112"/>
        <v>Error?</v>
      </c>
    </row>
    <row r="7264" spans="1:4" x14ac:dyDescent="0.2">
      <c r="A7264">
        <f t="shared" si="113"/>
        <v>7203</v>
      </c>
      <c r="B7264" s="138">
        <f>'Expenditures 15-22'!D17</f>
        <v>1859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1988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498626</v>
      </c>
      <c r="D7624" s="2" t="str">
        <f t="shared" si="124"/>
        <v>Error?</v>
      </c>
      <c r="E7624" s="2" t="s">
        <v>19</v>
      </c>
    </row>
    <row r="7625" spans="1:5" x14ac:dyDescent="0.2">
      <c r="A7625">
        <f t="shared" si="123"/>
        <v>7564</v>
      </c>
      <c r="B7625" s="138">
        <f>'Cap Outlay Deprec 26'!I17</f>
        <v>49862.6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3151490.6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192516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192516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92353</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50438</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46810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97248</v>
      </c>
      <c r="D7719" s="2" t="str">
        <f t="shared" si="126"/>
        <v>Error?</v>
      </c>
      <c r="E7719" s="2" t="s">
        <v>827</v>
      </c>
    </row>
    <row r="7720" spans="1:6" x14ac:dyDescent="0.2">
      <c r="A7720">
        <v>7659</v>
      </c>
      <c r="B7720" s="138">
        <f>'Rest Tax Levies-Tort Im 25'!H14</f>
        <v>3696531</v>
      </c>
      <c r="D7720" s="2" t="str">
        <f t="shared" si="126"/>
        <v>Error?</v>
      </c>
      <c r="E7720" s="2" t="s">
        <v>827</v>
      </c>
    </row>
    <row r="7721" spans="1:6" x14ac:dyDescent="0.2">
      <c r="A7721">
        <v>7660</v>
      </c>
      <c r="B7721" s="138">
        <f>'Rest Tax Levies-Tort Im 25'!K14</f>
        <v>40473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149128</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149128</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809421</v>
      </c>
      <c r="D7797" s="2" t="str">
        <f t="shared" si="127"/>
        <v>Error?</v>
      </c>
      <c r="E7797" s="4" t="s">
        <v>1901</v>
      </c>
    </row>
    <row r="7798" spans="1:5" x14ac:dyDescent="0.2">
      <c r="A7798">
        <v>7737</v>
      </c>
      <c r="B7798" s="138">
        <f>'Contracts Paid in CY 29'!F141</f>
        <v>125000</v>
      </c>
      <c r="D7798" s="2" t="str">
        <f t="shared" si="127"/>
        <v>Error?</v>
      </c>
      <c r="E7798" s="4" t="s">
        <v>1901</v>
      </c>
    </row>
    <row r="7799" spans="1:5" x14ac:dyDescent="0.2">
      <c r="A7799">
        <v>7738</v>
      </c>
      <c r="B7799" s="138">
        <f>'Contracts Paid in CY 29'!G141</f>
        <v>684421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31" zoomScale="110" zoomScaleNormal="110" workbookViewId="0">
      <selection activeCell="K42" sqref="K4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51" t="s">
        <v>1191</v>
      </c>
      <c r="B2" s="2451"/>
      <c r="C2" s="2451"/>
      <c r="D2" s="2451"/>
      <c r="E2" s="2451"/>
      <c r="F2" s="2451"/>
      <c r="G2" s="2451"/>
      <c r="H2" s="2451"/>
      <c r="I2" s="2451"/>
      <c r="J2" s="2451"/>
      <c r="K2" s="2451"/>
      <c r="L2" s="2451"/>
    </row>
    <row r="3" spans="1:29" ht="13.5" customHeight="1" x14ac:dyDescent="0.2">
      <c r="A3" s="2482" t="s">
        <v>1190</v>
      </c>
      <c r="B3" s="2482"/>
      <c r="C3" s="2482"/>
      <c r="D3" s="2482"/>
      <c r="E3" s="2482"/>
      <c r="F3" s="2482"/>
      <c r="G3" s="2482"/>
      <c r="H3" s="2482"/>
      <c r="I3" s="2482"/>
      <c r="J3" s="2482"/>
      <c r="K3" s="2482"/>
      <c r="L3" s="2482"/>
    </row>
    <row r="4" spans="1:29" ht="13.5" customHeight="1" x14ac:dyDescent="0.2">
      <c r="A4" s="2451" t="s">
        <v>1986</v>
      </c>
      <c r="B4" s="2472"/>
      <c r="C4" s="2472"/>
      <c r="D4" s="2472"/>
      <c r="E4" s="2472"/>
      <c r="F4" s="2472"/>
      <c r="G4" s="2472"/>
      <c r="H4" s="2472"/>
      <c r="I4" s="2472"/>
      <c r="J4" s="2472"/>
      <c r="K4" s="2472"/>
      <c r="L4" s="2472"/>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3" t="str">
        <f>COVER!A17</f>
        <v>Central CUSD 301</v>
      </c>
      <c r="B7" s="2474"/>
      <c r="C7" s="2474"/>
      <c r="D7" s="2475"/>
      <c r="E7" s="2476">
        <f>COVER!A13</f>
        <v>31045301026</v>
      </c>
      <c r="F7" s="2477"/>
      <c r="G7" s="2483" t="str">
        <f>COVER!T23</f>
        <v>066-005142</v>
      </c>
      <c r="H7" s="2484"/>
      <c r="I7" s="2484"/>
      <c r="J7" s="2484"/>
      <c r="K7" s="2484"/>
      <c r="L7" s="2485"/>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6"/>
      <c r="B9" s="2487"/>
      <c r="C9" s="2487"/>
      <c r="D9" s="2487"/>
      <c r="E9" s="2487"/>
      <c r="F9" s="2488"/>
      <c r="G9" s="2457" t="str">
        <f>COVER!T13</f>
        <v>EDER, CASELLA &amp; CO.</v>
      </c>
      <c r="H9" s="2489"/>
      <c r="I9" s="2489"/>
      <c r="J9" s="2489"/>
      <c r="K9" s="2489"/>
      <c r="L9" s="2490"/>
    </row>
    <row r="10" spans="1:29" ht="13.5" customHeight="1" x14ac:dyDescent="0.2">
      <c r="A10" s="2463">
        <f>COVER!A38</f>
        <v>0</v>
      </c>
      <c r="B10" s="2464"/>
      <c r="C10" s="2464"/>
      <c r="D10" s="2464"/>
      <c r="E10" s="2464"/>
      <c r="F10" s="2465"/>
      <c r="G10" s="2457" t="str">
        <f>COVER!T17</f>
        <v>5400 WEST ELM STREET, SUITE 203</v>
      </c>
      <c r="H10" s="2458"/>
      <c r="I10" s="2458"/>
      <c r="J10" s="2458"/>
      <c r="K10" s="2458"/>
      <c r="L10" s="2459"/>
    </row>
    <row r="11" spans="1:29" ht="13.5" customHeight="1" x14ac:dyDescent="0.2">
      <c r="A11" s="1157" t="s">
        <v>1519</v>
      </c>
      <c r="B11" s="1158"/>
      <c r="C11" s="1159"/>
      <c r="D11" s="1164"/>
      <c r="E11" s="1159"/>
      <c r="F11" s="1163"/>
      <c r="G11" s="2457" t="str">
        <f>COVER!T19</f>
        <v>MCHENRY</v>
      </c>
      <c r="H11" s="2458"/>
      <c r="I11" s="2458"/>
      <c r="J11" s="2458"/>
      <c r="K11" s="2458"/>
      <c r="L11" s="2459"/>
    </row>
    <row r="12" spans="1:29" ht="13.5" customHeight="1" x14ac:dyDescent="0.2">
      <c r="A12" s="2466" t="s">
        <v>1518</v>
      </c>
      <c r="B12" s="2467"/>
      <c r="C12" s="2467"/>
      <c r="D12" s="2467"/>
      <c r="E12" s="2467"/>
      <c r="F12" s="2468"/>
      <c r="G12" s="2460"/>
      <c r="H12" s="2461"/>
      <c r="I12" s="2461"/>
      <c r="J12" s="2461"/>
      <c r="K12" s="2461"/>
      <c r="L12" s="2462"/>
    </row>
    <row r="13" spans="1:29" ht="13.5" customHeight="1" x14ac:dyDescent="0.2">
      <c r="A13" s="2457"/>
      <c r="B13" s="2458"/>
      <c r="C13" s="2458"/>
      <c r="D13" s="2458"/>
      <c r="E13" s="2458"/>
      <c r="F13" s="2459"/>
      <c r="G13" s="2452" t="s">
        <v>1520</v>
      </c>
      <c r="H13" s="2453"/>
      <c r="I13" s="2469" t="str">
        <f>COVER!T25</f>
        <v>CPAS@EDERCASELLA.COM</v>
      </c>
      <c r="J13" s="2470"/>
      <c r="K13" s="2470"/>
      <c r="L13" s="2471"/>
    </row>
    <row r="14" spans="1:29" ht="13.5" customHeight="1" x14ac:dyDescent="0.2">
      <c r="A14" s="2457" t="str">
        <f>COVER!A19</f>
        <v>275 SOUTH STREET</v>
      </c>
      <c r="B14" s="2458"/>
      <c r="C14" s="2458"/>
      <c r="D14" s="2458"/>
      <c r="E14" s="2458"/>
      <c r="F14" s="2459"/>
      <c r="G14" s="1168" t="s">
        <v>1185</v>
      </c>
      <c r="H14" s="1166"/>
      <c r="I14" s="1166"/>
      <c r="J14" s="1166"/>
      <c r="K14" s="1166"/>
      <c r="L14" s="1167"/>
    </row>
    <row r="15" spans="1:29" ht="13.5" customHeight="1" x14ac:dyDescent="0.2">
      <c r="A15" s="2457" t="str">
        <f>COVER!A21</f>
        <v>BURLINGTON</v>
      </c>
      <c r="B15" s="2458"/>
      <c r="C15" s="2458"/>
      <c r="D15" s="2458"/>
      <c r="E15" s="2458"/>
      <c r="F15" s="2459"/>
      <c r="G15" s="2454" t="str">
        <f>COVER!T15</f>
        <v>CHERYDEN JUERGENSEN</v>
      </c>
      <c r="H15" s="2455"/>
      <c r="I15" s="2455"/>
      <c r="J15" s="2455"/>
      <c r="K15" s="2455"/>
      <c r="L15" s="2456"/>
    </row>
    <row r="16" spans="1:29" ht="12.2" customHeight="1" x14ac:dyDescent="0.2">
      <c r="A16" s="2479">
        <f>COVER!A25</f>
        <v>60109</v>
      </c>
      <c r="B16" s="2480"/>
      <c r="C16" s="2480"/>
      <c r="D16" s="2480"/>
      <c r="E16" s="2480"/>
      <c r="F16" s="2481"/>
      <c r="G16" s="2491"/>
      <c r="H16" s="2492"/>
      <c r="I16" s="2492"/>
      <c r="J16" s="2492"/>
      <c r="K16" s="2492"/>
      <c r="L16" s="2493"/>
    </row>
    <row r="17" spans="1:13" ht="12.2" customHeight="1" x14ac:dyDescent="0.2">
      <c r="A17" s="2494"/>
      <c r="B17" s="2480"/>
      <c r="C17" s="2480"/>
      <c r="D17" s="2480"/>
      <c r="E17" s="2480"/>
      <c r="F17" s="2481"/>
      <c r="G17" s="1168" t="s">
        <v>1184</v>
      </c>
      <c r="H17" s="1166"/>
      <c r="I17" s="1166"/>
      <c r="J17" s="1166"/>
      <c r="K17" s="1170" t="s">
        <v>1183</v>
      </c>
      <c r="L17" s="1163"/>
      <c r="M17" s="1156"/>
    </row>
    <row r="18" spans="1:13" ht="12.2" customHeight="1" x14ac:dyDescent="0.2">
      <c r="A18" s="2463"/>
      <c r="B18" s="2464"/>
      <c r="C18" s="2464"/>
      <c r="D18" s="2464"/>
      <c r="E18" s="2464"/>
      <c r="F18" s="2465"/>
      <c r="G18" s="2473" t="str">
        <f>COVER!T21</f>
        <v>815-344-1300</v>
      </c>
      <c r="H18" s="2474"/>
      <c r="I18" s="2474"/>
      <c r="J18" s="2474"/>
      <c r="K18" s="2473" t="str">
        <f>COVER!X21</f>
        <v>815-344-1320</v>
      </c>
      <c r="L18" s="2478"/>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2119</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2119</v>
      </c>
      <c r="C26" s="1175" t="s">
        <v>1699</v>
      </c>
    </row>
    <row r="27" spans="1:13" s="1171" customFormat="1" ht="9" customHeight="1" x14ac:dyDescent="0.2">
      <c r="B27" s="1176"/>
      <c r="C27" s="1175"/>
    </row>
    <row r="28" spans="1:13" s="1171" customFormat="1" ht="12.2" customHeight="1" x14ac:dyDescent="0.2">
      <c r="A28" s="1178"/>
      <c r="B28" s="1174" t="s">
        <v>2119</v>
      </c>
      <c r="C28" s="1175" t="s">
        <v>1700</v>
      </c>
    </row>
    <row r="29" spans="1:13" s="1171" customFormat="1" ht="9" customHeight="1" x14ac:dyDescent="0.2">
      <c r="A29" s="1178"/>
      <c r="B29" s="1176"/>
      <c r="C29" s="1175"/>
    </row>
    <row r="30" spans="1:13" s="1171" customFormat="1" ht="12.2" customHeight="1" x14ac:dyDescent="0.2">
      <c r="B30" s="1174" t="s">
        <v>2119</v>
      </c>
      <c r="C30" s="1175" t="s">
        <v>1562</v>
      </c>
      <c r="D30" s="1169"/>
      <c r="E30" s="1169"/>
    </row>
    <row r="31" spans="1:13" s="1171" customFormat="1" ht="9" customHeight="1" x14ac:dyDescent="0.2">
      <c r="B31" s="1176"/>
      <c r="C31" s="1175"/>
      <c r="D31" s="1169"/>
      <c r="E31" s="1169"/>
    </row>
    <row r="32" spans="1:13" s="1171" customFormat="1" ht="12.2" customHeight="1" x14ac:dyDescent="0.2">
      <c r="B32" s="1174" t="s">
        <v>2119</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2119</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2119</v>
      </c>
      <c r="C38" s="1175" t="s">
        <v>1566</v>
      </c>
    </row>
    <row r="39" spans="1:8" ht="9" customHeight="1" x14ac:dyDescent="0.2">
      <c r="B39" s="1176"/>
      <c r="C39" s="1179"/>
    </row>
    <row r="40" spans="1:8" s="1171" customFormat="1" ht="13.5" customHeight="1" x14ac:dyDescent="0.2">
      <c r="B40" s="1174" t="s">
        <v>2119</v>
      </c>
      <c r="C40" s="1175" t="s">
        <v>1567</v>
      </c>
    </row>
    <row r="41" spans="1:8" ht="9" customHeight="1" x14ac:dyDescent="0.2">
      <c r="A41" s="1180"/>
      <c r="B41" s="1176"/>
      <c r="C41" s="1179"/>
    </row>
    <row r="42" spans="1:8" s="1171" customFormat="1" ht="13.5" customHeight="1" x14ac:dyDescent="0.2">
      <c r="B42" s="1174" t="s">
        <v>2119</v>
      </c>
      <c r="C42" s="1175" t="s">
        <v>1833</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28" zoomScale="125" zoomScaleNormal="125" workbookViewId="0">
      <selection activeCell="I19" sqref="I19"/>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5" t="str">
        <f>'Single Audit Cover'!A7</f>
        <v>Central CUSD 301</v>
      </c>
      <c r="B1" s="2472"/>
      <c r="C1" s="2472"/>
      <c r="D1" s="2472"/>
    </row>
    <row r="2" spans="1:11" s="1185" customFormat="1" ht="12.75" x14ac:dyDescent="0.2">
      <c r="A2" s="2496">
        <f>'Single Audit Cover'!E7</f>
        <v>31045301026</v>
      </c>
      <c r="B2" s="2497"/>
      <c r="C2" s="2497"/>
      <c r="D2" s="2497"/>
    </row>
    <row r="3" spans="1:11" s="1185" customFormat="1" ht="12.75" x14ac:dyDescent="0.2">
      <c r="A3" s="2495" t="s">
        <v>1513</v>
      </c>
      <c r="B3" s="2472"/>
      <c r="C3" s="2472"/>
      <c r="D3" s="2472"/>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1834</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7" zoomScale="110" zoomScaleNormal="110" zoomScaleSheetLayoutView="100" workbookViewId="0">
      <selection activeCell="G45" sqref="G45"/>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9" t="str">
        <f>'Single Audit Cover'!A7</f>
        <v>Central CUSD 301</v>
      </c>
      <c r="B1" s="2499"/>
      <c r="C1" s="2499"/>
      <c r="D1" s="2499"/>
      <c r="E1" s="2499"/>
    </row>
    <row r="2" spans="1:5" x14ac:dyDescent="0.2">
      <c r="A2" s="2500">
        <f>'Single Audit Cover'!E7</f>
        <v>31045301026</v>
      </c>
      <c r="B2" s="2500"/>
      <c r="C2" s="2500"/>
      <c r="D2" s="2500"/>
      <c r="E2" s="2500"/>
    </row>
    <row r="3" spans="1:5" ht="4.5" customHeight="1" x14ac:dyDescent="0.2"/>
    <row r="4" spans="1:5" x14ac:dyDescent="0.2">
      <c r="A4" s="2499" t="s">
        <v>1245</v>
      </c>
      <c r="B4" s="2499"/>
      <c r="C4" s="2499"/>
      <c r="D4" s="2499"/>
      <c r="E4" s="2499"/>
    </row>
    <row r="5" spans="1:5" x14ac:dyDescent="0.2">
      <c r="A5" s="2502" t="str">
        <f>'Single Audit Cover'!A4</f>
        <v>Year Ending June 30, 2019</v>
      </c>
      <c r="B5" s="2502"/>
      <c r="C5" s="2502"/>
      <c r="D5" s="2502"/>
      <c r="E5" s="2502"/>
    </row>
    <row r="6" spans="1:5" x14ac:dyDescent="0.2">
      <c r="A6" s="2499" t="s">
        <v>1244</v>
      </c>
      <c r="B6" s="2499"/>
      <c r="C6" s="2499"/>
      <c r="D6" s="2499"/>
      <c r="E6" s="2499"/>
    </row>
    <row r="8" spans="1:5" x14ac:dyDescent="0.2">
      <c r="A8" s="1230" t="s">
        <v>1243</v>
      </c>
    </row>
    <row r="10" spans="1:5" x14ac:dyDescent="0.2">
      <c r="A10" s="1231" t="s">
        <v>1242</v>
      </c>
      <c r="B10" s="1232" t="s">
        <v>1241</v>
      </c>
      <c r="C10" s="1232"/>
      <c r="D10" s="1233">
        <f>SUM('Acct Summary 7-8'!C7:K7)</f>
        <v>1265595</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70688</v>
      </c>
    </row>
    <row r="15" spans="1:5" x14ac:dyDescent="0.2">
      <c r="A15" s="1231"/>
      <c r="B15" s="1232"/>
      <c r="C15" s="1232"/>
    </row>
    <row r="16" spans="1:5" x14ac:dyDescent="0.2">
      <c r="A16" s="1231" t="s">
        <v>1841</v>
      </c>
      <c r="B16" s="1232"/>
      <c r="C16" s="1232"/>
    </row>
    <row r="17" spans="1:4" x14ac:dyDescent="0.2">
      <c r="A17" s="1231" t="s">
        <v>2058</v>
      </c>
      <c r="B17" s="1232" t="s">
        <v>1236</v>
      </c>
      <c r="C17" s="1232"/>
      <c r="D17" s="1234">
        <f>-SUM('Revenues 9-14'!C264:D264,'Revenues 9-14'!F264:G264)</f>
        <v>-76496</v>
      </c>
    </row>
    <row r="19" spans="1:4" ht="13.5" thickBot="1" x14ac:dyDescent="0.25">
      <c r="A19" s="1235" t="s">
        <v>1235</v>
      </c>
      <c r="D19" s="1236">
        <f>SUM(D10:D17)</f>
        <v>1259787</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1"/>
      <c r="B24" s="2501"/>
      <c r="D24" s="1238"/>
    </row>
    <row r="25" spans="1:4" x14ac:dyDescent="0.2">
      <c r="A25" s="2498"/>
      <c r="B25" s="2498"/>
      <c r="D25" s="1238"/>
    </row>
    <row r="26" spans="1:4" x14ac:dyDescent="0.2">
      <c r="A26" s="2498"/>
      <c r="B26" s="2498"/>
      <c r="D26" s="1238"/>
    </row>
    <row r="27" spans="1:4" x14ac:dyDescent="0.2">
      <c r="A27" s="2498"/>
      <c r="B27" s="2498"/>
      <c r="D27" s="1238"/>
    </row>
    <row r="28" spans="1:4" x14ac:dyDescent="0.2">
      <c r="A28" s="2498"/>
      <c r="B28" s="2498"/>
      <c r="D28" s="1238"/>
    </row>
    <row r="29" spans="1:4" x14ac:dyDescent="0.2">
      <c r="A29" s="2498"/>
      <c r="B29" s="2498"/>
      <c r="D29" s="1238"/>
    </row>
    <row r="30" spans="1:4" x14ac:dyDescent="0.2">
      <c r="A30" s="2498"/>
      <c r="B30" s="2498"/>
      <c r="D30" s="1238"/>
    </row>
    <row r="32" spans="1:4" x14ac:dyDescent="0.2">
      <c r="A32" s="1230" t="s">
        <v>1233</v>
      </c>
      <c r="D32" s="1233">
        <f>SUM(D19:D30)</f>
        <v>1259787</v>
      </c>
    </row>
    <row r="33" spans="1:4" x14ac:dyDescent="0.2">
      <c r="D33" s="1239"/>
    </row>
    <row r="34" spans="1:4" x14ac:dyDescent="0.2">
      <c r="A34" s="317" t="s">
        <v>1232</v>
      </c>
    </row>
    <row r="35" spans="1:4" x14ac:dyDescent="0.2">
      <c r="A35" s="317" t="s">
        <v>1231</v>
      </c>
      <c r="B35" s="1228" t="s">
        <v>1230</v>
      </c>
      <c r="D35" s="1240">
        <f>+' SEFA (3)'!F17</f>
        <v>1263012</v>
      </c>
    </row>
    <row r="37" spans="1:4" x14ac:dyDescent="0.2">
      <c r="A37" s="1230" t="s">
        <v>1229</v>
      </c>
    </row>
    <row r="39" spans="1:4" ht="13.35" customHeight="1" x14ac:dyDescent="0.2">
      <c r="A39" s="1237" t="s">
        <v>1228</v>
      </c>
    </row>
    <row r="40" spans="1:4" x14ac:dyDescent="0.2">
      <c r="A40" s="2498" t="s">
        <v>2110</v>
      </c>
      <c r="B40" s="2498"/>
      <c r="D40" s="1238">
        <v>-3224</v>
      </c>
    </row>
    <row r="41" spans="1:4" x14ac:dyDescent="0.2">
      <c r="A41" s="2498" t="s">
        <v>2111</v>
      </c>
      <c r="B41" s="2498"/>
      <c r="D41" s="1241">
        <v>-1</v>
      </c>
    </row>
    <row r="42" spans="1:4" x14ac:dyDescent="0.2">
      <c r="A42" s="2498"/>
      <c r="B42" s="2498"/>
      <c r="D42" s="1241"/>
    </row>
    <row r="43" spans="1:4" x14ac:dyDescent="0.2">
      <c r="A43" s="2498"/>
      <c r="B43" s="2498"/>
      <c r="D43" s="1241"/>
    </row>
    <row r="44" spans="1:4" x14ac:dyDescent="0.2">
      <c r="A44" s="2498"/>
      <c r="B44" s="2498"/>
      <c r="D44" s="1241"/>
    </row>
    <row r="45" spans="1:4" x14ac:dyDescent="0.2">
      <c r="A45" s="2498"/>
      <c r="B45" s="2498"/>
      <c r="D45" s="1241"/>
    </row>
    <row r="47" spans="1:4" x14ac:dyDescent="0.2">
      <c r="B47" s="1242" t="s">
        <v>1227</v>
      </c>
      <c r="C47" s="1242"/>
      <c r="D47" s="1243">
        <f>SUM(D35:D45)</f>
        <v>1259787</v>
      </c>
    </row>
    <row r="49" spans="2:4" x14ac:dyDescent="0.2">
      <c r="B49" s="1242" t="s">
        <v>1226</v>
      </c>
      <c r="C49" s="1242"/>
      <c r="D49" s="1243">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2" t="str">
        <f>'Single Audit Cover'!A7</f>
        <v>Central CUSD 301</v>
      </c>
      <c r="C1" s="2503"/>
      <c r="D1" s="2503"/>
      <c r="E1" s="2503"/>
      <c r="F1" s="2503"/>
      <c r="G1" s="2503"/>
      <c r="H1" s="2503"/>
      <c r="I1" s="2503"/>
      <c r="J1" s="2503"/>
      <c r="K1" s="2503"/>
      <c r="L1" s="2503"/>
      <c r="M1" s="2503"/>
    </row>
    <row r="2" spans="2:14" ht="15" x14ac:dyDescent="0.2">
      <c r="B2" s="2504">
        <f>'Single Audit Cover'!E7</f>
        <v>31045301026</v>
      </c>
      <c r="C2" s="2504"/>
      <c r="D2" s="2504"/>
      <c r="E2" s="2504"/>
      <c r="F2" s="2504"/>
      <c r="G2" s="2504"/>
      <c r="H2" s="2504"/>
      <c r="I2" s="2504"/>
      <c r="J2" s="2504"/>
      <c r="K2" s="2504"/>
      <c r="L2" s="2504"/>
      <c r="M2" s="2504"/>
      <c r="N2" s="1272"/>
    </row>
    <row r="3" spans="2:14" ht="15" x14ac:dyDescent="0.2">
      <c r="B3" s="2505" t="s">
        <v>1219</v>
      </c>
      <c r="C3" s="2505"/>
      <c r="D3" s="2505"/>
      <c r="E3" s="2505"/>
      <c r="F3" s="2505"/>
      <c r="G3" s="2505"/>
      <c r="H3" s="2505"/>
      <c r="I3" s="2505"/>
      <c r="J3" s="2505"/>
      <c r="K3" s="2505"/>
      <c r="L3" s="2505"/>
      <c r="M3" s="2505"/>
      <c r="N3" s="1272"/>
    </row>
    <row r="4" spans="2:14" ht="15" x14ac:dyDescent="0.2">
      <c r="B4" s="2506" t="str">
        <f>'Single Audit Cover'!A4</f>
        <v>Year Ending June 30, 2019</v>
      </c>
      <c r="C4" s="2506"/>
      <c r="D4" s="2506"/>
      <c r="E4" s="2506"/>
      <c r="F4" s="2506"/>
      <c r="G4" s="2506"/>
      <c r="H4" s="2506"/>
      <c r="I4" s="2506"/>
      <c r="J4" s="2506"/>
      <c r="K4" s="2506"/>
      <c r="L4" s="2506"/>
      <c r="M4" s="2506"/>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2069</v>
      </c>
      <c r="C11" s="1308"/>
      <c r="D11" s="1309"/>
      <c r="E11" s="1310"/>
      <c r="F11" s="1310"/>
      <c r="G11" s="1310"/>
      <c r="H11" s="1310"/>
      <c r="I11" s="1310"/>
      <c r="J11" s="1310"/>
      <c r="K11" s="1310"/>
      <c r="L11" s="1310"/>
      <c r="M11" s="1310"/>
    </row>
    <row r="12" spans="2:14" ht="20.100000000000001" customHeight="1" x14ac:dyDescent="0.2">
      <c r="B12" s="1307" t="s">
        <v>2070</v>
      </c>
      <c r="C12" s="1311">
        <v>10.555</v>
      </c>
      <c r="D12" s="1312" t="s">
        <v>2071</v>
      </c>
      <c r="E12" s="1313">
        <v>199874</v>
      </c>
      <c r="F12" s="1313">
        <f>9657+27034</f>
        <v>36691</v>
      </c>
      <c r="G12" s="1313">
        <v>199874</v>
      </c>
      <c r="H12" s="1313"/>
      <c r="I12" s="1313">
        <v>36691</v>
      </c>
      <c r="J12" s="1313"/>
      <c r="K12" s="1313"/>
      <c r="L12" s="1310">
        <f t="shared" ref="L12:L27" si="0">+G12+I12+K12</f>
        <v>236565</v>
      </c>
      <c r="M12" s="1313" t="s">
        <v>2072</v>
      </c>
    </row>
    <row r="13" spans="2:14" ht="20.100000000000001" customHeight="1" x14ac:dyDescent="0.2">
      <c r="B13" s="1307" t="s">
        <v>2073</v>
      </c>
      <c r="C13" s="1311">
        <v>10.555</v>
      </c>
      <c r="D13" s="1312" t="s">
        <v>2074</v>
      </c>
      <c r="E13" s="1313"/>
      <c r="F13" s="1313">
        <f>200185-3701</f>
        <v>196484</v>
      </c>
      <c r="G13" s="1313"/>
      <c r="H13" s="1313"/>
      <c r="I13" s="1313">
        <v>200185</v>
      </c>
      <c r="J13" s="1313"/>
      <c r="K13" s="1313"/>
      <c r="L13" s="1310">
        <f t="shared" si="0"/>
        <v>200185</v>
      </c>
      <c r="M13" s="1313" t="s">
        <v>2072</v>
      </c>
    </row>
    <row r="14" spans="2:14" ht="20.100000000000001" customHeight="1" x14ac:dyDescent="0.2">
      <c r="B14" s="1307" t="s">
        <v>2075</v>
      </c>
      <c r="C14" s="1311">
        <v>10.555</v>
      </c>
      <c r="D14" s="1312" t="s">
        <v>2076</v>
      </c>
      <c r="E14" s="1313"/>
      <c r="F14" s="1313">
        <v>45592</v>
      </c>
      <c r="G14" s="1313"/>
      <c r="H14" s="1313"/>
      <c r="I14" s="1313">
        <v>45592</v>
      </c>
      <c r="J14" s="1313"/>
      <c r="K14" s="1313"/>
      <c r="L14" s="1310">
        <f t="shared" si="0"/>
        <v>45592</v>
      </c>
      <c r="M14" s="1313" t="s">
        <v>2072</v>
      </c>
    </row>
    <row r="15" spans="2:14" ht="20.100000000000001" customHeight="1" x14ac:dyDescent="0.2">
      <c r="B15" s="1307" t="s">
        <v>2112</v>
      </c>
      <c r="C15" s="1311"/>
      <c r="D15" s="1312"/>
      <c r="E15" s="1313"/>
      <c r="F15" s="1313"/>
      <c r="G15" s="1313"/>
      <c r="H15" s="1313"/>
      <c r="I15" s="1313"/>
      <c r="J15" s="1313"/>
      <c r="K15" s="1313"/>
      <c r="L15" s="1310"/>
      <c r="M15" s="1313"/>
    </row>
    <row r="16" spans="2:14" ht="20.100000000000001" customHeight="1" x14ac:dyDescent="0.2">
      <c r="B16" s="1307" t="s">
        <v>2075</v>
      </c>
      <c r="C16" s="1311">
        <v>10.555</v>
      </c>
      <c r="D16" s="1312" t="s">
        <v>2076</v>
      </c>
      <c r="E16" s="1313"/>
      <c r="F16" s="1313">
        <v>25096</v>
      </c>
      <c r="G16" s="1313"/>
      <c r="H16" s="1313"/>
      <c r="I16" s="1313">
        <v>25096</v>
      </c>
      <c r="J16" s="1313"/>
      <c r="K16" s="1313"/>
      <c r="L16" s="1310">
        <f>+G16+I16+K16</f>
        <v>25096</v>
      </c>
      <c r="M16" s="1313" t="s">
        <v>2072</v>
      </c>
    </row>
    <row r="17" spans="2:14" ht="20.100000000000001" customHeight="1" x14ac:dyDescent="0.2">
      <c r="B17" s="1307" t="s">
        <v>2077</v>
      </c>
      <c r="C17" s="1311"/>
      <c r="D17" s="1312"/>
      <c r="E17" s="1313">
        <f>+E12</f>
        <v>199874</v>
      </c>
      <c r="F17" s="1313">
        <f>+F16+F14+F13+F12</f>
        <v>303863</v>
      </c>
      <c r="G17" s="1313">
        <f>+G12</f>
        <v>199874</v>
      </c>
      <c r="H17" s="1313"/>
      <c r="I17" s="1313">
        <f>+I16+I14+I13+I12</f>
        <v>307564</v>
      </c>
      <c r="J17" s="1313"/>
      <c r="K17" s="1313"/>
      <c r="L17" s="1310">
        <f t="shared" si="0"/>
        <v>507438</v>
      </c>
      <c r="M17" s="1313" t="s">
        <v>2072</v>
      </c>
    </row>
    <row r="18" spans="2:14" ht="20.100000000000001" customHeight="1" x14ac:dyDescent="0.2">
      <c r="B18" s="1307" t="s">
        <v>2078</v>
      </c>
      <c r="C18" s="1311"/>
      <c r="D18" s="1312"/>
      <c r="E18" s="1313">
        <f>+E17</f>
        <v>199874</v>
      </c>
      <c r="F18" s="1313">
        <f>+F17</f>
        <v>303863</v>
      </c>
      <c r="G18" s="1313">
        <f>+G17</f>
        <v>199874</v>
      </c>
      <c r="H18" s="1313"/>
      <c r="I18" s="1313">
        <f>+I17</f>
        <v>307564</v>
      </c>
      <c r="J18" s="1313"/>
      <c r="K18" s="1313"/>
      <c r="L18" s="1310">
        <f>+L17+L14+L13+L12</f>
        <v>989780</v>
      </c>
      <c r="M18" s="1313"/>
    </row>
    <row r="19" spans="2:14" ht="20.100000000000001" customHeight="1" x14ac:dyDescent="0.2">
      <c r="B19" s="1307"/>
      <c r="C19" s="1311"/>
      <c r="D19" s="1312"/>
      <c r="E19" s="1313"/>
      <c r="F19" s="1313"/>
      <c r="G19" s="1313"/>
      <c r="H19" s="1313"/>
      <c r="I19" s="1313"/>
      <c r="J19" s="1313"/>
      <c r="K19" s="1313"/>
      <c r="L19" s="1310"/>
      <c r="M19" s="1313"/>
    </row>
    <row r="20" spans="2:14" ht="20.100000000000001" customHeight="1" x14ac:dyDescent="0.2">
      <c r="B20" s="1307"/>
      <c r="C20" s="1311"/>
      <c r="D20" s="1312"/>
      <c r="E20" s="1313"/>
      <c r="F20" s="1313"/>
      <c r="G20" s="1313"/>
      <c r="H20" s="1313"/>
      <c r="I20" s="1313"/>
      <c r="J20" s="1313"/>
      <c r="K20" s="1313"/>
      <c r="L20" s="1310"/>
      <c r="M20" s="1313"/>
    </row>
    <row r="21" spans="2:14" ht="20.100000000000001" customHeight="1" x14ac:dyDescent="0.2">
      <c r="B21" s="1307" t="s">
        <v>2079</v>
      </c>
      <c r="C21" s="1311"/>
      <c r="D21" s="1312"/>
      <c r="E21" s="1313"/>
      <c r="F21" s="1313"/>
      <c r="G21" s="1313"/>
      <c r="H21" s="1313"/>
      <c r="I21" s="1313"/>
      <c r="J21" s="1313"/>
      <c r="K21" s="1313"/>
      <c r="L21" s="1310"/>
      <c r="M21" s="1313"/>
    </row>
    <row r="22" spans="2:14" ht="20.100000000000001" customHeight="1" x14ac:dyDescent="0.2">
      <c r="B22" s="1307" t="s">
        <v>2113</v>
      </c>
      <c r="C22" s="1311">
        <v>84.01</v>
      </c>
      <c r="D22" s="1312" t="s">
        <v>2080</v>
      </c>
      <c r="E22" s="1313">
        <v>167128</v>
      </c>
      <c r="F22" s="1313">
        <f>97204+30386</f>
        <v>127590</v>
      </c>
      <c r="G22" s="1313">
        <v>264332</v>
      </c>
      <c r="H22" s="1313"/>
      <c r="I22" s="1313">
        <v>30386</v>
      </c>
      <c r="J22" s="1313"/>
      <c r="K22" s="1313"/>
      <c r="L22" s="1310">
        <f t="shared" si="0"/>
        <v>294718</v>
      </c>
      <c r="M22" s="1313">
        <v>299888</v>
      </c>
    </row>
    <row r="23" spans="2:14" ht="20.100000000000001" customHeight="1" x14ac:dyDescent="0.2">
      <c r="B23" s="1307" t="s">
        <v>2114</v>
      </c>
      <c r="C23" s="1311">
        <v>84.01</v>
      </c>
      <c r="D23" s="1312" t="s">
        <v>2081</v>
      </c>
      <c r="E23" s="1313"/>
      <c r="F23" s="1313">
        <f>13150+25007+178117</f>
        <v>216274</v>
      </c>
      <c r="G23" s="1313"/>
      <c r="H23" s="1313"/>
      <c r="I23" s="1313">
        <v>287667</v>
      </c>
      <c r="J23" s="1313"/>
      <c r="K23" s="1313"/>
      <c r="L23" s="1310">
        <f t="shared" si="0"/>
        <v>287667</v>
      </c>
      <c r="M23" s="1313">
        <v>340558</v>
      </c>
    </row>
    <row r="24" spans="2:14" ht="20.100000000000001" customHeight="1" x14ac:dyDescent="0.2">
      <c r="B24" s="1307" t="s">
        <v>2082</v>
      </c>
      <c r="C24" s="1311">
        <v>84.364999999999995</v>
      </c>
      <c r="D24" s="1312" t="s">
        <v>2083</v>
      </c>
      <c r="E24" s="1313">
        <v>18822</v>
      </c>
      <c r="F24" s="1313"/>
      <c r="G24" s="1313">
        <v>18822</v>
      </c>
      <c r="H24" s="1313"/>
      <c r="I24" s="1313"/>
      <c r="J24" s="1313"/>
      <c r="K24" s="1313"/>
      <c r="L24" s="1310">
        <f t="shared" si="0"/>
        <v>18822</v>
      </c>
      <c r="M24" s="1313">
        <v>27374</v>
      </c>
    </row>
    <row r="25" spans="2:14" ht="20.100000000000001" customHeight="1" x14ac:dyDescent="0.2">
      <c r="B25" s="1307" t="s">
        <v>2118</v>
      </c>
      <c r="C25" s="1311">
        <v>84.364999999999995</v>
      </c>
      <c r="D25" s="1312" t="s">
        <v>2084</v>
      </c>
      <c r="E25" s="1313"/>
      <c r="F25" s="1313">
        <f>30987-5895</f>
        <v>25092</v>
      </c>
      <c r="G25" s="1313"/>
      <c r="H25" s="1313"/>
      <c r="I25" s="1313">
        <v>30987</v>
      </c>
      <c r="J25" s="1313"/>
      <c r="K25" s="1313"/>
      <c r="L25" s="1310">
        <f t="shared" si="0"/>
        <v>30987</v>
      </c>
      <c r="M25" s="1313">
        <v>40252</v>
      </c>
    </row>
    <row r="26" spans="2:14" ht="20.100000000000001" customHeight="1" x14ac:dyDescent="0.2">
      <c r="B26" s="1307" t="s">
        <v>2085</v>
      </c>
      <c r="C26" s="1311">
        <v>84.367000000000004</v>
      </c>
      <c r="D26" s="1312" t="s">
        <v>2086</v>
      </c>
      <c r="E26" s="1313">
        <v>59764</v>
      </c>
      <c r="F26" s="1313">
        <v>3855</v>
      </c>
      <c r="G26" s="1313">
        <v>63619</v>
      </c>
      <c r="H26" s="1313"/>
      <c r="I26" s="1313"/>
      <c r="J26" s="1313"/>
      <c r="K26" s="1313"/>
      <c r="L26" s="1310">
        <f t="shared" si="0"/>
        <v>63619</v>
      </c>
      <c r="M26" s="1313">
        <v>83755</v>
      </c>
    </row>
    <row r="27" spans="2:14" ht="20.100000000000001" customHeight="1" x14ac:dyDescent="0.2">
      <c r="B27" s="1307" t="s">
        <v>2085</v>
      </c>
      <c r="C27" s="1311">
        <v>84.367000000000004</v>
      </c>
      <c r="D27" s="1312" t="s">
        <v>2087</v>
      </c>
      <c r="E27" s="1313"/>
      <c r="F27" s="1313">
        <f>46179-6478</f>
        <v>39701</v>
      </c>
      <c r="G27" s="1313"/>
      <c r="H27" s="1313"/>
      <c r="I27" s="1313">
        <v>46179</v>
      </c>
      <c r="J27" s="1313"/>
      <c r="K27" s="1313"/>
      <c r="L27" s="1310">
        <f t="shared" si="0"/>
        <v>46179</v>
      </c>
      <c r="M27" s="1313">
        <v>92627</v>
      </c>
      <c r="N27" s="1314"/>
    </row>
    <row r="28" spans="2:14" ht="12.75" customHeight="1" x14ac:dyDescent="0.2">
      <c r="B28" s="1315" t="s">
        <v>2088</v>
      </c>
      <c r="C28" s="1316"/>
      <c r="D28" s="1317" t="s">
        <v>2109</v>
      </c>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2815-67C3-4D6F-A580-1E2F13D2B068}">
  <sheetPr>
    <tabColor rgb="FF92D050"/>
    <pageSetUpPr fitToPage="1"/>
  </sheetPr>
  <dimension ref="B1:N152"/>
  <sheetViews>
    <sheetView showGridLines="0"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2" t="str">
        <f>'Single Audit Cover'!A7</f>
        <v>Central CUSD 301</v>
      </c>
      <c r="C1" s="2503"/>
      <c r="D1" s="2503"/>
      <c r="E1" s="2503"/>
      <c r="F1" s="2503"/>
      <c r="G1" s="2503"/>
      <c r="H1" s="2503"/>
      <c r="I1" s="2503"/>
      <c r="J1" s="2503"/>
      <c r="K1" s="2503"/>
      <c r="L1" s="2503"/>
      <c r="M1" s="2503"/>
    </row>
    <row r="2" spans="2:14" ht="15" x14ac:dyDescent="0.2">
      <c r="B2" s="2504">
        <f>'Single Audit Cover'!E7</f>
        <v>31045301026</v>
      </c>
      <c r="C2" s="2504"/>
      <c r="D2" s="2504"/>
      <c r="E2" s="2504"/>
      <c r="F2" s="2504"/>
      <c r="G2" s="2504"/>
      <c r="H2" s="2504"/>
      <c r="I2" s="2504"/>
      <c r="J2" s="2504"/>
      <c r="K2" s="2504"/>
      <c r="L2" s="2504"/>
      <c r="M2" s="2504"/>
      <c r="N2" s="1272"/>
    </row>
    <row r="3" spans="2:14" ht="15" x14ac:dyDescent="0.2">
      <c r="B3" s="2505" t="s">
        <v>1219</v>
      </c>
      <c r="C3" s="2505"/>
      <c r="D3" s="2505"/>
      <c r="E3" s="2505"/>
      <c r="F3" s="2505"/>
      <c r="G3" s="2505"/>
      <c r="H3" s="2505"/>
      <c r="I3" s="2505"/>
      <c r="J3" s="2505"/>
      <c r="K3" s="2505"/>
      <c r="L3" s="2505"/>
      <c r="M3" s="2505"/>
      <c r="N3" s="1272"/>
    </row>
    <row r="4" spans="2:14" ht="15" x14ac:dyDescent="0.2">
      <c r="B4" s="2506" t="str">
        <f>'Single Audit Cover'!A4</f>
        <v>Year Ending June 30, 2019</v>
      </c>
      <c r="C4" s="2506"/>
      <c r="D4" s="2506"/>
      <c r="E4" s="2506"/>
      <c r="F4" s="2506"/>
      <c r="G4" s="2506"/>
      <c r="H4" s="2506"/>
      <c r="I4" s="2506"/>
      <c r="J4" s="2506"/>
      <c r="K4" s="2506"/>
      <c r="L4" s="2506"/>
      <c r="M4" s="2506"/>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2089</v>
      </c>
      <c r="C11" s="1308"/>
      <c r="D11" s="1309"/>
      <c r="E11" s="1310"/>
      <c r="F11" s="1310"/>
      <c r="G11" s="1310"/>
      <c r="H11" s="1310"/>
      <c r="I11" s="1310"/>
      <c r="J11" s="1310"/>
      <c r="K11" s="1310"/>
      <c r="L11" s="1310"/>
      <c r="M11" s="1310"/>
    </row>
    <row r="12" spans="2:14" ht="20.100000000000001" customHeight="1" x14ac:dyDescent="0.2">
      <c r="B12" s="1307" t="s">
        <v>2115</v>
      </c>
      <c r="C12" s="1311">
        <v>84.027000000000001</v>
      </c>
      <c r="D12" s="1312" t="s">
        <v>2090</v>
      </c>
      <c r="E12" s="1313">
        <v>21255</v>
      </c>
      <c r="F12" s="1313">
        <f>5358+3938+3395</f>
        <v>12691</v>
      </c>
      <c r="G12" s="1313">
        <v>21255</v>
      </c>
      <c r="H12" s="1313"/>
      <c r="I12" s="1313">
        <v>12691</v>
      </c>
      <c r="J12" s="1313"/>
      <c r="K12" s="1313"/>
      <c r="L12" s="1310">
        <f t="shared" ref="L12:L24" si="0">+G12+I12+K12</f>
        <v>33946</v>
      </c>
      <c r="M12" s="1313" t="s">
        <v>2072</v>
      </c>
    </row>
    <row r="13" spans="2:14" ht="20.100000000000001" customHeight="1" x14ac:dyDescent="0.2">
      <c r="B13" s="1307"/>
      <c r="C13" s="1311"/>
      <c r="D13" s="1312"/>
      <c r="E13" s="1313"/>
      <c r="F13" s="1313"/>
      <c r="G13" s="1313"/>
      <c r="H13" s="1313"/>
      <c r="I13" s="1313"/>
      <c r="J13" s="1313"/>
      <c r="K13" s="1313"/>
      <c r="L13" s="1310"/>
      <c r="M13" s="1313"/>
    </row>
    <row r="14" spans="2:14" ht="20.100000000000001" customHeight="1" x14ac:dyDescent="0.2">
      <c r="B14" s="1307" t="s">
        <v>2091</v>
      </c>
      <c r="C14" s="1311"/>
      <c r="D14" s="1312"/>
      <c r="E14" s="1313"/>
      <c r="F14" s="1313"/>
      <c r="G14" s="1313"/>
      <c r="H14" s="1313"/>
      <c r="I14" s="1313"/>
      <c r="J14" s="1313"/>
      <c r="K14" s="1313"/>
      <c r="L14" s="1310"/>
      <c r="M14" s="1313"/>
    </row>
    <row r="15" spans="2:14" ht="20.100000000000001" customHeight="1" x14ac:dyDescent="0.2">
      <c r="B15" s="1307" t="s">
        <v>2116</v>
      </c>
      <c r="C15" s="1311">
        <v>84.027000000000001</v>
      </c>
      <c r="D15" s="1312" t="s">
        <v>2092</v>
      </c>
      <c r="E15" s="1313">
        <v>563935</v>
      </c>
      <c r="F15" s="1313">
        <f>620741-563935</f>
        <v>56806</v>
      </c>
      <c r="G15" s="1313">
        <v>620741</v>
      </c>
      <c r="H15" s="1313"/>
      <c r="I15" s="1313"/>
      <c r="J15" s="1313"/>
      <c r="K15" s="1313"/>
      <c r="L15" s="1310">
        <f t="shared" si="0"/>
        <v>620741</v>
      </c>
      <c r="M15" s="1313">
        <v>757244</v>
      </c>
    </row>
    <row r="16" spans="2:14" ht="20.100000000000001" customHeight="1" x14ac:dyDescent="0.2">
      <c r="B16" s="1307" t="s">
        <v>2116</v>
      </c>
      <c r="C16" s="1311">
        <v>84.027000000000001</v>
      </c>
      <c r="D16" s="1312" t="s">
        <v>2093</v>
      </c>
      <c r="E16" s="1313"/>
      <c r="F16" s="1313">
        <f>401493-56806</f>
        <v>344687</v>
      </c>
      <c r="G16" s="1313"/>
      <c r="H16" s="1313"/>
      <c r="I16" s="1313">
        <v>790962</v>
      </c>
      <c r="J16" s="1313"/>
      <c r="K16" s="1313"/>
      <c r="L16" s="1310">
        <f t="shared" si="0"/>
        <v>790962</v>
      </c>
      <c r="M16" s="1313">
        <v>825248</v>
      </c>
    </row>
    <row r="17" spans="2:14" ht="20.100000000000001" customHeight="1" x14ac:dyDescent="0.2">
      <c r="B17" s="1307" t="s">
        <v>2117</v>
      </c>
      <c r="C17" s="1311">
        <v>84.173000000000002</v>
      </c>
      <c r="D17" s="1312" t="s">
        <v>2094</v>
      </c>
      <c r="E17" s="1313">
        <v>3778</v>
      </c>
      <c r="F17" s="1313">
        <f>4628-3778</f>
        <v>850</v>
      </c>
      <c r="G17" s="1313">
        <v>4628</v>
      </c>
      <c r="H17" s="1313"/>
      <c r="I17" s="1313"/>
      <c r="J17" s="1313"/>
      <c r="K17" s="1313"/>
      <c r="L17" s="1310">
        <f t="shared" si="0"/>
        <v>4628</v>
      </c>
      <c r="M17" s="1313">
        <v>8162</v>
      </c>
    </row>
    <row r="18" spans="2:14" ht="20.100000000000001" customHeight="1" x14ac:dyDescent="0.2">
      <c r="B18" s="1307" t="s">
        <v>2117</v>
      </c>
      <c r="C18" s="1311">
        <v>84.173000000000002</v>
      </c>
      <c r="D18" s="1312" t="s">
        <v>2095</v>
      </c>
      <c r="E18" s="1313"/>
      <c r="F18" s="1313">
        <f>5837-850</f>
        <v>4987</v>
      </c>
      <c r="G18" s="1313"/>
      <c r="H18" s="1313"/>
      <c r="I18" s="1313">
        <v>10571</v>
      </c>
      <c r="J18" s="1313"/>
      <c r="K18" s="1313"/>
      <c r="L18" s="1310">
        <f t="shared" si="0"/>
        <v>10571</v>
      </c>
      <c r="M18" s="1313">
        <v>10650</v>
      </c>
    </row>
    <row r="19" spans="2:14" ht="20.100000000000001" customHeight="1" x14ac:dyDescent="0.2">
      <c r="B19" s="1307" t="s">
        <v>2096</v>
      </c>
      <c r="C19" s="1311"/>
      <c r="D19" s="1312"/>
      <c r="E19" s="1313">
        <f>+E18+E17+E16+E15+E12</f>
        <v>588968</v>
      </c>
      <c r="F19" s="1313">
        <f>+F18+F17+F16+F15+F12</f>
        <v>420021</v>
      </c>
      <c r="G19" s="1313">
        <f>+G18+G17+G16+G15+G12</f>
        <v>646624</v>
      </c>
      <c r="H19" s="1313"/>
      <c r="I19" s="1313">
        <f>+I18+I17+I16+I15+I12</f>
        <v>814224</v>
      </c>
      <c r="J19" s="1313"/>
      <c r="K19" s="1313"/>
      <c r="L19" s="1310">
        <f t="shared" si="0"/>
        <v>1460848</v>
      </c>
      <c r="M19" s="1313"/>
    </row>
    <row r="20" spans="2:14" ht="20.100000000000001" customHeight="1" x14ac:dyDescent="0.2">
      <c r="B20" s="1307"/>
      <c r="C20" s="1311"/>
      <c r="D20" s="1312"/>
      <c r="E20" s="1313"/>
      <c r="F20" s="1313"/>
      <c r="G20" s="1313"/>
      <c r="H20" s="1313"/>
      <c r="I20" s="1313"/>
      <c r="J20" s="1313"/>
      <c r="K20" s="1313"/>
      <c r="L20" s="1310"/>
      <c r="M20" s="1313"/>
    </row>
    <row r="21" spans="2:14" ht="20.100000000000001" customHeight="1" x14ac:dyDescent="0.2">
      <c r="B21" s="1307" t="s">
        <v>2097</v>
      </c>
      <c r="C21" s="1311"/>
      <c r="D21" s="1312"/>
      <c r="E21" s="1313"/>
      <c r="F21" s="1313"/>
      <c r="G21" s="1313"/>
      <c r="H21" s="1313"/>
      <c r="I21" s="1313"/>
      <c r="J21" s="1313"/>
      <c r="K21" s="1313"/>
      <c r="L21" s="1310"/>
      <c r="M21" s="1313"/>
    </row>
    <row r="22" spans="2:14" ht="20.100000000000001" customHeight="1" x14ac:dyDescent="0.2">
      <c r="B22" s="1307" t="s">
        <v>2098</v>
      </c>
      <c r="C22" s="1311">
        <v>84.048000000000002</v>
      </c>
      <c r="D22" s="1312" t="s">
        <v>2099</v>
      </c>
      <c r="E22" s="1313">
        <v>27500</v>
      </c>
      <c r="F22" s="1313">
        <f>50971-27500</f>
        <v>23471</v>
      </c>
      <c r="G22" s="1313">
        <v>50971</v>
      </c>
      <c r="H22" s="1313"/>
      <c r="I22" s="1313"/>
      <c r="J22" s="1313"/>
      <c r="K22" s="1313"/>
      <c r="L22" s="1310">
        <f t="shared" si="0"/>
        <v>50971</v>
      </c>
      <c r="M22" s="1313">
        <v>50971</v>
      </c>
    </row>
    <row r="23" spans="2:14" ht="20.100000000000001" customHeight="1" x14ac:dyDescent="0.2">
      <c r="B23" s="1307" t="s">
        <v>2098</v>
      </c>
      <c r="C23" s="1311">
        <v>84.048000000000002</v>
      </c>
      <c r="D23" s="1312" t="s">
        <v>2100</v>
      </c>
      <c r="E23" s="1313"/>
      <c r="F23" s="1313">
        <f>46014-23471</f>
        <v>22543</v>
      </c>
      <c r="G23" s="1313"/>
      <c r="H23" s="1313"/>
      <c r="I23" s="1313">
        <v>22543</v>
      </c>
      <c r="J23" s="1313"/>
      <c r="K23" s="1313"/>
      <c r="L23" s="1310">
        <f t="shared" si="0"/>
        <v>22543</v>
      </c>
      <c r="M23" s="1313">
        <v>22543</v>
      </c>
    </row>
    <row r="24" spans="2:14" ht="20.100000000000001" customHeight="1" x14ac:dyDescent="0.2">
      <c r="B24" s="1307" t="s">
        <v>2101</v>
      </c>
      <c r="C24" s="1311"/>
      <c r="D24" s="1312"/>
      <c r="E24" s="1313">
        <f>+E23+E22+E19+' SEFA'!E26+' SEFA'!E24+' SEFA'!E22</f>
        <v>862182</v>
      </c>
      <c r="F24" s="1313">
        <f>+F23+F22+F19+' SEFA'!F27+' SEFA'!F26+' SEFA'!F25+' SEFA'!F23+' SEFA'!F22</f>
        <v>878547</v>
      </c>
      <c r="G24" s="1313">
        <f>+G22+G19+' SEFA'!G26+' SEFA'!G24+' SEFA'!G22</f>
        <v>1044368</v>
      </c>
      <c r="H24" s="1313"/>
      <c r="I24" s="1313">
        <f>+I23+I22+I19+' SEFA'!I27+' SEFA'!I25+' SEFA'!I23+' SEFA'!I22</f>
        <v>1231986</v>
      </c>
      <c r="J24" s="1313"/>
      <c r="K24" s="1313"/>
      <c r="L24" s="1310">
        <f t="shared" si="0"/>
        <v>2276354</v>
      </c>
      <c r="M24" s="1313"/>
    </row>
    <row r="25" spans="2:14" ht="20.100000000000001" customHeight="1" x14ac:dyDescent="0.2">
      <c r="B25" s="1307"/>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50EE-A470-4941-9C36-8AC5E225BCAA}">
  <sheetPr>
    <tabColor rgb="FF92D050"/>
    <pageSetUpPr fitToPage="1"/>
  </sheetPr>
  <dimension ref="B1:N152"/>
  <sheetViews>
    <sheetView showGridLines="0"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2" t="str">
        <f>'Single Audit Cover'!A7</f>
        <v>Central CUSD 301</v>
      </c>
      <c r="C1" s="2503"/>
      <c r="D1" s="2503"/>
      <c r="E1" s="2503"/>
      <c r="F1" s="2503"/>
      <c r="G1" s="2503"/>
      <c r="H1" s="2503"/>
      <c r="I1" s="2503"/>
      <c r="J1" s="2503"/>
      <c r="K1" s="2503"/>
      <c r="L1" s="2503"/>
      <c r="M1" s="2503"/>
    </row>
    <row r="2" spans="2:14" ht="15" x14ac:dyDescent="0.2">
      <c r="B2" s="2504">
        <f>'Single Audit Cover'!E7</f>
        <v>31045301026</v>
      </c>
      <c r="C2" s="2504"/>
      <c r="D2" s="2504"/>
      <c r="E2" s="2504"/>
      <c r="F2" s="2504"/>
      <c r="G2" s="2504"/>
      <c r="H2" s="2504"/>
      <c r="I2" s="2504"/>
      <c r="J2" s="2504"/>
      <c r="K2" s="2504"/>
      <c r="L2" s="2504"/>
      <c r="M2" s="2504"/>
      <c r="N2" s="1272"/>
    </row>
    <row r="3" spans="2:14" ht="15" x14ac:dyDescent="0.2">
      <c r="B3" s="2505" t="s">
        <v>1219</v>
      </c>
      <c r="C3" s="2505"/>
      <c r="D3" s="2505"/>
      <c r="E3" s="2505"/>
      <c r="F3" s="2505"/>
      <c r="G3" s="2505"/>
      <c r="H3" s="2505"/>
      <c r="I3" s="2505"/>
      <c r="J3" s="2505"/>
      <c r="K3" s="2505"/>
      <c r="L3" s="2505"/>
      <c r="M3" s="2505"/>
      <c r="N3" s="1272"/>
    </row>
    <row r="4" spans="2:14" ht="15" x14ac:dyDescent="0.2">
      <c r="B4" s="2506" t="str">
        <f>'Single Audit Cover'!A4</f>
        <v>Year Ending June 30, 2019</v>
      </c>
      <c r="C4" s="2506"/>
      <c r="D4" s="2506"/>
      <c r="E4" s="2506"/>
      <c r="F4" s="2506"/>
      <c r="G4" s="2506"/>
      <c r="H4" s="2506"/>
      <c r="I4" s="2506"/>
      <c r="J4" s="2506"/>
      <c r="K4" s="2506"/>
      <c r="L4" s="2506"/>
      <c r="M4" s="2506"/>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2102</v>
      </c>
      <c r="C11" s="1308"/>
      <c r="D11" s="1309"/>
      <c r="E11" s="1310"/>
      <c r="F11" s="1310"/>
      <c r="G11" s="1310"/>
      <c r="H11" s="1310"/>
      <c r="I11" s="1310"/>
      <c r="J11" s="1310"/>
      <c r="K11" s="1310"/>
      <c r="L11" s="1310"/>
      <c r="M11" s="1310"/>
    </row>
    <row r="12" spans="2:14" ht="20.100000000000001" customHeight="1" x14ac:dyDescent="0.2">
      <c r="B12" s="1307" t="s">
        <v>2103</v>
      </c>
      <c r="C12" s="1311"/>
      <c r="D12" s="1312"/>
      <c r="E12" s="1313"/>
      <c r="F12" s="1313"/>
      <c r="G12" s="1313"/>
      <c r="H12" s="1313"/>
      <c r="I12" s="1313"/>
      <c r="J12" s="1313"/>
      <c r="K12" s="1313"/>
      <c r="L12" s="1310"/>
      <c r="M12" s="1313"/>
    </row>
    <row r="13" spans="2:14" ht="20.100000000000001" customHeight="1" x14ac:dyDescent="0.2">
      <c r="B13" s="1307" t="s">
        <v>2104</v>
      </c>
      <c r="C13" s="1311">
        <v>93.778000000000006</v>
      </c>
      <c r="D13" s="1312" t="s">
        <v>2105</v>
      </c>
      <c r="E13" s="1313">
        <v>58440</v>
      </c>
      <c r="F13" s="1313">
        <f>78442-58440</f>
        <v>20002</v>
      </c>
      <c r="G13" s="1313">
        <v>78442</v>
      </c>
      <c r="H13" s="1313"/>
      <c r="I13" s="1313"/>
      <c r="J13" s="1313"/>
      <c r="K13" s="1313"/>
      <c r="L13" s="1310">
        <f t="shared" ref="L13:L17" si="0">+G13+I13+K13</f>
        <v>78442</v>
      </c>
      <c r="M13" s="1313" t="s">
        <v>2072</v>
      </c>
    </row>
    <row r="14" spans="2:14" ht="20.100000000000001" customHeight="1" x14ac:dyDescent="0.2">
      <c r="B14" s="1307" t="s">
        <v>2104</v>
      </c>
      <c r="C14" s="1311">
        <v>93.778000000000006</v>
      </c>
      <c r="D14" s="1312" t="s">
        <v>2106</v>
      </c>
      <c r="E14" s="1313"/>
      <c r="F14" s="1313">
        <v>60600</v>
      </c>
      <c r="G14" s="1313"/>
      <c r="H14" s="1313"/>
      <c r="I14" s="1313">
        <v>79055</v>
      </c>
      <c r="J14" s="1313"/>
      <c r="K14" s="1313"/>
      <c r="L14" s="1310">
        <f t="shared" si="0"/>
        <v>79055</v>
      </c>
      <c r="M14" s="1313" t="s">
        <v>2072</v>
      </c>
    </row>
    <row r="15" spans="2:14" ht="20.100000000000001" customHeight="1" x14ac:dyDescent="0.2">
      <c r="B15" s="1307" t="s">
        <v>2107</v>
      </c>
      <c r="C15" s="1311"/>
      <c r="D15" s="1312"/>
      <c r="E15" s="1313">
        <f>+E13</f>
        <v>58440</v>
      </c>
      <c r="F15" s="1313">
        <f>+F14+F13</f>
        <v>80602</v>
      </c>
      <c r="G15" s="1313">
        <f>+G13</f>
        <v>78442</v>
      </c>
      <c r="H15" s="1313"/>
      <c r="I15" s="1313">
        <f>+I14+I13</f>
        <v>79055</v>
      </c>
      <c r="J15" s="1313"/>
      <c r="K15" s="1313"/>
      <c r="L15" s="1310">
        <f>+G15+I15+K15</f>
        <v>157497</v>
      </c>
      <c r="M15" s="1313"/>
    </row>
    <row r="16" spans="2:14" ht="20.100000000000001" customHeight="1" x14ac:dyDescent="0.2">
      <c r="B16" s="1307"/>
      <c r="C16" s="1311"/>
      <c r="D16" s="1312"/>
      <c r="E16" s="1313"/>
      <c r="F16" s="1313"/>
      <c r="G16" s="1313"/>
      <c r="H16" s="1313"/>
      <c r="I16" s="1313"/>
      <c r="J16" s="1313"/>
      <c r="K16" s="1313"/>
      <c r="L16" s="1310"/>
      <c r="M16" s="1313"/>
    </row>
    <row r="17" spans="2:14" ht="20.100000000000001" customHeight="1" x14ac:dyDescent="0.2">
      <c r="B17" s="1307" t="s">
        <v>2108</v>
      </c>
      <c r="C17" s="1311"/>
      <c r="D17" s="1312"/>
      <c r="E17" s="1313">
        <f>+E15+' SEFA (2)'!E24+' SEFA'!E18</f>
        <v>1120496</v>
      </c>
      <c r="F17" s="1313">
        <f>+F15+' SEFA (2)'!F24+' SEFA'!F18</f>
        <v>1263012</v>
      </c>
      <c r="G17" s="1313">
        <f>+G15+' SEFA (2)'!G24+' SEFA'!G18</f>
        <v>1322684</v>
      </c>
      <c r="H17" s="1313"/>
      <c r="I17" s="1313">
        <f>+I15+' SEFA (2)'!I24+' SEFA'!I18</f>
        <v>1618605</v>
      </c>
      <c r="J17" s="1313"/>
      <c r="K17" s="1313"/>
      <c r="L17" s="1310">
        <f t="shared" si="0"/>
        <v>2941289</v>
      </c>
      <c r="M17" s="1313"/>
    </row>
    <row r="18" spans="2:14" ht="20.100000000000001" customHeight="1" x14ac:dyDescent="0.2">
      <c r="B18" s="1307"/>
      <c r="C18" s="1311"/>
      <c r="D18" s="1312"/>
      <c r="E18" s="1313"/>
      <c r="F18" s="1313"/>
      <c r="G18" s="1313"/>
      <c r="H18" s="1313"/>
      <c r="I18" s="1313"/>
      <c r="J18" s="1313"/>
      <c r="K18" s="1313"/>
      <c r="L18" s="1310"/>
      <c r="M18" s="1313"/>
    </row>
    <row r="19" spans="2:14" ht="20.100000000000001" customHeight="1" x14ac:dyDescent="0.2">
      <c r="B19" s="1307"/>
      <c r="C19" s="1311"/>
      <c r="D19" s="1312"/>
      <c r="E19" s="1313"/>
      <c r="F19" s="1313"/>
      <c r="G19" s="1313"/>
      <c r="H19" s="1313"/>
      <c r="I19" s="1313"/>
      <c r="J19" s="1313"/>
      <c r="K19" s="1313"/>
      <c r="L19" s="1310"/>
      <c r="M19" s="1313"/>
    </row>
    <row r="20" spans="2:14" ht="20.100000000000001" customHeight="1" x14ac:dyDescent="0.2">
      <c r="B20" s="1307"/>
      <c r="C20" s="1311"/>
      <c r="D20" s="1312"/>
      <c r="E20" s="1313"/>
      <c r="F20" s="1313"/>
      <c r="G20" s="1313"/>
      <c r="H20" s="1313"/>
      <c r="I20" s="1313"/>
      <c r="J20" s="1313"/>
      <c r="K20" s="1313"/>
      <c r="L20" s="1310"/>
      <c r="M20" s="1313"/>
    </row>
    <row r="21" spans="2:14" ht="20.100000000000001" customHeight="1" x14ac:dyDescent="0.2">
      <c r="B21" s="1307"/>
      <c r="C21" s="1311"/>
      <c r="D21" s="1312"/>
      <c r="E21" s="1313"/>
      <c r="F21" s="1313"/>
      <c r="G21" s="1313"/>
      <c r="H21" s="1313"/>
      <c r="I21" s="1313"/>
      <c r="J21" s="1313"/>
      <c r="K21" s="1313"/>
      <c r="L21" s="1310"/>
      <c r="M21" s="1313"/>
    </row>
    <row r="22" spans="2:14" ht="20.100000000000001" customHeight="1" x14ac:dyDescent="0.2">
      <c r="B22" s="1307"/>
      <c r="C22" s="1311"/>
      <c r="D22" s="1312"/>
      <c r="E22" s="1313"/>
      <c r="F22" s="1313"/>
      <c r="G22" s="1313"/>
      <c r="H22" s="1313"/>
      <c r="I22" s="1313"/>
      <c r="J22" s="1313"/>
      <c r="K22" s="1313"/>
      <c r="L22" s="1310"/>
      <c r="M22" s="1313"/>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c r="C24" s="1311"/>
      <c r="D24" s="1312"/>
      <c r="E24" s="1313"/>
      <c r="F24" s="1313"/>
      <c r="G24" s="1313"/>
      <c r="H24" s="1313"/>
      <c r="I24" s="1313"/>
      <c r="J24" s="1313"/>
      <c r="K24" s="1313"/>
      <c r="L24" s="1310"/>
      <c r="M24" s="1313"/>
    </row>
    <row r="25" spans="2:14" ht="20.100000000000001" customHeight="1" x14ac:dyDescent="0.2">
      <c r="B25" s="1307"/>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J32" sqref="J3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6" t="str">
        <f>'Single Audit Cover'!A7</f>
        <v>Central CUSD 301</v>
      </c>
      <c r="B1" s="2516"/>
      <c r="C1" s="2516"/>
      <c r="D1" s="2516"/>
      <c r="E1" s="2516"/>
      <c r="F1" s="2516"/>
    </row>
    <row r="2" spans="1:7" ht="13.5" customHeight="1" x14ac:dyDescent="0.2">
      <c r="A2" s="2504">
        <f>'Single Audit Cover'!E7</f>
        <v>31045301026</v>
      </c>
      <c r="B2" s="2504"/>
      <c r="C2" s="2504"/>
      <c r="D2" s="2504"/>
      <c r="E2" s="2504"/>
      <c r="F2" s="2504"/>
      <c r="G2" s="1245"/>
    </row>
    <row r="3" spans="1:7" ht="15.75" customHeight="1" x14ac:dyDescent="0.2">
      <c r="A3" s="2517" t="s">
        <v>1271</v>
      </c>
      <c r="B3" s="2517"/>
      <c r="C3" s="2517"/>
      <c r="D3" s="2517"/>
      <c r="E3" s="2517"/>
      <c r="F3" s="2517"/>
    </row>
    <row r="4" spans="1:7" ht="13.5" customHeight="1" x14ac:dyDescent="0.2">
      <c r="A4" s="2518" t="str">
        <f>'Single Audit Cover'!A4</f>
        <v>Year Ending June 30, 2019</v>
      </c>
      <c r="B4" s="2518"/>
      <c r="C4" s="2518"/>
      <c r="D4" s="2518"/>
      <c r="E4" s="2518"/>
      <c r="F4" s="2518"/>
    </row>
    <row r="5" spans="1:7" ht="8.25" customHeight="1" x14ac:dyDescent="0.2">
      <c r="C5" s="317"/>
      <c r="D5" s="317"/>
    </row>
    <row r="6" spans="1:7" ht="13.5" customHeight="1" x14ac:dyDescent="0.2">
      <c r="A6" s="1246" t="s">
        <v>1728</v>
      </c>
      <c r="C6" s="317"/>
      <c r="D6" s="317"/>
    </row>
    <row r="7" spans="1:7" ht="60.95" customHeight="1" x14ac:dyDescent="0.2">
      <c r="A7" s="2515" t="s">
        <v>2165</v>
      </c>
      <c r="B7" s="2515"/>
      <c r="C7" s="2515"/>
      <c r="D7" s="2515"/>
      <c r="E7" s="2515"/>
      <c r="F7" s="2515"/>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2125</v>
      </c>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5" t="s">
        <v>2167</v>
      </c>
      <c r="B13" s="2515"/>
      <c r="C13" s="2515"/>
      <c r="D13" s="2515"/>
      <c r="E13" s="2515"/>
      <c r="F13" s="2515"/>
    </row>
    <row r="14" spans="1:7" ht="9.75" customHeight="1" x14ac:dyDescent="0.2">
      <c r="C14" s="1230"/>
      <c r="D14" s="1230"/>
    </row>
    <row r="15" spans="1:7" ht="13.5" customHeight="1" x14ac:dyDescent="0.2">
      <c r="C15" s="1819" t="s">
        <v>1270</v>
      </c>
      <c r="D15" s="2513" t="s">
        <v>1269</v>
      </c>
      <c r="E15" s="2513"/>
      <c r="F15" s="2513"/>
    </row>
    <row r="16" spans="1:7" ht="13.5" customHeight="1" x14ac:dyDescent="0.2">
      <c r="A16" s="1252"/>
      <c r="B16" s="1246" t="s">
        <v>1268</v>
      </c>
      <c r="C16" s="1819" t="s">
        <v>1267</v>
      </c>
      <c r="D16" s="2514" t="s">
        <v>1588</v>
      </c>
      <c r="E16" s="2514"/>
      <c r="F16" s="2514"/>
    </row>
    <row r="17" spans="1:6" ht="20.45" customHeight="1" x14ac:dyDescent="0.2">
      <c r="A17" s="1253"/>
      <c r="B17" s="1254" t="s">
        <v>2166</v>
      </c>
      <c r="C17" s="1255"/>
      <c r="D17" s="2508"/>
      <c r="E17" s="2508"/>
      <c r="F17" s="2508"/>
    </row>
    <row r="18" spans="1:6" ht="20.65" customHeight="1" x14ac:dyDescent="0.2">
      <c r="A18" s="1253"/>
      <c r="B18" s="1254"/>
      <c r="C18" s="1255"/>
      <c r="D18" s="2508"/>
      <c r="E18" s="2508"/>
      <c r="F18" s="2508"/>
    </row>
    <row r="19" spans="1:6" ht="20.65" customHeight="1" x14ac:dyDescent="0.2">
      <c r="A19" s="1253"/>
      <c r="B19" s="1254"/>
      <c r="C19" s="1255"/>
      <c r="D19" s="2508"/>
      <c r="E19" s="2508"/>
      <c r="F19" s="2508"/>
    </row>
    <row r="20" spans="1:6" ht="20.65" customHeight="1" x14ac:dyDescent="0.2">
      <c r="A20" s="1253"/>
      <c r="B20" s="1254"/>
      <c r="C20" s="1255"/>
      <c r="D20" s="2508"/>
      <c r="E20" s="2508"/>
      <c r="F20" s="2508"/>
    </row>
    <row r="21" spans="1:6" ht="20.65" customHeight="1" x14ac:dyDescent="0.2">
      <c r="A21" s="1253"/>
      <c r="B21" s="1254"/>
      <c r="C21" s="1255"/>
      <c r="D21" s="2508"/>
      <c r="E21" s="2508"/>
      <c r="F21" s="2508"/>
    </row>
    <row r="22" spans="1:6" ht="20.65" customHeight="1" x14ac:dyDescent="0.2">
      <c r="A22" s="1253"/>
      <c r="B22" s="1254"/>
      <c r="C22" s="1255"/>
      <c r="D22" s="2508"/>
      <c r="E22" s="2508"/>
      <c r="F22" s="2508"/>
    </row>
    <row r="23" spans="1:6" ht="20.65" customHeight="1" x14ac:dyDescent="0.2">
      <c r="A23" s="1253"/>
      <c r="B23" s="1254"/>
      <c r="C23" s="1255"/>
      <c r="D23" s="2508"/>
      <c r="E23" s="2508"/>
      <c r="F23" s="2508"/>
    </row>
    <row r="24" spans="1:6" ht="20.65" customHeight="1" x14ac:dyDescent="0.2">
      <c r="A24" s="1253"/>
      <c r="B24" s="1254"/>
      <c r="C24" s="1255"/>
      <c r="D24" s="2508"/>
      <c r="E24" s="2508"/>
      <c r="F24" s="2508"/>
    </row>
    <row r="25" spans="1:6" ht="20.65" customHeight="1" x14ac:dyDescent="0.2">
      <c r="A25" s="1253"/>
      <c r="B25" s="1254"/>
      <c r="C25" s="1255"/>
      <c r="D25" s="2508"/>
      <c r="E25" s="2508"/>
      <c r="F25" s="2508"/>
    </row>
    <row r="26" spans="1:6" ht="20.65" customHeight="1" x14ac:dyDescent="0.2">
      <c r="A26" s="1253"/>
      <c r="B26" s="1254"/>
      <c r="C26" s="1255"/>
      <c r="D26" s="2508"/>
      <c r="E26" s="2508"/>
      <c r="F26" s="2508"/>
    </row>
    <row r="27" spans="1:6" ht="20.65" customHeight="1" x14ac:dyDescent="0.2">
      <c r="A27" s="1253"/>
      <c r="B27" s="1254"/>
      <c r="C27" s="1255"/>
      <c r="D27" s="2508"/>
      <c r="E27" s="2508"/>
      <c r="F27" s="2508"/>
    </row>
    <row r="28" spans="1:6" ht="20.65" customHeight="1" x14ac:dyDescent="0.2">
      <c r="A28" s="1253"/>
      <c r="B28" s="1254"/>
      <c r="C28" s="1255"/>
      <c r="D28" s="2508"/>
      <c r="E28" s="2508"/>
      <c r="F28" s="2508"/>
    </row>
    <row r="29" spans="1:6" ht="20.65" customHeight="1" x14ac:dyDescent="0.2">
      <c r="A29" s="1253"/>
      <c r="B29" s="1254"/>
      <c r="C29" s="1255"/>
      <c r="D29" s="2508"/>
      <c r="E29" s="2508"/>
      <c r="F29" s="2508"/>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9" t="s">
        <v>2171</v>
      </c>
      <c r="B32" s="2509"/>
      <c r="C32" s="2509"/>
      <c r="D32" s="2509"/>
      <c r="E32" s="2509"/>
      <c r="F32" s="2509"/>
    </row>
    <row r="33" spans="1:6" ht="13.5" customHeight="1" x14ac:dyDescent="0.2">
      <c r="A33" s="328" t="s">
        <v>1434</v>
      </c>
      <c r="B33" s="328"/>
      <c r="C33" s="1258">
        <v>45592</v>
      </c>
      <c r="D33" s="1876"/>
      <c r="E33" s="1256"/>
    </row>
    <row r="34" spans="1:6" ht="13.5" customHeight="1" x14ac:dyDescent="0.2">
      <c r="A34" s="328" t="s">
        <v>1835</v>
      </c>
      <c r="B34" s="328"/>
      <c r="C34" s="1259">
        <v>25096</v>
      </c>
      <c r="D34" s="1876" t="s">
        <v>1589</v>
      </c>
      <c r="E34" s="2510">
        <f>+C33+C34</f>
        <v>70688</v>
      </c>
      <c r="F34" s="2511"/>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t="s">
        <v>99</v>
      </c>
      <c r="D38" s="1876"/>
      <c r="E38" s="1256"/>
    </row>
    <row r="39" spans="1:6" ht="14.25" customHeight="1" x14ac:dyDescent="0.2">
      <c r="A39" s="328"/>
      <c r="B39" s="328" t="s">
        <v>1436</v>
      </c>
      <c r="C39" s="1262" t="s">
        <v>99</v>
      </c>
      <c r="D39" s="1876"/>
      <c r="E39" s="1256"/>
    </row>
    <row r="40" spans="1:6" ht="14.25" customHeight="1" x14ac:dyDescent="0.2">
      <c r="A40" s="328"/>
      <c r="B40" s="328" t="s">
        <v>1437</v>
      </c>
      <c r="C40" s="1262" t="s">
        <v>99</v>
      </c>
      <c r="D40" s="1876"/>
      <c r="E40" s="1256"/>
    </row>
    <row r="41" spans="1:6" ht="14.25" customHeight="1" x14ac:dyDescent="0.2">
      <c r="A41" s="328"/>
      <c r="B41" s="328" t="s">
        <v>1438</v>
      </c>
      <c r="C41" s="1262" t="s">
        <v>99</v>
      </c>
      <c r="D41" s="1876"/>
      <c r="E41" s="1256"/>
    </row>
    <row r="42" spans="1:6" ht="14.25" customHeight="1" x14ac:dyDescent="0.2">
      <c r="A42" s="328" t="s">
        <v>1439</v>
      </c>
      <c r="B42" s="328"/>
      <c r="C42" s="1874" t="s">
        <v>99</v>
      </c>
      <c r="D42" s="1876"/>
      <c r="E42" s="1256"/>
    </row>
    <row r="43" spans="1:6" ht="14.25" customHeight="1" x14ac:dyDescent="0.2">
      <c r="A43" s="328" t="s">
        <v>1440</v>
      </c>
      <c r="B43" s="328"/>
      <c r="C43" s="1263" t="s">
        <v>99</v>
      </c>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1730</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2" t="s">
        <v>1590</v>
      </c>
      <c r="C49" s="2512"/>
      <c r="D49" s="2512"/>
      <c r="E49" s="1369"/>
    </row>
    <row r="50" spans="1:5" s="1270" customFormat="1" ht="3.75" customHeight="1" x14ac:dyDescent="0.2">
      <c r="A50" s="1269"/>
      <c r="B50" s="1818"/>
      <c r="C50" s="1818"/>
      <c r="D50" s="1818"/>
      <c r="E50" s="1369"/>
    </row>
    <row r="51" spans="1:5" s="1270" customFormat="1" ht="20.25" customHeight="1" x14ac:dyDescent="0.2">
      <c r="A51" s="1271">
        <v>6</v>
      </c>
      <c r="B51" s="2507" t="s">
        <v>1551</v>
      </c>
      <c r="C51" s="2507"/>
      <c r="D51" s="2507"/>
    </row>
    <row r="52" spans="1:5" ht="14.25" customHeight="1" x14ac:dyDescent="0.2">
      <c r="A52" s="1271"/>
      <c r="B52" s="2507"/>
      <c r="C52" s="2507"/>
      <c r="D52" s="250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25" zoomScale="110" zoomScaleNormal="110" workbookViewId="0">
      <selection activeCell="P37" sqref="P37"/>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0" t="str">
        <f>'Single Audit Cover'!A7</f>
        <v>Central CUSD 301</v>
      </c>
      <c r="C1" s="2531"/>
      <c r="D1" s="2531"/>
      <c r="E1" s="2531"/>
      <c r="F1" s="2531"/>
      <c r="G1" s="2531"/>
      <c r="H1" s="2531"/>
      <c r="I1" s="2531"/>
      <c r="J1" s="1379"/>
    </row>
    <row r="2" spans="2:10" s="317" customFormat="1" ht="12.75" customHeight="1" x14ac:dyDescent="0.2">
      <c r="B2" s="2532">
        <f>'Single Audit Cover'!E7</f>
        <v>31045301026</v>
      </c>
      <c r="C2" s="2533"/>
      <c r="D2" s="2533"/>
      <c r="E2" s="2533"/>
      <c r="F2" s="2533"/>
      <c r="G2" s="2533"/>
      <c r="H2" s="2533"/>
      <c r="I2" s="2533"/>
      <c r="J2" s="1379"/>
    </row>
    <row r="3" spans="2:10" s="317" customFormat="1" ht="12.75" customHeight="1" x14ac:dyDescent="0.2">
      <c r="B3" s="2534" t="s">
        <v>1285</v>
      </c>
      <c r="C3" s="2535"/>
      <c r="D3" s="2535"/>
      <c r="E3" s="2535"/>
      <c r="F3" s="2535"/>
      <c r="G3" s="2535"/>
      <c r="H3" s="2535"/>
      <c r="I3" s="2535"/>
      <c r="J3" s="1380"/>
    </row>
    <row r="4" spans="2:10" s="317" customFormat="1" ht="12.75" customHeight="1" x14ac:dyDescent="0.2">
      <c r="B4" s="2534" t="str">
        <f>'Single Audit Cover'!A4</f>
        <v>Year Ending June 30, 2019</v>
      </c>
      <c r="C4" s="2535"/>
      <c r="D4" s="2535"/>
      <c r="E4" s="2535"/>
      <c r="F4" s="2535"/>
      <c r="G4" s="2535"/>
      <c r="H4" s="2535"/>
      <c r="I4" s="2535"/>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4" t="s">
        <v>1284</v>
      </c>
      <c r="C7" s="2535"/>
      <c r="D7" s="2535"/>
      <c r="E7" s="2535"/>
      <c r="F7" s="2535"/>
      <c r="G7" s="2535"/>
      <c r="H7" s="2535"/>
      <c r="I7" s="2535"/>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6" t="s">
        <v>2168</v>
      </c>
      <c r="D11" s="2536"/>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t="s">
        <v>2119</v>
      </c>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t="s">
        <v>2119</v>
      </c>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2119</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2119</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t="s">
        <v>2119</v>
      </c>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7" t="s">
        <v>2172</v>
      </c>
      <c r="E29" s="2537"/>
      <c r="F29" s="2537"/>
      <c r="G29" s="2537"/>
      <c r="H29" s="2537"/>
      <c r="I29" s="2537"/>
    </row>
    <row r="30" spans="2:9" s="317" customFormat="1" x14ac:dyDescent="0.2">
      <c r="B30" s="1338"/>
      <c r="C30" s="322"/>
      <c r="D30" s="1390" t="s">
        <v>1745</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t="s">
        <v>2119</v>
      </c>
      <c r="H33" s="1270" t="s">
        <v>99</v>
      </c>
    </row>
    <row r="35" spans="2:9" x14ac:dyDescent="0.2">
      <c r="B35" s="1398" t="s">
        <v>1746</v>
      </c>
      <c r="C35" s="1399"/>
      <c r="D35" s="1237"/>
    </row>
    <row r="36" spans="2:9" ht="6" customHeight="1" x14ac:dyDescent="0.2">
      <c r="B36" s="1398"/>
      <c r="C36" s="1399"/>
      <c r="D36" s="1237"/>
    </row>
    <row r="37" spans="2:9" ht="17.25" customHeight="1" x14ac:dyDescent="0.2">
      <c r="B37" s="1400" t="s">
        <v>1747</v>
      </c>
      <c r="C37" s="2538" t="s">
        <v>1748</v>
      </c>
      <c r="D37" s="2539"/>
      <c r="E37" s="2539"/>
      <c r="F37" s="2540"/>
      <c r="G37" s="2538" t="s">
        <v>1592</v>
      </c>
      <c r="H37" s="2539"/>
      <c r="I37" s="2540"/>
    </row>
    <row r="38" spans="2:9" ht="16.5" customHeight="1" x14ac:dyDescent="0.2">
      <c r="B38" s="1401" t="s">
        <v>2173</v>
      </c>
      <c r="C38" s="2526" t="s">
        <v>2169</v>
      </c>
      <c r="D38" s="2527"/>
      <c r="E38" s="2527"/>
      <c r="F38" s="2528"/>
      <c r="G38" s="2541">
        <v>814224</v>
      </c>
      <c r="H38" s="2542"/>
      <c r="I38" s="2543"/>
    </row>
    <row r="39" spans="2:9" ht="16.5" customHeight="1" x14ac:dyDescent="0.2">
      <c r="B39" s="1401">
        <v>84.01</v>
      </c>
      <c r="C39" s="2526" t="s">
        <v>918</v>
      </c>
      <c r="D39" s="2527"/>
      <c r="E39" s="2527"/>
      <c r="F39" s="2528"/>
      <c r="G39" s="2529">
        <v>318053</v>
      </c>
      <c r="H39" s="2529"/>
      <c r="I39" s="2529"/>
    </row>
    <row r="40" spans="2:9" ht="16.5" customHeight="1" x14ac:dyDescent="0.2">
      <c r="B40" s="1401"/>
      <c r="C40" s="2526"/>
      <c r="D40" s="2527"/>
      <c r="E40" s="2527"/>
      <c r="F40" s="2528"/>
      <c r="G40" s="2529"/>
      <c r="H40" s="2529"/>
      <c r="I40" s="2529"/>
    </row>
    <row r="41" spans="2:9" ht="16.5" customHeight="1" x14ac:dyDescent="0.2">
      <c r="B41" s="1401"/>
      <c r="C41" s="2526"/>
      <c r="D41" s="2527"/>
      <c r="E41" s="2527"/>
      <c r="F41" s="2528"/>
      <c r="G41" s="2529"/>
      <c r="H41" s="2529"/>
      <c r="I41" s="2529"/>
    </row>
    <row r="42" spans="2:9" ht="16.5" customHeight="1" x14ac:dyDescent="0.2">
      <c r="B42" s="1401"/>
      <c r="C42" s="2526"/>
      <c r="D42" s="2527"/>
      <c r="E42" s="2527"/>
      <c r="F42" s="2528"/>
      <c r="G42" s="2529"/>
      <c r="H42" s="2529"/>
      <c r="I42" s="2529"/>
    </row>
    <row r="43" spans="2:9" ht="16.5" customHeight="1" x14ac:dyDescent="0.2">
      <c r="B43" s="1401"/>
      <c r="C43" s="2519" t="s">
        <v>1593</v>
      </c>
      <c r="D43" s="2520"/>
      <c r="E43" s="2520"/>
      <c r="F43" s="2521"/>
      <c r="G43" s="2522">
        <f>SUM(G38:I42)</f>
        <v>1132277</v>
      </c>
      <c r="H43" s="2522"/>
      <c r="I43" s="2522"/>
    </row>
    <row r="44" spans="2:9" ht="12.75" customHeight="1" x14ac:dyDescent="0.2"/>
    <row r="45" spans="2:9" ht="12.75" customHeight="1" x14ac:dyDescent="0.2">
      <c r="B45" s="1392" t="s">
        <v>1838</v>
      </c>
      <c r="D45" s="2523">
        <v>1618605</v>
      </c>
      <c r="E45" s="2524"/>
    </row>
    <row r="46" spans="2:9" ht="5.25" customHeight="1" x14ac:dyDescent="0.2">
      <c r="B46" s="1402"/>
      <c r="D46" s="1403"/>
      <c r="E46" s="1404"/>
    </row>
    <row r="47" spans="2:9" ht="12.75" customHeight="1" x14ac:dyDescent="0.2">
      <c r="B47" s="1270" t="s">
        <v>1594</v>
      </c>
      <c r="C47" s="1270"/>
      <c r="D47" s="1405">
        <f>+G43/D45</f>
        <v>0.69953880038675276</v>
      </c>
      <c r="E47" s="1406"/>
      <c r="F47" s="1407"/>
      <c r="I47" s="1408"/>
    </row>
    <row r="48" spans="2:9" ht="9.9499999999999993" customHeight="1" x14ac:dyDescent="0.2"/>
    <row r="49" spans="1:9" x14ac:dyDescent="0.2">
      <c r="B49" s="1338" t="s">
        <v>1273</v>
      </c>
      <c r="C49" s="1252"/>
      <c r="D49" s="1252"/>
      <c r="E49" s="2525">
        <v>750000</v>
      </c>
      <c r="F49" s="2525"/>
      <c r="G49" s="2525"/>
      <c r="H49" s="322"/>
    </row>
    <row r="51" spans="1:9" ht="13.5" customHeight="1" x14ac:dyDescent="0.2">
      <c r="B51" s="1338" t="s">
        <v>1272</v>
      </c>
      <c r="C51" s="1252"/>
      <c r="E51" s="1395"/>
      <c r="F51" s="1270" t="s">
        <v>885</v>
      </c>
      <c r="G51" s="1395" t="s">
        <v>2119</v>
      </c>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1749</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1750</v>
      </c>
      <c r="C58" s="1421"/>
      <c r="D58" s="1421"/>
    </row>
    <row r="59" spans="1:9" s="1418" customFormat="1" ht="3.95" customHeight="1" x14ac:dyDescent="0.2">
      <c r="A59" s="1415"/>
      <c r="B59" s="1420"/>
      <c r="C59" s="1421"/>
      <c r="D59" s="1421"/>
    </row>
    <row r="60" spans="1:9" s="1418" customFormat="1" ht="13.5" customHeight="1" x14ac:dyDescent="0.2">
      <c r="A60" s="1415"/>
      <c r="B60" s="1420" t="s">
        <v>1751</v>
      </c>
      <c r="C60" s="1421"/>
      <c r="D60" s="1421"/>
    </row>
    <row r="61" spans="1:9" s="1418" customFormat="1" ht="3.95" customHeight="1" x14ac:dyDescent="0.2">
      <c r="A61" s="1415"/>
      <c r="B61" s="1420"/>
      <c r="C61" s="1421"/>
      <c r="D61" s="1421"/>
    </row>
    <row r="62" spans="1:9" s="1418" customFormat="1" ht="12.75" customHeight="1" x14ac:dyDescent="0.2">
      <c r="A62" s="1415"/>
      <c r="B62" s="1420" t="s">
        <v>1752</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0" t="str">
        <f>'Single Audit Cover'!A7</f>
        <v>Central CUSD 301</v>
      </c>
      <c r="C1" s="2530"/>
      <c r="D1" s="2530"/>
      <c r="E1" s="2530"/>
      <c r="F1" s="2530"/>
      <c r="G1" s="2530"/>
      <c r="H1" s="2530"/>
      <c r="I1" s="2530"/>
      <c r="J1" s="2530"/>
      <c r="K1" s="2530"/>
      <c r="L1" s="1344"/>
      <c r="M1" s="1344"/>
    </row>
    <row r="2" spans="1:13" ht="12" customHeight="1" x14ac:dyDescent="0.2">
      <c r="B2" s="2532">
        <f>'Single Audit Cover'!E7</f>
        <v>31045301026</v>
      </c>
      <c r="C2" s="2532"/>
      <c r="D2" s="2532"/>
      <c r="E2" s="2532"/>
      <c r="F2" s="2532"/>
      <c r="G2" s="2532"/>
      <c r="H2" s="2532"/>
      <c r="I2" s="2532"/>
      <c r="J2" s="2532"/>
      <c r="K2" s="2532"/>
      <c r="L2" s="1345"/>
      <c r="M2" s="1346"/>
    </row>
    <row r="3" spans="1:13" ht="10.35" customHeight="1" x14ac:dyDescent="0.2">
      <c r="B3" s="2546" t="s">
        <v>1285</v>
      </c>
      <c r="C3" s="2546"/>
      <c r="D3" s="2546"/>
      <c r="E3" s="2546"/>
      <c r="F3" s="2546"/>
      <c r="G3" s="2546"/>
      <c r="H3" s="2546"/>
      <c r="I3" s="2546"/>
      <c r="J3" s="2546"/>
      <c r="K3" s="2546"/>
      <c r="L3" s="1347"/>
      <c r="M3" s="1347"/>
    </row>
    <row r="4" spans="1:13" ht="14.25" customHeight="1" x14ac:dyDescent="0.2">
      <c r="B4" s="2547" t="str">
        <f>'Single Audit Cover'!A4</f>
        <v>Year Ending June 30, 2019</v>
      </c>
      <c r="C4" s="2547"/>
      <c r="D4" s="2547"/>
      <c r="E4" s="2547"/>
      <c r="F4" s="2547"/>
      <c r="G4" s="2547"/>
      <c r="H4" s="2547"/>
      <c r="I4" s="2547"/>
      <c r="J4" s="2547"/>
      <c r="K4" s="2547"/>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7" t="s">
        <v>1296</v>
      </c>
      <c r="C7" s="2547"/>
      <c r="D7" s="2548"/>
      <c r="E7" s="2548"/>
      <c r="F7" s="2548"/>
      <c r="G7" s="2548"/>
      <c r="H7" s="2548"/>
      <c r="I7" s="2548"/>
      <c r="J7" s="2548"/>
      <c r="K7" s="2548"/>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1739</v>
      </c>
      <c r="C10" s="1355" t="s">
        <v>1988</v>
      </c>
      <c r="D10" s="1356" t="s">
        <v>2072</v>
      </c>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5"/>
      <c r="C14" s="2545"/>
      <c r="D14" s="2545"/>
      <c r="E14" s="2545"/>
      <c r="F14" s="2545"/>
      <c r="G14" s="2545"/>
      <c r="H14" s="2545"/>
      <c r="I14" s="2545"/>
      <c r="J14" s="2545"/>
      <c r="K14" s="2545"/>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5"/>
      <c r="C17" s="2545"/>
      <c r="D17" s="2545"/>
      <c r="E17" s="2545"/>
      <c r="F17" s="2545"/>
      <c r="G17" s="2545"/>
      <c r="H17" s="2545"/>
      <c r="I17" s="2545"/>
      <c r="J17" s="2545"/>
      <c r="K17" s="2545"/>
      <c r="L17" s="1351"/>
    </row>
    <row r="18" spans="2:12" ht="4.5" customHeight="1" x14ac:dyDescent="0.2">
      <c r="B18" s="1368"/>
      <c r="C18" s="1368"/>
      <c r="L18" s="1351"/>
    </row>
    <row r="19" spans="2:12" s="1252" customFormat="1" ht="13.5" customHeight="1" x14ac:dyDescent="0.2">
      <c r="B19" s="1363" t="s">
        <v>1740</v>
      </c>
      <c r="C19" s="1363"/>
      <c r="D19" s="1364"/>
      <c r="E19" s="1364"/>
      <c r="F19" s="1364"/>
      <c r="G19" s="1365"/>
      <c r="H19" s="1364"/>
      <c r="I19" s="1365"/>
      <c r="J19" s="1364"/>
      <c r="K19" s="1364"/>
      <c r="L19" s="1366"/>
    </row>
    <row r="20" spans="2:12" ht="45.75" customHeight="1" x14ac:dyDescent="0.2">
      <c r="B20" s="2549"/>
      <c r="C20" s="2549"/>
      <c r="D20" s="2545"/>
      <c r="E20" s="2545"/>
      <c r="F20" s="2545"/>
      <c r="G20" s="2545"/>
      <c r="H20" s="2545"/>
      <c r="I20" s="2545"/>
      <c r="J20" s="2545"/>
      <c r="K20" s="2545"/>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5"/>
      <c r="C23" s="2545"/>
      <c r="D23" s="2545"/>
      <c r="E23" s="2545"/>
      <c r="F23" s="2545"/>
      <c r="G23" s="2545"/>
      <c r="H23" s="2545"/>
      <c r="I23" s="2545"/>
      <c r="J23" s="2545"/>
      <c r="K23" s="2545"/>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5"/>
      <c r="C26" s="2545"/>
      <c r="D26" s="2545"/>
      <c r="E26" s="2545"/>
      <c r="F26" s="2545"/>
      <c r="G26" s="2545"/>
      <c r="H26" s="2545"/>
      <c r="I26" s="2545"/>
      <c r="J26" s="2545"/>
      <c r="K26" s="2545"/>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4"/>
      <c r="C29" s="2544"/>
      <c r="D29" s="2545"/>
      <c r="E29" s="2545"/>
      <c r="F29" s="2545"/>
      <c r="G29" s="2545"/>
      <c r="H29" s="2545"/>
      <c r="I29" s="2545"/>
      <c r="J29" s="2545"/>
      <c r="K29" s="2545"/>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1741</v>
      </c>
      <c r="C31" s="1373"/>
      <c r="D31" s="1348"/>
      <c r="E31" s="1349"/>
      <c r="F31" s="1349"/>
      <c r="G31" s="1350"/>
      <c r="H31" s="1349"/>
      <c r="I31" s="1350"/>
      <c r="J31" s="1349"/>
      <c r="K31" s="1349"/>
      <c r="L31" s="1351"/>
    </row>
    <row r="32" spans="2:12" s="322" customFormat="1" ht="44.25" customHeight="1" x14ac:dyDescent="0.2">
      <c r="B32" s="2544"/>
      <c r="C32" s="2544"/>
      <c r="D32" s="2545"/>
      <c r="E32" s="2545"/>
      <c r="F32" s="2545"/>
      <c r="G32" s="2545"/>
      <c r="H32" s="2545"/>
      <c r="I32" s="2545"/>
      <c r="J32" s="2545"/>
      <c r="K32" s="2545"/>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1742</v>
      </c>
      <c r="C35" s="1376"/>
      <c r="D35" s="322"/>
      <c r="E35" s="322"/>
      <c r="F35" s="322"/>
      <c r="L35" s="1351"/>
    </row>
    <row r="36" spans="1:13" ht="9.6" customHeight="1" x14ac:dyDescent="0.2">
      <c r="B36" s="1270" t="s">
        <v>1839</v>
      </c>
      <c r="C36" s="1270"/>
      <c r="L36" s="1351"/>
    </row>
    <row r="37" spans="1:13" ht="9.6" customHeight="1" x14ac:dyDescent="0.2">
      <c r="B37" s="1270" t="s">
        <v>1840</v>
      </c>
      <c r="C37" s="1270"/>
    </row>
    <row r="38" spans="1:13" ht="11.85" customHeight="1" x14ac:dyDescent="0.2">
      <c r="B38" s="1377" t="s">
        <v>1743</v>
      </c>
      <c r="C38" s="1377"/>
    </row>
    <row r="39" spans="1:13" ht="9.6" customHeight="1" x14ac:dyDescent="0.2">
      <c r="B39" s="1270" t="s">
        <v>1286</v>
      </c>
      <c r="C39" s="1270"/>
      <c r="M39" s="1378"/>
    </row>
    <row r="40" spans="1:13" ht="12.6" customHeight="1" x14ac:dyDescent="0.2">
      <c r="B40" s="1377" t="s">
        <v>1744</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25" zoomScale="110" zoomScaleNormal="110" workbookViewId="0">
      <selection activeCell="P23" sqref="P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3" t="str">
        <f>'Single Audit Cover'!A7</f>
        <v>Central CUSD 301</v>
      </c>
      <c r="C1" s="2553"/>
      <c r="D1" s="2553"/>
      <c r="E1" s="2553"/>
      <c r="F1" s="2553"/>
      <c r="G1" s="2553"/>
      <c r="H1" s="2553"/>
      <c r="I1" s="2553"/>
      <c r="J1" s="2553"/>
      <c r="K1" s="2553"/>
      <c r="L1" s="1422"/>
    </row>
    <row r="2" spans="1:12" ht="12.75" customHeight="1" x14ac:dyDescent="0.2">
      <c r="B2" s="2554">
        <f>'Single Audit Cover'!E7</f>
        <v>31045301026</v>
      </c>
      <c r="C2" s="2554"/>
      <c r="D2" s="2554"/>
      <c r="E2" s="2554"/>
      <c r="F2" s="2554"/>
      <c r="G2" s="2554"/>
      <c r="H2" s="2554"/>
      <c r="I2" s="2554"/>
      <c r="J2" s="2554"/>
      <c r="K2" s="2554"/>
      <c r="L2" s="1423"/>
    </row>
    <row r="3" spans="1:12" ht="12.75" customHeight="1" x14ac:dyDescent="0.2">
      <c r="B3" s="2546" t="s">
        <v>1285</v>
      </c>
      <c r="C3" s="2546"/>
      <c r="D3" s="2546"/>
      <c r="E3" s="2546"/>
      <c r="F3" s="2546"/>
      <c r="G3" s="2546"/>
      <c r="H3" s="2546"/>
      <c r="I3" s="2546"/>
      <c r="J3" s="2546"/>
      <c r="K3" s="2546"/>
      <c r="L3" s="1347"/>
    </row>
    <row r="4" spans="1:12" ht="12.75" customHeight="1" x14ac:dyDescent="0.2">
      <c r="B4" s="2546" t="str">
        <f>'Single Audit Cover'!A4</f>
        <v>Year Ending June 30, 2019</v>
      </c>
      <c r="C4" s="2546"/>
      <c r="D4" s="2546"/>
      <c r="E4" s="2546"/>
      <c r="F4" s="2546"/>
      <c r="G4" s="2546"/>
      <c r="H4" s="2546"/>
      <c r="I4" s="2546"/>
      <c r="J4" s="2546"/>
      <c r="K4" s="2546"/>
      <c r="L4" s="1347"/>
    </row>
    <row r="5" spans="1:12" ht="5.25" customHeight="1" x14ac:dyDescent="0.2">
      <c r="B5" s="1230" t="s">
        <v>1169</v>
      </c>
      <c r="C5" s="1230"/>
      <c r="L5" s="322"/>
    </row>
    <row r="6" spans="1:12" ht="30.75" customHeight="1" x14ac:dyDescent="0.2">
      <c r="A6" s="322"/>
      <c r="B6" s="2555" t="s">
        <v>1308</v>
      </c>
      <c r="C6" s="2555"/>
      <c r="D6" s="2555"/>
      <c r="E6" s="2555"/>
      <c r="F6" s="2555"/>
      <c r="G6" s="2555"/>
      <c r="H6" s="2555"/>
      <c r="I6" s="2555"/>
      <c r="J6" s="2555"/>
      <c r="K6" s="2555"/>
      <c r="L6" s="322"/>
    </row>
    <row r="7" spans="1:12" ht="4.5" customHeight="1" x14ac:dyDescent="0.2">
      <c r="B7" s="1349"/>
      <c r="C7" s="1349"/>
      <c r="D7" s="1349"/>
      <c r="E7" s="1349"/>
      <c r="F7" s="1349"/>
      <c r="G7" s="1350"/>
      <c r="H7" s="1349"/>
      <c r="I7" s="1350"/>
      <c r="J7" s="1349"/>
      <c r="K7" s="1349"/>
      <c r="L7" s="322"/>
    </row>
    <row r="8" spans="1:12" ht="13.5" customHeight="1" x14ac:dyDescent="0.2">
      <c r="B8" s="1357" t="s">
        <v>1753</v>
      </c>
      <c r="C8" s="1424" t="s">
        <v>1988</v>
      </c>
      <c r="D8" s="1425" t="s">
        <v>2072</v>
      </c>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7"/>
      <c r="G12" s="2537"/>
      <c r="H12" s="2537"/>
      <c r="I12" s="2537"/>
      <c r="J12" s="2537"/>
      <c r="K12" s="2537"/>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0"/>
      <c r="E14" s="2550"/>
      <c r="F14" s="2550"/>
      <c r="H14" s="1432" t="s">
        <v>1303</v>
      </c>
      <c r="I14" s="2551"/>
      <c r="J14" s="2551"/>
      <c r="K14" s="2551"/>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1"/>
      <c r="E16" s="2551"/>
      <c r="F16" s="2551"/>
      <c r="G16" s="2551"/>
      <c r="H16" s="2551"/>
      <c r="I16" s="2551"/>
      <c r="J16" s="2551"/>
      <c r="K16" s="2551"/>
      <c r="L16" s="322"/>
    </row>
    <row r="17" spans="2:12" ht="13.5" customHeight="1" x14ac:dyDescent="0.2">
      <c r="B17" s="1357" t="s">
        <v>1301</v>
      </c>
      <c r="C17" s="1357"/>
      <c r="D17" s="2552"/>
      <c r="E17" s="2552"/>
      <c r="F17" s="2552"/>
      <c r="G17" s="2552"/>
      <c r="H17" s="2552"/>
      <c r="I17" s="2552"/>
      <c r="J17" s="2552"/>
      <c r="K17" s="2552"/>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5"/>
      <c r="C20" s="2545"/>
      <c r="D20" s="2545"/>
      <c r="E20" s="2545"/>
      <c r="F20" s="2545"/>
      <c r="G20" s="2545"/>
      <c r="H20" s="2545"/>
      <c r="I20" s="2545"/>
      <c r="J20" s="2545"/>
      <c r="K20" s="2545"/>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1754</v>
      </c>
      <c r="C22" s="1434"/>
      <c r="D22" s="322"/>
      <c r="E22" s="322"/>
      <c r="F22" s="322"/>
      <c r="G22" s="1353"/>
      <c r="H22" s="322"/>
      <c r="I22" s="1353"/>
      <c r="J22" s="322"/>
      <c r="K22" s="322"/>
      <c r="L22" s="322"/>
    </row>
    <row r="23" spans="2:12" ht="37.5" customHeight="1" x14ac:dyDescent="0.2">
      <c r="B23" s="2545"/>
      <c r="C23" s="2545"/>
      <c r="D23" s="2545"/>
      <c r="E23" s="2545"/>
      <c r="F23" s="2545"/>
      <c r="G23" s="2545"/>
      <c r="H23" s="2545"/>
      <c r="I23" s="2545"/>
      <c r="J23" s="2545"/>
      <c r="K23" s="2545"/>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1755</v>
      </c>
      <c r="C25" s="1434"/>
      <c r="D25" s="322"/>
      <c r="E25" s="322"/>
      <c r="F25" s="322"/>
      <c r="G25" s="1353"/>
      <c r="H25" s="322"/>
      <c r="I25" s="1353"/>
      <c r="J25" s="322"/>
      <c r="K25" s="322"/>
      <c r="L25" s="322"/>
    </row>
    <row r="26" spans="2:12" ht="37.5" customHeight="1" x14ac:dyDescent="0.2">
      <c r="B26" s="2545"/>
      <c r="C26" s="2545"/>
      <c r="D26" s="2545"/>
      <c r="E26" s="2545"/>
      <c r="F26" s="2545"/>
      <c r="G26" s="2545"/>
      <c r="H26" s="2545"/>
      <c r="I26" s="2545"/>
      <c r="J26" s="2545"/>
      <c r="K26" s="2545"/>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1756</v>
      </c>
      <c r="C28" s="1434"/>
      <c r="D28" s="322"/>
      <c r="E28" s="322"/>
      <c r="F28" s="322"/>
      <c r="G28" s="1353"/>
      <c r="H28" s="322"/>
      <c r="I28" s="1353"/>
      <c r="J28" s="322"/>
      <c r="K28" s="322"/>
      <c r="L28" s="322"/>
    </row>
    <row r="29" spans="2:12" ht="37.5" customHeight="1" x14ac:dyDescent="0.2">
      <c r="B29" s="2545"/>
      <c r="C29" s="2545"/>
      <c r="D29" s="2545"/>
      <c r="E29" s="2545"/>
      <c r="F29" s="2545"/>
      <c r="G29" s="2545"/>
      <c r="H29" s="2545"/>
      <c r="I29" s="2545"/>
      <c r="J29" s="2545"/>
      <c r="K29" s="2545"/>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5"/>
      <c r="C32" s="2545"/>
      <c r="D32" s="2545"/>
      <c r="E32" s="2545"/>
      <c r="F32" s="2545"/>
      <c r="G32" s="2545"/>
      <c r="H32" s="2545"/>
      <c r="I32" s="2545"/>
      <c r="J32" s="2545"/>
      <c r="K32" s="2545"/>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5"/>
      <c r="C35" s="2545"/>
      <c r="D35" s="2545"/>
      <c r="E35" s="2545"/>
      <c r="F35" s="2545"/>
      <c r="G35" s="2545"/>
      <c r="H35" s="2545"/>
      <c r="I35" s="2545"/>
      <c r="J35" s="2545"/>
      <c r="K35" s="2545"/>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5"/>
      <c r="C38" s="2545"/>
      <c r="D38" s="2545"/>
      <c r="E38" s="2545"/>
      <c r="F38" s="2545"/>
      <c r="G38" s="2545"/>
      <c r="H38" s="2545"/>
      <c r="I38" s="2545"/>
      <c r="J38" s="2545"/>
      <c r="K38" s="2545"/>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1757</v>
      </c>
      <c r="C40" s="1373"/>
      <c r="D40" s="1348"/>
      <c r="E40" s="1349"/>
      <c r="F40" s="1349"/>
      <c r="G40" s="1350"/>
      <c r="H40" s="1349"/>
      <c r="I40" s="1350"/>
      <c r="J40" s="1349"/>
      <c r="K40" s="1349"/>
    </row>
    <row r="41" spans="2:12" s="322" customFormat="1" ht="33.75" customHeight="1" x14ac:dyDescent="0.2">
      <c r="B41" s="2545"/>
      <c r="C41" s="2545"/>
      <c r="D41" s="2545"/>
      <c r="E41" s="2545"/>
      <c r="F41" s="2545"/>
      <c r="G41" s="2545"/>
      <c r="H41" s="2545"/>
      <c r="I41" s="2545"/>
      <c r="J41" s="2545"/>
      <c r="K41" s="2545"/>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1758</v>
      </c>
      <c r="C44" s="1376"/>
      <c r="D44" s="322"/>
      <c r="E44" s="322"/>
      <c r="F44" s="322"/>
    </row>
    <row r="45" spans="2:12" ht="10.5" customHeight="1" x14ac:dyDescent="0.2">
      <c r="B45" s="1377" t="s">
        <v>1759</v>
      </c>
      <c r="C45" s="1377"/>
      <c r="G45" s="317"/>
      <c r="I45" s="317"/>
    </row>
    <row r="46" spans="2:12" ht="11.1" customHeight="1" x14ac:dyDescent="0.2">
      <c r="B46" s="1377" t="s">
        <v>1760</v>
      </c>
      <c r="C46" s="1377"/>
      <c r="G46" s="317"/>
      <c r="I46" s="317"/>
    </row>
    <row r="47" spans="2:12" ht="11.1" customHeight="1" x14ac:dyDescent="0.2">
      <c r="B47" s="1377" t="s">
        <v>1761</v>
      </c>
      <c r="C47" s="1377"/>
      <c r="G47" s="317"/>
      <c r="I47" s="317"/>
    </row>
    <row r="48" spans="2:12" ht="11.1" customHeight="1" x14ac:dyDescent="0.2">
      <c r="B48" s="1377" t="s">
        <v>1762</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E16" sqref="E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30" t="str">
        <f>'Single Audit Cover'!A7</f>
        <v>Central CUSD 301</v>
      </c>
      <c r="C1" s="2530"/>
      <c r="D1" s="2530"/>
      <c r="E1" s="1442"/>
    </row>
    <row r="2" spans="2:5" s="1252" customFormat="1" ht="12.75" customHeight="1" x14ac:dyDescent="0.2">
      <c r="B2" s="2532">
        <f>'Single Audit Cover'!E7</f>
        <v>31045301026</v>
      </c>
      <c r="C2" s="2532"/>
      <c r="D2" s="2532"/>
      <c r="E2" s="1443"/>
    </row>
    <row r="3" spans="2:5" ht="12.75" customHeight="1" x14ac:dyDescent="0.2">
      <c r="B3" s="2546" t="s">
        <v>1763</v>
      </c>
      <c r="C3" s="2546"/>
      <c r="D3" s="2546"/>
      <c r="E3" s="1244"/>
    </row>
    <row r="4" spans="2:5" s="1252" customFormat="1" ht="12.75" customHeight="1" x14ac:dyDescent="0.2">
      <c r="B4" s="2556" t="str">
        <f>'Single Audit Cover'!A4</f>
        <v>Year Ending June 30, 2019</v>
      </c>
      <c r="C4" s="2556"/>
      <c r="D4" s="2556"/>
      <c r="E4" s="1444"/>
    </row>
    <row r="5" spans="2:5" s="1252" customFormat="1" ht="40.15" customHeight="1" x14ac:dyDescent="0.2">
      <c r="B5" s="1445" t="s">
        <v>1764</v>
      </c>
      <c r="C5" s="328"/>
      <c r="D5" s="328"/>
      <c r="E5" s="328"/>
    </row>
    <row r="6" spans="2:5" s="1252" customFormat="1" ht="13.5" customHeight="1" x14ac:dyDescent="0.2">
      <c r="B6" s="1446" t="s">
        <v>1315</v>
      </c>
      <c r="C6" s="1446" t="s">
        <v>1314</v>
      </c>
      <c r="D6" s="1446" t="s">
        <v>1765</v>
      </c>
    </row>
    <row r="7" spans="2:5" ht="13.5" customHeight="1" x14ac:dyDescent="0.2">
      <c r="B7" s="1447" t="s">
        <v>2072</v>
      </c>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1766</v>
      </c>
    </row>
    <row r="46" spans="2:5" ht="12.2" customHeight="1" x14ac:dyDescent="0.2">
      <c r="B46" s="1456" t="s">
        <v>1767</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d21dc803-237d-4c68-8692-8d731fd29118"/>
    <ds:schemaRef ds:uri="6ce3111e-7420-4802-b50a-75d4e9a0b98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2019-10-17T17:06:02Z</cp:lastPrinted>
  <dcterms:created xsi:type="dcterms:W3CDTF">2003-10-29T19:06:34Z</dcterms:created>
  <dcterms:modified xsi:type="dcterms:W3CDTF">2019-11-22T20:37:16Z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10</vt:lpwstr>
  </property>
  <property fmtid="{D5CDD505-2E9C-101B-9397-08002B2CF9AE}" pid="6" name="workpaperIndex">
    <vt:lpwstr>2</vt:lpwstr>
  </property>
</Properties>
</file>