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DBE962D3-607C-4D5A-8E27-42EA5207D62E}" xr6:coauthVersionLast="36" xr6:coauthVersionMax="36" xr10:uidLastSave="{00000000-0000-0000-0000-000000000000}"/>
  <bookViews>
    <workbookView xWindow="-15" yWindow="13650" windowWidth="28830" windowHeight="6450" tabRatio="928"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1A" sheetId="186" r:id="rId29"/>
    <sheet name="SEFA NOTES" sheetId="173" r:id="rId30"/>
    <sheet name="SF&amp;QC Sec-1" sheetId="174" r:id="rId31"/>
    <sheet name="SF&amp;QC Sec-2" sheetId="175" r:id="rId32"/>
    <sheet name="SF&amp;QC Sec-2 (2)" sheetId="183" r:id="rId33"/>
    <sheet name="SF&amp;QC Sec-2 (3)" sheetId="184" r:id="rId34"/>
    <sheet name="SF&amp;QC Sec-2 (4)" sheetId="185" r:id="rId35"/>
    <sheet name="SF&amp;QC Sec-3" sheetId="176" r:id="rId36"/>
    <sheet name="SSPAF" sheetId="177" r:id="rId37"/>
  </sheets>
  <definedNames>
    <definedName name="_xlnm.Print_Area" localSheetId="27">' SEFA'!$B$1:$M$46</definedName>
    <definedName name="_xlnm.Print_Area" localSheetId="29">'SEFA NOTES'!$A$1:$F$52</definedName>
    <definedName name="_xlnm.Print_Area" localSheetId="26">'SEFA Reconcile'!$A$1:$E$49</definedName>
    <definedName name="_xlnm.Print_Area" localSheetId="28">'SEFA-1A'!$A$1:$K$90</definedName>
    <definedName name="_xlnm.Print_Area" localSheetId="30">'SF&amp;QC Sec-1'!$A$1:$J$63</definedName>
    <definedName name="_xlnm.Print_Area" localSheetId="35">'SF&amp;QC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8">'SEFA-1A'!$1:$9</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9">#REF!</definedName>
    <definedName name="SCHADDRS" localSheetId="26">#REF!</definedName>
    <definedName name="SCHADDRS" localSheetId="28">#REF!</definedName>
    <definedName name="SCHADDRS" localSheetId="30">#REF!</definedName>
    <definedName name="SCHADDRS" localSheetId="31">#REF!</definedName>
    <definedName name="SCHADDRS" localSheetId="32">#REF!</definedName>
    <definedName name="SCHADDRS" localSheetId="33">#REF!</definedName>
    <definedName name="SCHADDRS" localSheetId="34">#REF!</definedName>
    <definedName name="SCHADDRS" localSheetId="35">#REF!</definedName>
    <definedName name="SCHADDRS" localSheetId="25">#REF!</definedName>
    <definedName name="SCHADDRS" localSheetId="24">#REF!</definedName>
    <definedName name="SCHADDRS" localSheetId="36">#REF!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9">#REF!</definedName>
    <definedName name="SCHCTY" localSheetId="26">#REF!</definedName>
    <definedName name="SCHCTY" localSheetId="28">#REF!</definedName>
    <definedName name="SCHCTY" localSheetId="30">#REF!</definedName>
    <definedName name="SCHCTY" localSheetId="31">#REF!</definedName>
    <definedName name="SCHCTY" localSheetId="32">#REF!</definedName>
    <definedName name="SCHCTY" localSheetId="33">#REF!</definedName>
    <definedName name="SCHCTY" localSheetId="34">#REF!</definedName>
    <definedName name="SCHCTY" localSheetId="35">#REF!</definedName>
    <definedName name="SCHCTY" localSheetId="25">#REF!</definedName>
    <definedName name="SCHCTY" localSheetId="24">#REF!</definedName>
    <definedName name="SCHCTY" localSheetId="36">#REF!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9">#REF!</definedName>
    <definedName name="SCHNMBR" localSheetId="26">#REF!</definedName>
    <definedName name="SCHNMBR" localSheetId="28">#REF!</definedName>
    <definedName name="SCHNMBR" localSheetId="30">#REF!</definedName>
    <definedName name="SCHNMBR" localSheetId="31">#REF!</definedName>
    <definedName name="SCHNMBR" localSheetId="32">#REF!</definedName>
    <definedName name="SCHNMBR" localSheetId="33">#REF!</definedName>
    <definedName name="SCHNMBR" localSheetId="34">#REF!</definedName>
    <definedName name="SCHNMBR" localSheetId="35">#REF!</definedName>
    <definedName name="SCHNMBR" localSheetId="25">#REF!</definedName>
    <definedName name="SCHNMBR" localSheetId="24">#REF!</definedName>
    <definedName name="SCHNMBR" localSheetId="36">#REF!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9">#REF!</definedName>
    <definedName name="SCHNME" localSheetId="26">#REF!</definedName>
    <definedName name="SCHNME" localSheetId="28">#REF!</definedName>
    <definedName name="SCHNME" localSheetId="30">#REF!</definedName>
    <definedName name="SCHNME" localSheetId="31">#REF!</definedName>
    <definedName name="SCHNME" localSheetId="32">#REF!</definedName>
    <definedName name="SCHNME" localSheetId="33">#REF!</definedName>
    <definedName name="SCHNME" localSheetId="34">#REF!</definedName>
    <definedName name="SCHNME" localSheetId="35">#REF!</definedName>
    <definedName name="SCHNME" localSheetId="25">#REF!</definedName>
    <definedName name="SCHNME" localSheetId="24">#REF!</definedName>
    <definedName name="SCHNME" localSheetId="36">#REF!</definedName>
    <definedName name="SCHNME">#REF!</definedName>
    <definedName name="SCHNME1">#REF!</definedName>
    <definedName name="SUPT" localSheetId="27">#REF!</definedName>
    <definedName name="SUPT" localSheetId="17">#REF!</definedName>
    <definedName name="SUPT" localSheetId="21">#REF!</definedName>
    <definedName name="SUPT" localSheetId="4">#REF!</definedName>
    <definedName name="SUPT" localSheetId="29">#REF!</definedName>
    <definedName name="SUPT" localSheetId="26">#REF!</definedName>
    <definedName name="SUPT" localSheetId="28">#REF!</definedName>
    <definedName name="SUPT" localSheetId="30">#REF!</definedName>
    <definedName name="SUPT" localSheetId="31">#REF!</definedName>
    <definedName name="SUPT" localSheetId="32">#REF!</definedName>
    <definedName name="SUPT" localSheetId="33">#REF!</definedName>
    <definedName name="SUPT" localSheetId="34">#REF!</definedName>
    <definedName name="SUPT" localSheetId="35">#REF!</definedName>
    <definedName name="SUPT" localSheetId="25">#REF!</definedName>
    <definedName name="SUPT" localSheetId="24">#REF!</definedName>
    <definedName name="SUPT" localSheetId="36">#REF!</definedName>
    <definedName name="SUPT">#REF!</definedName>
    <definedName name="SUPT1">#REF!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71" i="29" l="1"/>
  <c r="H170" i="29"/>
  <c r="D45" i="174" l="1"/>
  <c r="D25" i="171" l="1"/>
  <c r="D35" i="171"/>
  <c r="K82" i="186"/>
  <c r="H82" i="186"/>
  <c r="F82" i="186"/>
  <c r="E82" i="186"/>
  <c r="D82" i="186"/>
  <c r="G81" i="186"/>
  <c r="G82" i="186" s="1"/>
  <c r="I80" i="186"/>
  <c r="G75" i="186"/>
  <c r="I75" i="186" s="1"/>
  <c r="K74" i="186"/>
  <c r="H74" i="186"/>
  <c r="D74" i="186"/>
  <c r="F73" i="186"/>
  <c r="I73" i="186" s="1"/>
  <c r="E73" i="186"/>
  <c r="G73" i="186" s="1"/>
  <c r="E72" i="186"/>
  <c r="E74" i="186" s="1"/>
  <c r="K70" i="186"/>
  <c r="K76" i="186" s="1"/>
  <c r="J70" i="186"/>
  <c r="H70" i="186"/>
  <c r="H76" i="186" s="1"/>
  <c r="D70" i="186"/>
  <c r="D76" i="186" s="1"/>
  <c r="I69" i="186"/>
  <c r="G69" i="186"/>
  <c r="I68" i="186"/>
  <c r="G68" i="186"/>
  <c r="E67" i="186"/>
  <c r="G67" i="186" s="1"/>
  <c r="I67" i="186" s="1"/>
  <c r="I65" i="186"/>
  <c r="G65" i="186"/>
  <c r="I64" i="186"/>
  <c r="I63" i="186"/>
  <c r="G63" i="186"/>
  <c r="I62" i="186"/>
  <c r="G62" i="186"/>
  <c r="G61" i="186"/>
  <c r="G70" i="186" s="1"/>
  <c r="F61" i="186"/>
  <c r="F70" i="186" s="1"/>
  <c r="E61" i="186"/>
  <c r="E70" i="186" s="1"/>
  <c r="K56" i="186"/>
  <c r="H56" i="186"/>
  <c r="G56" i="186"/>
  <c r="F56" i="186"/>
  <c r="E56" i="186"/>
  <c r="D56" i="186"/>
  <c r="I55" i="186"/>
  <c r="I56" i="186" s="1"/>
  <c r="K51" i="186"/>
  <c r="H51" i="186"/>
  <c r="F51" i="186"/>
  <c r="E51" i="186"/>
  <c r="D51" i="186"/>
  <c r="G50" i="186"/>
  <c r="I50" i="186" s="1"/>
  <c r="I49" i="186"/>
  <c r="I51" i="186" s="1"/>
  <c r="H44" i="186"/>
  <c r="F44" i="186"/>
  <c r="D44" i="186"/>
  <c r="G43" i="186"/>
  <c r="I43" i="186" s="1"/>
  <c r="E42" i="186"/>
  <c r="G42" i="186" s="1"/>
  <c r="K40" i="186"/>
  <c r="F40" i="186"/>
  <c r="D40" i="186"/>
  <c r="I39" i="186"/>
  <c r="G39" i="186"/>
  <c r="E38" i="186"/>
  <c r="E40" i="186" s="1"/>
  <c r="K36" i="186"/>
  <c r="H36" i="186"/>
  <c r="F36" i="186"/>
  <c r="D36" i="186"/>
  <c r="I35" i="186"/>
  <c r="G35" i="186"/>
  <c r="E34" i="186"/>
  <c r="G34" i="186" s="1"/>
  <c r="K32" i="186"/>
  <c r="H32" i="186"/>
  <c r="I31" i="186"/>
  <c r="G31" i="186"/>
  <c r="E30" i="186"/>
  <c r="G30" i="186" s="1"/>
  <c r="F29" i="186"/>
  <c r="F32" i="186" s="1"/>
  <c r="F45" i="186" s="1"/>
  <c r="F57" i="186" s="1"/>
  <c r="D29" i="186"/>
  <c r="D32" i="186" s="1"/>
  <c r="G28" i="186"/>
  <c r="I28" i="186" s="1"/>
  <c r="G27" i="186"/>
  <c r="I27" i="186" s="1"/>
  <c r="E27" i="186"/>
  <c r="E32" i="186" s="1"/>
  <c r="H25" i="186"/>
  <c r="F25" i="186"/>
  <c r="D25" i="186"/>
  <c r="G24" i="186"/>
  <c r="I24" i="186" s="1"/>
  <c r="I23" i="186"/>
  <c r="G21" i="186"/>
  <c r="I21" i="186" s="1"/>
  <c r="E20" i="186"/>
  <c r="E25" i="186" s="1"/>
  <c r="I18" i="186"/>
  <c r="K18" i="186" s="1"/>
  <c r="K25" i="186" s="1"/>
  <c r="G18" i="186"/>
  <c r="I17" i="186"/>
  <c r="G16" i="186"/>
  <c r="I16" i="186" s="1"/>
  <c r="K15" i="186"/>
  <c r="K45" i="186" s="1"/>
  <c r="K57" i="186" s="1"/>
  <c r="K84" i="186" s="1"/>
  <c r="H15" i="186"/>
  <c r="H45" i="186" s="1"/>
  <c r="H57" i="186" s="1"/>
  <c r="H84" i="186" s="1"/>
  <c r="F15" i="186"/>
  <c r="D15" i="186"/>
  <c r="I14" i="186"/>
  <c r="G14" i="186"/>
  <c r="E13" i="186"/>
  <c r="E15" i="186" s="1"/>
  <c r="G32" i="186" l="1"/>
  <c r="I30" i="186"/>
  <c r="I25" i="186"/>
  <c r="G25" i="186"/>
  <c r="I42" i="186"/>
  <c r="I44" i="186" s="1"/>
  <c r="G44" i="186"/>
  <c r="D45" i="186"/>
  <c r="D57" i="186" s="1"/>
  <c r="D84" i="186" s="1"/>
  <c r="I32" i="186"/>
  <c r="I34" i="186"/>
  <c r="I36" i="186" s="1"/>
  <c r="G36" i="186"/>
  <c r="E76" i="186"/>
  <c r="G13" i="186"/>
  <c r="G38" i="186"/>
  <c r="E44" i="186"/>
  <c r="I61" i="186"/>
  <c r="I70" i="186" s="1"/>
  <c r="G72" i="186"/>
  <c r="F74" i="186"/>
  <c r="F76" i="186" s="1"/>
  <c r="F84" i="186" s="1"/>
  <c r="I81" i="186"/>
  <c r="I82" i="186" s="1"/>
  <c r="E36" i="186"/>
  <c r="E45" i="186" s="1"/>
  <c r="E57" i="186" s="1"/>
  <c r="E84" i="186" s="1"/>
  <c r="G20" i="186"/>
  <c r="I20" i="186" s="1"/>
  <c r="G51" i="186"/>
  <c r="G74" i="186" l="1"/>
  <c r="G76" i="186" s="1"/>
  <c r="I72" i="186"/>
  <c r="I74" i="186" s="1"/>
  <c r="I76" i="186" s="1"/>
  <c r="I38" i="186"/>
  <c r="I40" i="186" s="1"/>
  <c r="G40" i="186"/>
  <c r="G15" i="186"/>
  <c r="G45" i="186" s="1"/>
  <c r="G57" i="186" s="1"/>
  <c r="G84" i="186" s="1"/>
  <c r="I13" i="186"/>
  <c r="I15" i="186" s="1"/>
  <c r="I45" i="186" s="1"/>
  <c r="I57" i="186" s="1"/>
  <c r="I84" i="186" l="1"/>
  <c r="H31" i="8" l="1"/>
  <c r="N21" i="3" l="1"/>
  <c r="C69" i="5" l="1"/>
  <c r="B4" i="185" l="1"/>
  <c r="B4" i="184"/>
  <c r="B4" i="183"/>
  <c r="J34" i="8" l="1"/>
  <c r="J35" i="8"/>
  <c r="J36" i="8"/>
  <c r="J37" i="8"/>
  <c r="J38" i="8"/>
  <c r="J39" i="8"/>
  <c r="J40" i="8"/>
  <c r="J41" i="8"/>
  <c r="J42" i="8"/>
  <c r="J43" i="8"/>
  <c r="J44" i="8"/>
  <c r="J45" i="8"/>
  <c r="J46" i="8"/>
  <c r="L342" i="29" l="1"/>
  <c r="F141" i="181" l="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F45" i="181"/>
  <c r="F44" i="181"/>
  <c r="F43" i="181"/>
  <c r="F42" i="181"/>
  <c r="F41" i="181"/>
  <c r="F40" i="181"/>
  <c r="F39" i="181"/>
  <c r="F38" i="181"/>
  <c r="F37" i="181"/>
  <c r="F36" i="181"/>
  <c r="F35" i="181"/>
  <c r="F34" i="181"/>
  <c r="F33" i="181"/>
  <c r="F32" i="181"/>
  <c r="F31" i="181"/>
  <c r="F30" i="181"/>
  <c r="F29" i="181"/>
  <c r="F28" i="181"/>
  <c r="F27" i="181"/>
  <c r="F26" i="181"/>
  <c r="F25" i="181"/>
  <c r="F24" i="181"/>
  <c r="F23" i="181"/>
  <c r="F22" i="181"/>
  <c r="F21" i="181"/>
  <c r="F20" i="181"/>
  <c r="F19" i="181"/>
  <c r="F18" i="181"/>
  <c r="F17"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40" i="181"/>
  <c r="E140" i="181"/>
  <c r="G139" i="181"/>
  <c r="E139" i="181"/>
  <c r="G138" i="181"/>
  <c r="E138" i="181"/>
  <c r="G137" i="181"/>
  <c r="E137" i="181"/>
  <c r="G136" i="181"/>
  <c r="E136" i="181"/>
  <c r="G135" i="181"/>
  <c r="E135" i="181"/>
  <c r="G134" i="181"/>
  <c r="E134" i="181"/>
  <c r="E133" i="181"/>
  <c r="G133" i="181" s="1"/>
  <c r="G132" i="181"/>
  <c r="E132" i="181"/>
  <c r="G131" i="181"/>
  <c r="E131" i="181"/>
  <c r="G130" i="181"/>
  <c r="E130" i="181"/>
  <c r="G129" i="181"/>
  <c r="E129" i="181"/>
  <c r="E128" i="181"/>
  <c r="G128" i="181" s="1"/>
  <c r="G127" i="181"/>
  <c r="E127" i="181"/>
  <c r="G126" i="181"/>
  <c r="E126" i="181"/>
  <c r="G125" i="181"/>
  <c r="E125" i="181"/>
  <c r="E124" i="181"/>
  <c r="G124" i="181" s="1"/>
  <c r="G123" i="181"/>
  <c r="E123" i="181"/>
  <c r="G122" i="181"/>
  <c r="E122" i="181"/>
  <c r="G121" i="181"/>
  <c r="E121" i="181"/>
  <c r="G120" i="181"/>
  <c r="E120" i="181"/>
  <c r="G119" i="181"/>
  <c r="E119" i="181"/>
  <c r="G118" i="181"/>
  <c r="E118" i="181"/>
  <c r="G117" i="181"/>
  <c r="E117" i="181"/>
  <c r="G116" i="181"/>
  <c r="E116" i="181"/>
  <c r="E115" i="181"/>
  <c r="G115" i="181" s="1"/>
  <c r="G114" i="181"/>
  <c r="E114" i="181"/>
  <c r="G113" i="181"/>
  <c r="E113" i="181"/>
  <c r="G112" i="181"/>
  <c r="E112" i="181"/>
  <c r="E111" i="181"/>
  <c r="G111" i="181" s="1"/>
  <c r="G110" i="181"/>
  <c r="E110" i="181"/>
  <c r="G109" i="181"/>
  <c r="E109" i="181"/>
  <c r="G108" i="181"/>
  <c r="E108" i="181"/>
  <c r="G107" i="181"/>
  <c r="E107" i="181"/>
  <c r="G106" i="181"/>
  <c r="E106" i="181"/>
  <c r="G105" i="181"/>
  <c r="E105" i="181"/>
  <c r="G100" i="181"/>
  <c r="E100" i="181"/>
  <c r="G104" i="181"/>
  <c r="E104" i="181"/>
  <c r="E103" i="181"/>
  <c r="G103" i="181" s="1"/>
  <c r="G102" i="181"/>
  <c r="E102" i="181"/>
  <c r="E101" i="181"/>
  <c r="G101" i="181" s="1"/>
  <c r="G99" i="181"/>
  <c r="E99" i="181"/>
  <c r="E98" i="181"/>
  <c r="G98" i="181" s="1"/>
  <c r="G97" i="181"/>
  <c r="E97" i="181"/>
  <c r="E96" i="181"/>
  <c r="G96" i="181" s="1"/>
  <c r="G94" i="181"/>
  <c r="E94" i="181"/>
  <c r="G93" i="181"/>
  <c r="E93" i="181"/>
  <c r="E92" i="181"/>
  <c r="G92" i="181" s="1"/>
  <c r="G91" i="181"/>
  <c r="E91" i="181"/>
  <c r="G90" i="181"/>
  <c r="E90" i="181"/>
  <c r="E89" i="181"/>
  <c r="G89" i="181" s="1"/>
  <c r="G88" i="181"/>
  <c r="E88" i="181"/>
  <c r="E87" i="181"/>
  <c r="G87" i="181" s="1"/>
  <c r="G85" i="181"/>
  <c r="E85" i="181"/>
  <c r="G84" i="181"/>
  <c r="E84" i="181"/>
  <c r="G83" i="181"/>
  <c r="E83" i="181"/>
  <c r="G82" i="181"/>
  <c r="E82" i="181"/>
  <c r="G81" i="181"/>
  <c r="E81" i="181"/>
  <c r="G80" i="181"/>
  <c r="E80" i="181"/>
  <c r="G79" i="181"/>
  <c r="E79" i="181"/>
  <c r="G78" i="181"/>
  <c r="E78" i="181"/>
  <c r="G77" i="181"/>
  <c r="E77" i="181"/>
  <c r="E76" i="181"/>
  <c r="G76" i="181" s="1"/>
  <c r="G75" i="181"/>
  <c r="E75" i="181"/>
  <c r="G74" i="181"/>
  <c r="E74" i="181"/>
  <c r="G141" i="181"/>
  <c r="E141" i="181"/>
  <c r="G95" i="181"/>
  <c r="E95" i="181"/>
  <c r="G86" i="181"/>
  <c r="E86" i="181"/>
  <c r="E73" i="181"/>
  <c r="G73" i="181" s="1"/>
  <c r="G72" i="181"/>
  <c r="E72" i="181"/>
  <c r="G71" i="181"/>
  <c r="E71" i="181"/>
  <c r="G70" i="181"/>
  <c r="E70" i="181"/>
  <c r="G69" i="181"/>
  <c r="E69" i="181"/>
  <c r="G68" i="181"/>
  <c r="E68" i="181"/>
  <c r="G67" i="181"/>
  <c r="E67" i="181"/>
  <c r="E66" i="181"/>
  <c r="G66" i="181" s="1"/>
  <c r="E65" i="181"/>
  <c r="G65" i="181" s="1"/>
  <c r="G64" i="181"/>
  <c r="E64" i="181"/>
  <c r="G63" i="181"/>
  <c r="E63" i="181"/>
  <c r="G62" i="181"/>
  <c r="E62" i="181"/>
  <c r="E61" i="181"/>
  <c r="G61" i="181" s="1"/>
  <c r="G60" i="181"/>
  <c r="E60" i="181"/>
  <c r="E59" i="181"/>
  <c r="G59" i="181" s="1"/>
  <c r="G58" i="181"/>
  <c r="E58" i="181"/>
  <c r="E57" i="181"/>
  <c r="G57" i="181" s="1"/>
  <c r="G56" i="181"/>
  <c r="E56" i="181"/>
  <c r="E55" i="181"/>
  <c r="G55" i="181" s="1"/>
  <c r="G54" i="181"/>
  <c r="E54" i="181"/>
  <c r="G53" i="181"/>
  <c r="E53" i="181"/>
  <c r="G52" i="181"/>
  <c r="E52" i="181"/>
  <c r="G51" i="181"/>
  <c r="E51" i="181"/>
  <c r="G50" i="181"/>
  <c r="E50" i="181"/>
  <c r="E49" i="181"/>
  <c r="G49" i="181" s="1"/>
  <c r="G48" i="181"/>
  <c r="E48" i="181"/>
  <c r="G47" i="181"/>
  <c r="E47" i="181"/>
  <c r="E46" i="181"/>
  <c r="G46" i="181" s="1"/>
  <c r="E45" i="181"/>
  <c r="G45" i="181" s="1"/>
  <c r="E44" i="181"/>
  <c r="E43" i="181"/>
  <c r="E42" i="181"/>
  <c r="G42" i="181" s="1"/>
  <c r="G41" i="181"/>
  <c r="E41" i="181"/>
  <c r="G40" i="181"/>
  <c r="E40" i="181"/>
  <c r="G39" i="181"/>
  <c r="E39" i="181"/>
  <c r="G38" i="181"/>
  <c r="E38" i="181"/>
  <c r="E37" i="181"/>
  <c r="G37" i="181" s="1"/>
  <c r="E36" i="181"/>
  <c r="G36" i="181" s="1"/>
  <c r="E35" i="181"/>
  <c r="G35" i="181" s="1"/>
  <c r="E34" i="181"/>
  <c r="E33" i="181"/>
  <c r="G33" i="181" s="1"/>
  <c r="E32" i="181"/>
  <c r="G32" i="181" s="1"/>
  <c r="E31" i="181"/>
  <c r="G31" i="181" s="1"/>
  <c r="E30" i="181"/>
  <c r="E29" i="181"/>
  <c r="G29" i="181" s="1"/>
  <c r="E28" i="181"/>
  <c r="G27" i="181"/>
  <c r="E27" i="181"/>
  <c r="E26" i="181"/>
  <c r="E25" i="181"/>
  <c r="G25" i="181" s="1"/>
  <c r="E24" i="181"/>
  <c r="G24" i="181" s="1"/>
  <c r="E23" i="181"/>
  <c r="G23" i="181" s="1"/>
  <c r="E22" i="181"/>
  <c r="G22" i="181" s="1"/>
  <c r="E21" i="181"/>
  <c r="G21" i="181" s="1"/>
  <c r="E20" i="181"/>
  <c r="E19" i="181"/>
  <c r="G44" i="181" l="1"/>
  <c r="G43" i="181"/>
  <c r="G34" i="181"/>
  <c r="G30" i="181"/>
  <c r="G28" i="181"/>
  <c r="G26" i="181"/>
  <c r="G20" i="181"/>
  <c r="G19" i="181"/>
  <c r="D142" i="181"/>
  <c r="D80" i="36" l="1"/>
  <c r="B7797" i="106"/>
  <c r="E142" i="181"/>
  <c r="E18" i="181"/>
  <c r="E17" i="181"/>
  <c r="G17" i="181" l="1"/>
  <c r="G18" i="181"/>
  <c r="G142" i="181" s="1"/>
  <c r="G40" i="108" l="1"/>
  <c r="B7799" i="106"/>
  <c r="F142"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5" l="1"/>
  <c r="B1" i="184"/>
  <c r="B1" i="183"/>
  <c r="B2" i="179"/>
  <c r="B2" i="184"/>
  <c r="B2" i="185"/>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D76" i="3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E29" i="108"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E26" i="108"/>
  <c r="G26" i="108"/>
  <c r="D27" i="108"/>
  <c r="E27" i="108"/>
  <c r="F27" i="108"/>
  <c r="G27" i="108"/>
  <c r="F28" i="108"/>
  <c r="F31" i="108"/>
  <c r="F36" i="108"/>
  <c r="G28" i="108"/>
  <c r="G29" i="108"/>
  <c r="G30" i="108"/>
  <c r="D31" i="108"/>
  <c r="D36" i="108"/>
  <c r="E31" i="108"/>
  <c r="G31" i="108"/>
  <c r="E33"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F65"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J22" i="37"/>
  <c r="L22" i="37"/>
  <c r="D24" i="37"/>
  <c r="B4270" i="106" s="1"/>
  <c r="D4270" i="106" s="1"/>
  <c r="B5752" i="106"/>
  <c r="D5752" i="106" s="1"/>
  <c r="B2895" i="106" l="1"/>
  <c r="D2895" i="106" s="1"/>
  <c r="L33" i="3"/>
  <c r="B279" i="106"/>
  <c r="D279" i="106" s="1"/>
  <c r="M40" i="3"/>
  <c r="L13" i="11"/>
  <c r="B2060" i="106" s="1"/>
  <c r="D2060" i="106" s="1"/>
  <c r="L5" i="11"/>
  <c r="B2056" i="106" s="1"/>
  <c r="D2056" i="106" s="1"/>
  <c r="K184" i="29"/>
  <c r="F13" i="4" s="1"/>
  <c r="B2596" i="106" s="1"/>
  <c r="D2596" i="106" s="1"/>
  <c r="I129" i="29"/>
  <c r="B7037" i="106" s="1"/>
  <c r="D7037" i="106" s="1"/>
  <c r="G15" i="145"/>
  <c r="E34" i="108"/>
  <c r="F38" i="34"/>
  <c r="J41" i="3"/>
  <c r="B6216" i="106" s="1"/>
  <c r="D6216" i="106" s="1"/>
  <c r="F19" i="7"/>
  <c r="B1807" i="106" s="1"/>
  <c r="D1807" i="106" s="1"/>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c r="B5778" i="106" s="1"/>
  <c r="D5778" i="106"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G6" i="4"/>
  <c r="B2604" i="106" s="1"/>
  <c r="D2604" i="106" s="1"/>
  <c r="E266" i="5"/>
  <c r="B6835" i="106"/>
  <c r="D6835" i="106" s="1"/>
  <c r="G266" i="5"/>
  <c r="B4398" i="106"/>
  <c r="D4398" i="106" s="1"/>
  <c r="B5537" i="106"/>
  <c r="D5537" i="106" s="1"/>
  <c r="E170" i="5"/>
  <c r="I109" i="5"/>
  <c r="L279" i="29"/>
  <c r="L295" i="29" s="1"/>
  <c r="L74" i="29"/>
  <c r="L114" i="29" s="1"/>
  <c r="K33" i="29"/>
  <c r="B720" i="106"/>
  <c r="D720"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280" i="106" l="1"/>
  <c r="D280" i="106" s="1"/>
  <c r="M41" i="3"/>
  <c r="B2914" i="106"/>
  <c r="D2914" i="106" s="1"/>
  <c r="L34" i="3"/>
  <c r="D51" i="36"/>
  <c r="L16" i="11"/>
  <c r="B2061" i="106" s="1"/>
  <c r="D2061" i="106" s="1"/>
  <c r="K342" i="29"/>
  <c r="F13" i="34" s="1"/>
  <c r="F41" i="108"/>
  <c r="G43" i="108" s="1"/>
  <c r="D41" i="108"/>
  <c r="E43" i="108" s="1"/>
  <c r="C114" i="29"/>
  <c r="B757" i="106" s="1"/>
  <c r="D757" i="106" s="1"/>
  <c r="B5527" i="106"/>
  <c r="D5527" i="106" s="1"/>
  <c r="D44" i="36"/>
  <c r="N23" i="3"/>
  <c r="B284" i="106" s="1"/>
  <c r="D284" i="106" s="1"/>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2916" i="106" l="1"/>
  <c r="D2916" i="106" s="1"/>
  <c r="L41" i="3"/>
  <c r="B281" i="106"/>
  <c r="D281" i="106" s="1"/>
  <c r="D54" i="36"/>
  <c r="B1145" i="106"/>
  <c r="D1145" i="106" s="1"/>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2567" i="106"/>
  <c r="D2567" i="106" s="1"/>
  <c r="D53" i="36" l="1"/>
  <c r="B2917" i="106"/>
  <c r="D2917"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175" i="34" l="1"/>
  <c r="F79" i="34"/>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7" i="34" l="1"/>
  <c r="F179"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Torres, Christine</author>
  </authors>
  <commentList>
    <comment ref="G14" authorId="0" shapeId="0" xr:uid="{64A4509C-F20D-4FC4-BCC7-0BBFA8E520AD}">
      <text>
        <r>
          <rPr>
            <b/>
            <sz val="9"/>
            <color indexed="81"/>
            <rFont val="Tahoma"/>
            <family val="2"/>
          </rPr>
          <t>Torres, Christine:</t>
        </r>
        <r>
          <rPr>
            <sz val="9"/>
            <color indexed="81"/>
            <rFont val="Tahoma"/>
            <family val="2"/>
          </rPr>
          <t xml:space="preserve">
Through 9/2 receipts and 6/30 expense reports
</t>
        </r>
      </text>
    </comment>
    <comment ref="G18" authorId="0" shapeId="0" xr:uid="{4ECDF76D-81E3-474D-BDD0-D942E49571EF}">
      <text>
        <r>
          <rPr>
            <b/>
            <sz val="9"/>
            <color indexed="81"/>
            <rFont val="Tahoma"/>
            <family val="2"/>
          </rPr>
          <t>Torres, Christine:</t>
        </r>
        <r>
          <rPr>
            <sz val="9"/>
            <color indexed="81"/>
            <rFont val="Tahoma"/>
            <family val="2"/>
          </rPr>
          <t xml:space="preserve">
Expense report through 6/30 and receipts through 9/2</t>
        </r>
      </text>
    </comment>
    <comment ref="G21" authorId="0" shapeId="0" xr:uid="{4E9D8B3E-EBAB-4F3F-B34B-43E504CC1258}">
      <text>
        <r>
          <rPr>
            <b/>
            <sz val="9"/>
            <color indexed="81"/>
            <rFont val="Tahoma"/>
            <family val="2"/>
          </rPr>
          <t>Torres, Christine:</t>
        </r>
        <r>
          <rPr>
            <sz val="9"/>
            <color indexed="81"/>
            <rFont val="Tahoma"/>
            <family val="2"/>
          </rPr>
          <t xml:space="preserve">
Expenses through 6/30 and receipts through 9/2</t>
        </r>
      </text>
    </comment>
    <comment ref="G31" authorId="0" shapeId="0" xr:uid="{89A392BC-8B4C-4E37-ACF7-8B6019591954}">
      <text>
        <r>
          <rPr>
            <b/>
            <sz val="9"/>
            <color indexed="81"/>
            <rFont val="Tahoma"/>
            <family val="2"/>
          </rPr>
          <t>Torres, Christine:</t>
        </r>
        <r>
          <rPr>
            <sz val="9"/>
            <color indexed="81"/>
            <rFont val="Tahoma"/>
            <family val="2"/>
          </rPr>
          <t xml:space="preserve">
Expenses through 6/30 and receipts through 9/2</t>
        </r>
      </text>
    </comment>
    <comment ref="G35" authorId="0" shapeId="0" xr:uid="{7069EE3C-A173-42F3-96B7-3AD425E17C08}">
      <text>
        <r>
          <rPr>
            <b/>
            <sz val="9"/>
            <color indexed="81"/>
            <rFont val="Tahoma"/>
            <family val="2"/>
          </rPr>
          <t>Torres, Christine:</t>
        </r>
        <r>
          <rPr>
            <sz val="9"/>
            <color indexed="81"/>
            <rFont val="Tahoma"/>
            <family val="2"/>
          </rPr>
          <t xml:space="preserve">
Expenses through 6/30 and receipts through 9/2</t>
        </r>
      </text>
    </comment>
    <comment ref="G39" authorId="0" shapeId="0" xr:uid="{E8342CEB-2C4A-4C2E-A5BD-CA57608F8F9A}">
      <text>
        <r>
          <rPr>
            <b/>
            <sz val="9"/>
            <color indexed="81"/>
            <rFont val="Tahoma"/>
            <family val="2"/>
          </rPr>
          <t>Torres, Christine:</t>
        </r>
        <r>
          <rPr>
            <sz val="9"/>
            <color indexed="81"/>
            <rFont val="Tahoma"/>
            <family val="2"/>
          </rPr>
          <t xml:space="preserve">
Expenses through 6/30 and receipts through 9/2</t>
        </r>
      </text>
    </comment>
    <comment ref="G43" authorId="0" shapeId="0" xr:uid="{6E178246-472A-4808-8856-9ED1097CB746}">
      <text>
        <r>
          <rPr>
            <b/>
            <sz val="9"/>
            <color indexed="81"/>
            <rFont val="Tahoma"/>
            <family val="2"/>
          </rPr>
          <t>Torres, Christine:</t>
        </r>
        <r>
          <rPr>
            <sz val="9"/>
            <color indexed="81"/>
            <rFont val="Tahoma"/>
            <family val="2"/>
          </rPr>
          <t xml:space="preserve">
Expenses through 6/30 and receipts through 9/2</t>
        </r>
      </text>
    </comment>
  </commentList>
</comments>
</file>

<file path=xl/sharedStrings.xml><?xml version="1.0" encoding="utf-8"?>
<sst xmlns="http://schemas.openxmlformats.org/spreadsheetml/2006/main" count="5428" uniqueCount="2269">
  <si>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</si>
  <si>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</si>
  <si>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</si>
  <si>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</si>
  <si>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</si>
  <si>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</si>
  <si>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</si>
  <si>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</si>
  <si>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</si>
  <si>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</si>
  <si>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</si>
  <si>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</si>
  <si>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</si>
  <si>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</si>
  <si>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</si>
  <si>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</si>
  <si>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</si>
  <si>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</si>
  <si>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</si>
  <si>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</si>
  <si>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</si>
  <si>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</si>
  <si>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</si>
  <si>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</si>
  <si>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</si>
  <si>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</si>
  <si>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</si>
  <si>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</si>
  <si>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</si>
  <si>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</si>
  <si>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</si>
  <si>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</si>
  <si>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</si>
  <si>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</si>
  <si>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</si>
  <si>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</si>
  <si>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</si>
  <si>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</si>
  <si>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</si>
  <si>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</si>
  <si>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</si>
  <si>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</si>
  <si>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</si>
  <si>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</si>
  <si>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</si>
  <si>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</si>
  <si>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</si>
  <si>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</si>
  <si>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</si>
  <si>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</si>
  <si>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</si>
  <si>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</si>
  <si>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</si>
  <si>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</si>
  <si>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</si>
  <si>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</si>
  <si>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</si>
  <si>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</si>
  <si>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</si>
  <si>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</si>
  <si>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</si>
  <si>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</si>
  <si>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</si>
  <si>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</si>
  <si>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</si>
  <si>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</si>
  <si>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</si>
  <si>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</si>
  <si>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</si>
  <si>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</si>
  <si>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</si>
  <si>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</si>
  <si>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</si>
  <si>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</si>
  <si>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</si>
  <si>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</si>
  <si>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</si>
  <si>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</si>
  <si>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</si>
  <si>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</si>
  <si>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</si>
  <si>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</si>
  <si>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</si>
  <si>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</si>
  <si>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</si>
  <si>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</si>
  <si>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</si>
  <si>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</si>
  <si>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</si>
  <si>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</si>
  <si>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</si>
  <si>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</si>
  <si>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</si>
  <si>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</si>
  <si>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</si>
  <si>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</si>
  <si>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</si>
  <si>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</si>
  <si>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</si>
  <si>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</si>
  <si>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</si>
  <si>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</si>
  <si>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</si>
  <si>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</si>
  <si>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</si>
  <si>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</si>
  <si>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</si>
  <si>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</si>
  <si>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</si>
  <si>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</si>
  <si>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</si>
  <si>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</si>
  <si>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</si>
  <si>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</si>
  <si>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</si>
  <si>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</si>
  <si>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</si>
  <si>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</si>
  <si>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</si>
  <si>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</si>
  <si>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</si>
  <si>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</si>
  <si>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</si>
  <si>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</si>
  <si>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</si>
  <si>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</si>
  <si>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</si>
  <si>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</si>
  <si>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</si>
  <si>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</si>
  <si>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</si>
  <si>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</si>
  <si>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</si>
  <si>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</si>
  <si>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</si>
  <si>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</si>
  <si>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</si>
  <si>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</si>
  <si>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</si>
  <si>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</si>
  <si>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</si>
  <si>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</si>
  <si>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</si>
  <si>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</si>
  <si>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</si>
  <si>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</si>
  <si>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</si>
  <si>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</si>
  <si>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</si>
  <si>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</si>
  <si>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</si>
  <si>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</si>
  <si>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</si>
  <si>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</si>
  <si>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</si>
  <si>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</si>
  <si>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</si>
  <si>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</si>
  <si>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</si>
  <si>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</si>
  <si>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</si>
  <si>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</si>
  <si>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</si>
  <si>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</si>
  <si>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</si>
  <si>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</si>
  <si>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</si>
  <si>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</si>
  <si>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</si>
  <si>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</si>
  <si>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</si>
  <si>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</si>
  <si>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</si>
  <si>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</si>
  <si>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</si>
  <si>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</si>
  <si>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</si>
  <si>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</si>
  <si>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</si>
  <si>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</si>
  <si>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</si>
  <si>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</si>
  <si>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</si>
  <si>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</si>
  <si>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</si>
  <si>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</si>
  <si>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</si>
  <si>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</si>
  <si>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</si>
  <si>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</si>
  <si>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</si>
  <si>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</si>
  <si>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</si>
  <si>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</si>
  <si>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</si>
  <si>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</si>
  <si>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</si>
  <si>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</si>
  <si>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</si>
  <si>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</si>
  <si>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</si>
  <si>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</si>
  <si>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</si>
  <si>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</si>
  <si>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</si>
  <si>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</si>
  <si>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</si>
  <si>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</si>
  <si>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</si>
  <si>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</si>
  <si>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</si>
  <si>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</si>
  <si>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</si>
  <si>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</si>
  <si>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</si>
  <si>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</si>
  <si>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</si>
  <si>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</si>
  <si>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</si>
  <si>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</si>
  <si>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</si>
  <si>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</si>
  <si>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</si>
  <si>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</si>
  <si>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</si>
  <si>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</si>
  <si>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</si>
  <si>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</si>
  <si>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</si>
  <si>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</si>
  <si>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</si>
  <si>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</si>
  <si>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</si>
  <si>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</si>
  <si>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</si>
  <si>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</si>
  <si>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</si>
  <si>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</si>
  <si>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</si>
  <si>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</si>
  <si>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</si>
  <si>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</si>
  <si>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</si>
  <si>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</si>
  <si>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</si>
  <si>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</si>
  <si>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</si>
  <si>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</si>
  <si>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</si>
  <si>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</si>
  <si>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</si>
  <si>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</si>
  <si>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</si>
  <si>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</si>
  <si>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</si>
  <si>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</si>
  <si>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</si>
  <si>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</si>
  <si>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</si>
  <si>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</si>
  <si>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</si>
  <si>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</si>
  <si>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</si>
  <si>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</si>
  <si>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</si>
  <si>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</si>
  <si>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</si>
  <si>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</si>
  <si>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</si>
  <si>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</si>
  <si>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</si>
  <si>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</si>
  <si>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</si>
  <si>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</si>
  <si>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</si>
  <si>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</si>
  <si>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</si>
  <si>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</si>
  <si>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</si>
  <si>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</si>
  <si>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</si>
  <si>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</si>
  <si>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</si>
  <si>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</si>
  <si>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</si>
  <si>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</si>
  <si>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</si>
  <si>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</si>
  <si>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</si>
  <si>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</si>
  <si>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</si>
  <si>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</si>
  <si>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</si>
  <si>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</si>
  <si>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</si>
  <si>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</si>
  <si>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</si>
  <si>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</si>
  <si>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</si>
  <si>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</si>
  <si>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</si>
  <si>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</si>
  <si>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</si>
  <si>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</si>
  <si>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</si>
  <si>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</si>
  <si>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</si>
  <si>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</si>
  <si>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</si>
  <si>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</si>
  <si>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</si>
  <si>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</si>
  <si>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</si>
  <si>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</si>
  <si>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</si>
  <si>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</si>
  <si>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</si>
  <si>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</si>
  <si>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</si>
  <si>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</si>
  <si>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</si>
  <si>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</si>
  <si>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</si>
  <si>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</si>
  <si>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</si>
  <si>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</si>
  <si>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</si>
  <si>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</si>
  <si>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</si>
  <si>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</si>
  <si>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</si>
  <si>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</si>
  <si>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</si>
  <si>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</si>
  <si>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</si>
  <si>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</si>
  <si>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</si>
  <si>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</si>
  <si>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</si>
  <si>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</si>
  <si>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</si>
  <si>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</si>
  <si>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</si>
  <si>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</si>
  <si>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</si>
  <si>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</si>
  <si>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</si>
  <si>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</si>
  <si>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</si>
  <si>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</si>
  <si>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</si>
  <si>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</si>
  <si>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</si>
  <si>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</si>
  <si>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</si>
  <si>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</si>
  <si>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</si>
  <si>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</si>
  <si>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</si>
  <si>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</si>
  <si>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</si>
  <si>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</si>
  <si>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</si>
  <si>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</si>
  <si>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</si>
  <si>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</si>
  <si>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</si>
  <si>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</si>
  <si>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</si>
  <si>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</si>
  <si>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</si>
  <si>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</si>
  <si>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</si>
  <si>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</si>
  <si>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</si>
  <si>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</si>
  <si>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</si>
  <si>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</si>
  <si>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</si>
  <si>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</si>
  <si>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</si>
  <si>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</si>
  <si>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</si>
  <si>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</si>
  <si>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</si>
  <si>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</si>
  <si>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</si>
  <si>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</si>
  <si>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</si>
  <si>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</si>
  <si>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</si>
  <si>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</si>
  <si>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</si>
  <si>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</si>
  <si>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</si>
  <si>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</si>
  <si>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</si>
  <si>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</si>
  <si>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</si>
  <si>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</si>
  <si>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</si>
  <si>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</si>
  <si>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</si>
  <si>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</si>
  <si>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</si>
  <si>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</si>
  <si>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</si>
  <si>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</si>
  <si>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</si>
  <si>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</si>
  <si>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</si>
  <si>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</si>
  <si>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</si>
  <si>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</si>
  <si>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</si>
  <si>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</si>
  <si>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</si>
  <si>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</si>
  <si>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</si>
  <si>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</si>
  <si>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</si>
  <si>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</si>
  <si>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</si>
  <si>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</si>
  <si>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</si>
  <si>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</si>
  <si>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</si>
  <si>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</si>
  <si>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</si>
  <si>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</si>
  <si>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</si>
  <si>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</si>
  <si>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</si>
  <si>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</si>
  <si>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</si>
  <si>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</si>
  <si>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</si>
  <si>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</si>
  <si>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</si>
  <si>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</si>
  <si>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</si>
  <si>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</si>
  <si>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</si>
  <si>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</si>
  <si>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</si>
  <si>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</si>
  <si>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</si>
  <si>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</si>
  <si>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</si>
  <si>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</si>
  <si>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</si>
  <si>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</si>
  <si>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</si>
  <si>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</si>
  <si>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</si>
  <si>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</si>
  <si>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</si>
  <si>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</si>
  <si>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</si>
  <si>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</si>
  <si>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</si>
  <si>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</si>
  <si>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</si>
  <si>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</si>
  <si>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</si>
  <si>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</si>
  <si>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</si>
  <si>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</si>
  <si>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</si>
  <si>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</si>
  <si>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</si>
  <si>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</si>
  <si>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</si>
  <si>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</si>
  <si>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</si>
  <si>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</si>
  <si>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</si>
  <si>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</si>
  <si>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</si>
  <si>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</si>
  <si>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</si>
  <si>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</si>
  <si>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</si>
  <si>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</si>
  <si>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</si>
  <si>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</si>
  <si>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</si>
  <si>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</si>
  <si>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</si>
  <si>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</si>
  <si>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</si>
  <si>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</si>
  <si>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</si>
  <si>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</si>
  <si>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</si>
  <si>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</si>
  <si>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</si>
  <si>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</si>
  <si>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</si>
  <si>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</si>
  <si>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</si>
  <si>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</si>
  <si>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</si>
  <si>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</si>
  <si>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</si>
  <si>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</si>
  <si>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</si>
  <si>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</si>
  <si>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</si>
  <si>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</si>
  <si>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</si>
  <si>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</si>
  <si>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</si>
  <si>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</si>
  <si>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</si>
  <si>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</si>
  <si>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</si>
  <si>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</si>
  <si>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</si>
  <si>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</si>
  <si>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</si>
  <si>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</si>
  <si>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</si>
  <si>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</si>
  <si>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</si>
  <si>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</si>
  <si>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</si>
  <si>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</si>
  <si>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</si>
  <si>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</si>
  <si>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</si>
  <si>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</si>
  <si>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</si>
  <si>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</si>
  <si>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</si>
  <si>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</si>
  <si>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</si>
  <si>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</si>
  <si>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</si>
  <si>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</si>
  <si>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</si>
  <si>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</si>
  <si>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</si>
  <si>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</si>
  <si>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</si>
  <si>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</si>
  <si>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</si>
  <si>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</si>
  <si>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</si>
  <si>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</si>
  <si>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</si>
  <si>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</si>
  <si>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</si>
  <si>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</si>
  <si>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</si>
  <si>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</si>
  <si>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</si>
  <si>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</si>
  <si>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</si>
  <si>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</si>
  <si>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</si>
  <si>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</si>
  <si>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</si>
  <si>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</si>
  <si>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</si>
  <si>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</si>
  <si>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</si>
  <si>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</si>
  <si>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</si>
  <si>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</si>
  <si>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</si>
  <si>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</si>
  <si>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</si>
  <si>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</si>
  <si>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</si>
  <si>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</si>
  <si>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</si>
  <si>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</si>
  <si>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</si>
  <si>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</si>
  <si>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</si>
  <si>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</si>
  <si>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</si>
  <si>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</si>
  <si>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</si>
  <si>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</si>
  <si>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</si>
  <si>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</si>
  <si>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</si>
  <si>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</si>
  <si>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</si>
  <si>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</si>
  <si>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</si>
  <si>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</si>
  <si>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</si>
  <si>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</si>
  <si>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</si>
  <si>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</si>
  <si>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</si>
  <si>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</si>
  <si>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</si>
  <si>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</si>
  <si>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</si>
  <si>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</si>
  <si>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</si>
  <si>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</si>
  <si>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</si>
  <si>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</si>
  <si>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</si>
  <si>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</si>
  <si>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</si>
  <si>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</si>
  <si>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</si>
  <si>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</si>
  <si>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</si>
  <si>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</si>
  <si>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</si>
  <si>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</si>
  <si>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</si>
  <si>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</si>
  <si>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</si>
  <si>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</si>
  <si>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</si>
  <si>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</si>
  <si>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</si>
  <si>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</si>
  <si>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</si>
  <si>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</si>
  <si>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</si>
  <si>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</si>
  <si>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</si>
  <si>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</si>
  <si>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</si>
  <si>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</si>
  <si>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</si>
  <si>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</si>
  <si>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</si>
  <si>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</si>
  <si>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</si>
  <si>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</si>
  <si>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</si>
  <si>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</si>
  <si>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</si>
  <si>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</si>
  <si>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</si>
  <si>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</si>
  <si>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</si>
  <si>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</si>
  <si>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</si>
  <si>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</si>
  <si>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</si>
  <si>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</si>
  <si>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</si>
  <si>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</si>
  <si>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</si>
  <si>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</si>
  <si>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</si>
  <si>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</si>
  <si>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</si>
  <si>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</si>
  <si>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</si>
  <si>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</si>
  <si>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</si>
  <si>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</si>
  <si>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</si>
  <si>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</si>
  <si>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</si>
  <si>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</si>
  <si>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</si>
  <si>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</si>
  <si>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</si>
  <si>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</si>
  <si>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</si>
  <si>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</si>
  <si>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</si>
  <si>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</si>
  <si>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</si>
  <si>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</si>
  <si>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</si>
  <si>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</si>
  <si>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</si>
  <si>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</si>
  <si>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</si>
  <si>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</si>
  <si>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</si>
  <si>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</si>
  <si>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</si>
  <si>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</si>
  <si>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</si>
  <si>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</si>
  <si>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</si>
  <si>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</si>
  <si>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</si>
  <si>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</si>
  <si>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</si>
  <si>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</si>
  <si>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</si>
  <si>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</si>
  <si>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</si>
  <si>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</si>
  <si>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</si>
  <si>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</si>
  <si>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</si>
  <si>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</si>
  <si>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</si>
  <si>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</si>
  <si>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</si>
  <si>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</si>
  <si>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</si>
  <si>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</si>
  <si>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</si>
  <si>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</si>
  <si>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</si>
  <si>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</si>
  <si>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</si>
  <si>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</si>
  <si>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</si>
  <si>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</si>
  <si>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</si>
  <si>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</si>
  <si>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</si>
  <si>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</si>
  <si>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</si>
  <si>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</si>
  <si>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</si>
  <si>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</si>
  <si>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</si>
  <si>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</si>
  <si>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</si>
  <si>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</si>
  <si>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</si>
  <si>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</si>
  <si>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</si>
  <si>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</si>
  <si>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</si>
  <si>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</si>
  <si>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</si>
  <si>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</si>
  <si>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</si>
  <si>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</si>
  <si>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</si>
  <si>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</si>
  <si>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</si>
  <si>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</si>
  <si>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</si>
  <si>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</si>
  <si>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</si>
  <si>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</si>
  <si>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</si>
  <si>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</si>
  <si>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</si>
  <si>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</si>
  <si>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</si>
  <si>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</si>
  <si>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</si>
  <si>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</si>
  <si>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</si>
  <si>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</si>
  <si>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</si>
  <si>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</si>
  <si>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</si>
  <si>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</si>
  <si>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</si>
  <si>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</si>
  <si>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</si>
  <si>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</si>
  <si>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</si>
  <si>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</si>
  <si>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</si>
  <si>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</si>
  <si>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</si>
  <si>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</si>
  <si>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</si>
  <si>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</si>
  <si>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</si>
  <si>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</si>
  <si>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</si>
  <si>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</si>
  <si>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</si>
  <si>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</si>
  <si>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</si>
  <si>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</si>
  <si>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</si>
  <si>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</si>
  <si>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</si>
  <si>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</si>
  <si>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</si>
  <si>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</si>
  <si>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</si>
  <si>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</si>
  <si>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</si>
  <si>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</si>
  <si>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</si>
  <si>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</si>
  <si>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</si>
  <si>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</si>
  <si>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</si>
  <si>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</si>
  <si>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</si>
  <si>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</si>
  <si>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</si>
  <si>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</si>
  <si>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</si>
  <si>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</si>
  <si>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</si>
  <si>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</si>
  <si>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</si>
  <si>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</si>
  <si>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</si>
  <si>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</si>
  <si>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</si>
  <si>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</si>
  <si>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</si>
  <si>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</si>
  <si>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</si>
  <si>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</si>
  <si>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</si>
  <si>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</si>
  <si>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</si>
  <si>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</si>
  <si>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</si>
  <si>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</si>
  <si>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</si>
  <si>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</si>
  <si>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</si>
  <si>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</si>
  <si>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</si>
  <si>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</si>
  <si>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</si>
  <si>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</si>
  <si>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</si>
  <si>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</si>
  <si>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</si>
  <si>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</si>
  <si>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</si>
  <si>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</si>
  <si>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</si>
  <si>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</si>
  <si>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</si>
  <si>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</si>
  <si>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</si>
  <si>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</si>
  <si>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</si>
  <si>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</si>
  <si>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</si>
  <si>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</si>
  <si>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</si>
  <si>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</si>
  <si>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</si>
  <si>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</si>
  <si>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</si>
  <si>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</si>
  <si>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</si>
  <si>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</si>
  <si>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</si>
  <si>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</si>
  <si>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</si>
  <si>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</si>
  <si>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</si>
  <si>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</si>
  <si>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</si>
  <si>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</si>
  <si>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</si>
  <si>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</si>
  <si>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</si>
  <si>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</si>
  <si>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</si>
  <si>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</si>
  <si>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</si>
  <si>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</si>
  <si>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</si>
  <si>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</si>
  <si>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</si>
  <si>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</si>
  <si>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</si>
  <si>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</si>
  <si>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</si>
  <si>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</si>
  <si>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</si>
  <si>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</si>
  <si>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</si>
  <si>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</si>
  <si>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</si>
  <si>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</si>
  <si>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</si>
  <si>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</si>
  <si>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</si>
  <si>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</si>
  <si>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</si>
  <si>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</si>
  <si>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</si>
  <si>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</si>
  <si>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</si>
  <si>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</si>
  <si>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</si>
  <si>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</si>
  <si>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</si>
  <si>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</si>
  <si>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</si>
  <si>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</si>
  <si>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</si>
  <si>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</si>
  <si>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</si>
  <si>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</si>
  <si>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</si>
  <si>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</si>
  <si>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</si>
  <si>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</si>
  <si>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</si>
  <si>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</si>
  <si>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</si>
  <si>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</si>
  <si>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</si>
  <si>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</si>
  <si>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</si>
  <si>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</si>
  <si>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</si>
  <si>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</si>
  <si>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</si>
  <si>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</si>
  <si>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</si>
  <si>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</si>
  <si>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</si>
  <si>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</si>
  <si>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</si>
  <si>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</si>
  <si>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</si>
  <si>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</si>
  <si>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</si>
  <si>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</si>
  <si>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</si>
  <si>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</si>
  <si>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</si>
  <si>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</si>
  <si>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</si>
  <si>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</si>
  <si>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</si>
  <si>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</si>
  <si>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</si>
  <si>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</si>
  <si>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</si>
  <si>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</si>
  <si>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</si>
  <si>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</si>
  <si>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</si>
  <si>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</si>
  <si>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</si>
  <si>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</si>
  <si>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</si>
  <si>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</si>
  <si>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</si>
  <si>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</si>
  <si>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</si>
  <si>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</si>
  <si>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</si>
  <si>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</si>
  <si>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</si>
  <si>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</si>
  <si>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</si>
  <si>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</si>
  <si>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</si>
  <si>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</si>
  <si>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</si>
  <si>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</si>
  <si>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</si>
  <si>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</si>
  <si>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</si>
  <si>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</si>
  <si>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</si>
  <si>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</si>
  <si>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</si>
  <si>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</si>
  <si>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</si>
  <si>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</si>
  <si>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</si>
  <si>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</si>
  <si>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</si>
  <si>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</si>
  <si>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</si>
  <si>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</si>
  <si>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</si>
  <si>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</si>
  <si>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</si>
  <si>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</si>
  <si>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</si>
  <si>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</si>
  <si>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</si>
  <si>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</si>
  <si>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</si>
  <si>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</si>
  <si>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</si>
  <si>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</si>
  <si>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</si>
  <si>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</si>
  <si>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</si>
  <si>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</si>
  <si>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</si>
  <si>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</si>
  <si>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</si>
  <si>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</si>
  <si>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</si>
  <si>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</si>
  <si>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</si>
  <si>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</si>
  <si>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</si>
  <si>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</si>
  <si>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</si>
  <si>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</si>
  <si>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</si>
  <si>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</si>
  <si>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</si>
  <si>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</si>
  <si>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</si>
  <si>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</si>
  <si>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</si>
  <si>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</si>
  <si>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</si>
  <si>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</si>
  <si>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</si>
  <si>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</si>
  <si>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</si>
  <si>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</si>
  <si>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</si>
  <si>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</si>
  <si>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</si>
  <si>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</si>
  <si>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</si>
  <si>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</si>
  <si>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</si>
  <si>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</si>
  <si>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</si>
  <si>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</si>
  <si>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</si>
  <si>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</si>
  <si>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</si>
  <si>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</si>
  <si>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</si>
  <si>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</si>
  <si>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</si>
  <si>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</si>
  <si>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</si>
  <si>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</si>
  <si>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</si>
  <si>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</si>
  <si>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</si>
  <si>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</si>
  <si>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</si>
  <si>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</si>
  <si>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</si>
  <si>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</si>
  <si>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</si>
  <si>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</si>
  <si>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</si>
  <si>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</si>
  <si>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</si>
  <si>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</si>
  <si>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</si>
  <si>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</si>
  <si>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</si>
  <si>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</si>
  <si>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</si>
  <si>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</si>
  <si>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</si>
  <si>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</si>
  <si>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</si>
  <si>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</si>
  <si>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</si>
  <si>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</si>
  <si>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</si>
  <si>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</si>
  <si>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</si>
  <si>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</si>
  <si>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</si>
  <si>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</si>
  <si>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</si>
  <si>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</si>
  <si>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</si>
  <si>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</si>
  <si>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</si>
  <si>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</si>
  <si>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</si>
  <si>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</si>
  <si>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</si>
  <si>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</si>
  <si>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</si>
  <si>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</si>
  <si>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</si>
  <si>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</si>
  <si>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</si>
  <si>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</si>
  <si>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</si>
  <si>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</si>
  <si>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</si>
  <si>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</si>
  <si>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</si>
  <si>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</si>
  <si>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</si>
  <si>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</si>
  <si>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</si>
  <si>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</si>
  <si>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</si>
  <si>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</si>
  <si>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</si>
  <si>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</si>
  <si>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</si>
  <si>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</si>
  <si>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</si>
  <si>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</si>
  <si>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</si>
  <si>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</si>
  <si>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</si>
  <si>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</si>
  <si>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</si>
  <si>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</si>
  <si>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</si>
  <si>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</si>
  <si>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</si>
  <si>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</si>
  <si>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</si>
  <si>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</si>
  <si>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</si>
  <si>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</si>
  <si>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</si>
  <si>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</si>
  <si>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</si>
  <si>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</si>
  <si>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</si>
  <si>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</si>
  <si>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</si>
  <si>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</si>
  <si>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</si>
  <si>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</si>
  <si>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</si>
  <si>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</si>
  <si>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</si>
  <si>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</si>
  <si>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</si>
  <si>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</si>
  <si>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</si>
  <si>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</si>
  <si>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</si>
  <si>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</si>
  <si>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</si>
  <si>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</si>
  <si>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</si>
  <si>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</si>
  <si>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</si>
  <si>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</si>
  <si>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</si>
  <si>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</si>
  <si>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</si>
  <si>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</si>
  <si>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</si>
  <si>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</si>
  <si>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</si>
  <si>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</si>
  <si>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</si>
  <si>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</si>
  <si>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</si>
  <si>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</si>
  <si>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</si>
  <si>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</si>
  <si>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</si>
  <si>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</si>
  <si>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</si>
  <si>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</si>
  <si>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</si>
  <si>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</si>
  <si>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</si>
  <si>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</si>
  <si>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</si>
  <si>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</si>
  <si>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</si>
  <si>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</si>
  <si>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</si>
  <si>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</si>
  <si>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</si>
  <si>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</si>
  <si>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</si>
  <si>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</si>
  <si>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</si>
  <si>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</si>
  <si>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</si>
  <si>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</si>
  <si>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</si>
  <si>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</si>
  <si>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</si>
  <si>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</si>
  <si>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</si>
  <si>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</si>
  <si>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</si>
  <si>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</si>
  <si>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</si>
  <si>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</si>
  <si>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</si>
  <si>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</si>
  <si>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</si>
  <si>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</si>
  <si>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</si>
  <si>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</si>
  <si>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</si>
  <si>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</si>
  <si>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</si>
  <si>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</si>
  <si>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</si>
  <si>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</si>
  <si>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</si>
  <si>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</si>
  <si>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</si>
  <si>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</si>
  <si>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</si>
  <si>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</si>
  <si>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</si>
  <si>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</si>
  <si>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</si>
  <si>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</si>
  <si>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</si>
  <si>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</si>
  <si>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</si>
  <si>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</si>
  <si>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</si>
  <si>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</si>
  <si>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</si>
  <si>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</si>
  <si>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</si>
  <si>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</si>
  <si>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</si>
  <si>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</si>
  <si>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</si>
  <si>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</si>
  <si>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</si>
  <si>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</si>
  <si>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</si>
  <si>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</si>
  <si>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</si>
  <si>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</si>
  <si>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</si>
  <si>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</si>
  <si>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</si>
  <si>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</si>
  <si>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</si>
  <si>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</si>
  <si>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</si>
  <si>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</si>
  <si>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</si>
  <si>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</si>
  <si>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</si>
  <si>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</si>
  <si>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</si>
  <si>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</si>
  <si>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</si>
  <si>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</si>
  <si>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</si>
  <si>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</si>
  <si>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</si>
  <si>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</si>
  <si>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</si>
  <si>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</si>
  <si>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</si>
  <si>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</si>
  <si>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</si>
  <si>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</si>
  <si>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</si>
  <si>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</si>
  <si>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</si>
  <si>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</si>
  <si>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</si>
  <si>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</si>
  <si>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</si>
  <si>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</si>
  <si>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</si>
  <si>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</si>
  <si>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</si>
  <si>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</si>
  <si>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</si>
  <si>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</si>
  <si>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</si>
  <si>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</si>
  <si>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</si>
  <si>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</si>
  <si>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</si>
  <si>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</si>
  <si>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</si>
  <si>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</si>
  <si>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</si>
  <si>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</si>
  <si>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</si>
  <si>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</si>
  <si>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</si>
  <si>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</si>
  <si>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</si>
  <si>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</si>
  <si>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</si>
  <si>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</si>
  <si>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</si>
  <si>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</si>
  <si>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</si>
  <si>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</si>
  <si>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</si>
  <si>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</si>
  <si>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</si>
  <si>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</si>
  <si>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</si>
  <si>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</si>
  <si>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</si>
  <si>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</si>
  <si>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</si>
  <si>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</si>
  <si>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</si>
  <si>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</si>
  <si>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</si>
  <si>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</si>
  <si>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</si>
  <si>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</si>
  <si>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</si>
  <si>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</si>
  <si>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</si>
  <si>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</si>
  <si>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</si>
  <si>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</si>
  <si>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</si>
  <si>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</si>
  <si>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</si>
  <si>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</si>
  <si>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</si>
  <si>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</si>
  <si>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</si>
  <si>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</si>
  <si>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</si>
  <si>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</si>
  <si>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</si>
  <si>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</si>
  <si>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</si>
  <si>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</si>
  <si>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</si>
  <si>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</si>
  <si>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</si>
  <si>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</si>
  <si>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</si>
  <si>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</si>
  <si>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</si>
  <si>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</si>
  <si>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</si>
  <si>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</si>
  <si>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</si>
  <si>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</si>
  <si>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</si>
  <si>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</si>
  <si>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</si>
  <si>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</si>
  <si>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</si>
  <si>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</si>
  <si>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</si>
  <si>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</si>
  <si>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</si>
  <si>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</si>
  <si>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</si>
  <si>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</si>
  <si>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</si>
  <si>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</si>
  <si>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</si>
  <si>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</si>
  <si>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</si>
  <si>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</si>
  <si>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</si>
  <si>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</si>
  <si>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</si>
  <si>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</si>
  <si>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</si>
  <si>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</si>
  <si>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</si>
  <si>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</si>
  <si>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</si>
  <si>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</si>
  <si>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</si>
  <si>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</si>
  <si>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</si>
  <si>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</si>
  <si>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</si>
  <si>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</si>
  <si>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</si>
  <si>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</si>
  <si>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</si>
  <si>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</si>
  <si>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</si>
  <si>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</si>
  <si>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</si>
  <si>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</si>
  <si>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</si>
  <si>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</si>
  <si>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</si>
  <si>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</si>
  <si>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</si>
  <si>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</si>
  <si>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</si>
  <si>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</si>
  <si>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</si>
  <si>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</si>
  <si>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</si>
  <si>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</si>
  <si>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</si>
  <si>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</si>
  <si>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</si>
  <si>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</si>
  <si>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</si>
  <si>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</si>
  <si>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</si>
  <si>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</si>
  <si>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</si>
  <si>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</si>
  <si>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</si>
  <si>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</si>
  <si>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</si>
  <si>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</si>
  <si>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</si>
  <si>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</si>
  <si>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</si>
  <si>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</si>
  <si>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</si>
  <si>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</si>
  <si>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</si>
  <si>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</si>
  <si>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</si>
  <si>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</si>
  <si>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</si>
  <si>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</si>
  <si>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</si>
  <si>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</si>
  <si>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</si>
  <si>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</si>
  <si>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</si>
  <si>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</si>
  <si>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</si>
  <si>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</si>
  <si>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</si>
  <si>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</si>
  <si>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</si>
  <si>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</si>
  <si>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</si>
  <si>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</si>
  <si>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</si>
  <si>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</si>
  <si>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</si>
  <si>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</si>
  <si>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</si>
  <si>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</si>
  <si>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</si>
  <si>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</si>
  <si>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</si>
  <si>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</si>
  <si>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</si>
  <si>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</si>
  <si>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</si>
  <si>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</si>
  <si>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</si>
  <si>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</si>
  <si>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</si>
  <si>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</si>
  <si>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</si>
  <si>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</si>
  <si>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</si>
  <si>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</si>
  <si>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</si>
  <si>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</si>
  <si>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</si>
  <si>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</si>
  <si>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</si>
  <si>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</si>
  <si>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</si>
  <si>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</si>
  <si>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</si>
  <si>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</si>
  <si>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</si>
  <si>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</si>
  <si>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</si>
  <si>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</si>
  <si>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</si>
  <si>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</si>
  <si>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</si>
  <si>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</si>
  <si>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</si>
  <si>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</si>
  <si>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</si>
  <si>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</si>
  <si>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</si>
  <si>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</si>
  <si>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</si>
  <si>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</si>
  <si>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</si>
  <si>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</si>
  <si>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</si>
  <si>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</si>
  <si>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</si>
  <si>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</si>
  <si>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</si>
  <si>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</si>
  <si>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</si>
  <si>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</si>
  <si>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</si>
  <si>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</si>
  <si>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</si>
  <si>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</si>
  <si>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</si>
  <si>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</si>
  <si>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</si>
  <si>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</si>
  <si>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</si>
  <si>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</si>
  <si>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</si>
  <si>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</si>
  <si>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</si>
  <si>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</si>
  <si>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</si>
  <si>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</si>
  <si>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</si>
  <si>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</si>
  <si>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</si>
  <si>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</si>
  <si>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</si>
  <si>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</si>
  <si>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</si>
  <si>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</si>
  <si>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</si>
  <si>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</si>
  <si>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</si>
  <si>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</si>
  <si>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</si>
  <si>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</si>
  <si>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</si>
  <si>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</si>
  <si>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</si>
  <si>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</si>
  <si>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</si>
  <si>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</si>
  <si>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</si>
  <si>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</si>
  <si>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</si>
  <si>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</si>
  <si>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</si>
  <si>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</si>
  <si>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</si>
  <si>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</si>
  <si>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</si>
  <si>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</si>
  <si>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</si>
  <si>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</si>
  <si>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</si>
  <si>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</si>
  <si>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</si>
  <si>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</si>
  <si>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</si>
  <si>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</si>
  <si>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</si>
  <si>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</si>
  <si>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</si>
  <si>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</si>
  <si>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</si>
  <si>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</si>
  <si>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</si>
  <si>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</si>
  <si>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</si>
  <si>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</si>
  <si>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</si>
  <si>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</si>
  <si>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</si>
  <si>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</si>
  <si>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</si>
  <si>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</si>
  <si>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</si>
  <si>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</si>
  <si>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</si>
  <si>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</si>
  <si>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</si>
  <si>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</si>
  <si>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</si>
  <si>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</si>
  <si>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</si>
  <si>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</si>
  <si>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</si>
  <si>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</si>
  <si>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</si>
  <si>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</si>
  <si>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</si>
  <si>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</si>
  <si>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</si>
  <si>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</si>
  <si>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</si>
  <si>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</si>
  <si>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</si>
  <si>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</si>
  <si>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</si>
  <si>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</si>
  <si>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</si>
  <si>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</si>
  <si>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</si>
  <si>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</si>
  <si>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</si>
  <si>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</si>
  <si>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</si>
  <si>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</si>
  <si>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</si>
  <si>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</si>
  <si>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</si>
  <si>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</si>
  <si>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</si>
  <si>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</si>
  <si>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</si>
  <si>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</si>
  <si>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</si>
  <si>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</si>
  <si>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</si>
  <si>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</si>
  <si>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</si>
  <si>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</si>
  <si>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</si>
  <si>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</si>
  <si>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</si>
  <si>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</si>
  <si>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</si>
  <si>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</si>
  <si>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</si>
  <si>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</si>
  <si>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</si>
  <si>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</si>
  <si>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</si>
  <si>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</si>
  <si>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</si>
  <si>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</si>
  <si>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</si>
  <si>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</si>
  <si>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</si>
  <si>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</si>
  <si>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</si>
  <si>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</si>
  <si>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</si>
  <si>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</si>
  <si>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</si>
  <si>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</si>
  <si>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</si>
  <si>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</si>
  <si>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</si>
  <si>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</si>
  <si>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</si>
  <si>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</si>
  <si>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</si>
  <si>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</si>
  <si>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</si>
  <si>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</si>
  <si>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</si>
  <si>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</si>
  <si>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</si>
  <si>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</si>
  <si>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</si>
  <si>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</si>
  <si>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</si>
  <si>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</si>
  <si>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</si>
  <si>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</si>
  <si>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</si>
  <si>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</si>
  <si>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</si>
  <si>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</si>
  <si>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</si>
  <si>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</si>
  <si>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</si>
  <si>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</si>
  <si>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</si>
  <si>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</si>
  <si>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</si>
  <si>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</si>
  <si>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</si>
  <si>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</si>
  <si>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</si>
  <si>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</si>
  <si>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</si>
  <si>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</si>
  <si>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</si>
  <si>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</si>
  <si>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</si>
  <si>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</si>
  <si>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</si>
  <si>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</si>
  <si>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</si>
  <si>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</si>
  <si>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</si>
  <si>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</si>
  <si>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</si>
  <si>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</si>
  <si>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</si>
  <si>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</si>
  <si>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</si>
  <si>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</si>
  <si>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</si>
  <si>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</si>
  <si>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</si>
  <si>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</si>
  <si>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</si>
  <si>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</si>
  <si>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</si>
  <si>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</si>
  <si>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</si>
  <si>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</si>
  <si>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</si>
  <si>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</si>
  <si>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</si>
  <si>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</si>
  <si>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</si>
  <si>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</si>
  <si>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</si>
  <si>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</si>
  <si>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</si>
  <si>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</si>
  <si>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</si>
  <si>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</si>
  <si>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</si>
  <si>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</si>
  <si>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</si>
  <si>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</si>
  <si>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</si>
  <si>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</si>
  <si>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</si>
  <si>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</si>
  <si>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</si>
  <si>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</si>
  <si>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</si>
  <si>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</si>
  <si>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</si>
  <si>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</si>
  <si>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</si>
  <si>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</si>
  <si>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</si>
  <si>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</si>
  <si>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</si>
  <si>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</si>
  <si>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</si>
  <si>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</si>
  <si>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</si>
  <si>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</si>
  <si>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</si>
  <si>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</si>
  <si>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</si>
  <si>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</si>
  <si>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</si>
  <si>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</si>
  <si>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</si>
  <si>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</si>
  <si>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</si>
  <si>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</si>
  <si>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</si>
  <si>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</si>
  <si>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</si>
  <si>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</si>
  <si>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</si>
  <si>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</si>
  <si>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</si>
  <si>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</si>
  <si>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</si>
  <si>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</si>
  <si>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</si>
  <si>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</si>
  <si>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</si>
  <si>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</si>
  <si>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</si>
  <si>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</si>
  <si>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</si>
  <si>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</si>
  <si>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</si>
  <si>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</si>
  <si>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</si>
  <si>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</si>
  <si>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</si>
  <si>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</si>
  <si>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</si>
  <si>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</si>
  <si>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</si>
  <si>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</si>
  <si>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</si>
  <si>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</si>
  <si>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</si>
  <si>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</si>
  <si>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</si>
  <si>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</si>
  <si>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</si>
  <si>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</si>
  <si>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</si>
  <si>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</si>
  <si>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</si>
  <si>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</si>
  <si>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</si>
  <si>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</si>
  <si>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</si>
  <si>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</si>
  <si>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</si>
  <si>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</si>
  <si>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</si>
  <si>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</si>
  <si>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</si>
  <si>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</si>
  <si>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</si>
  <si>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</si>
  <si>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</si>
  <si>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</si>
  <si>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</si>
  <si>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</si>
  <si>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</si>
  <si>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</si>
  <si>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</si>
  <si>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</si>
  <si>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</si>
  <si>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</si>
  <si>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</si>
  <si>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</si>
  <si>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</si>
  <si>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</si>
  <si>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</si>
  <si>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</si>
  <si>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</si>
  <si>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</si>
  <si>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</si>
  <si>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</si>
  <si>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</si>
  <si>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</si>
  <si>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</si>
  <si>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</si>
  <si>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</si>
  <si>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</si>
  <si>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</si>
  <si>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</si>
  <si>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</si>
  <si>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</si>
  <si>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</si>
  <si>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</si>
  <si>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</si>
  <si>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</si>
  <si>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</si>
  <si>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</si>
  <si>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</si>
  <si>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</si>
  <si>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</si>
  <si>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</si>
  <si>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</si>
  <si>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</si>
  <si>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</si>
  <si>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</si>
  <si>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</si>
  <si>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</si>
  <si>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</si>
  <si>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</si>
  <si>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</si>
  <si>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</si>
  <si>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</si>
  <si>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</si>
  <si>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</si>
  <si>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</si>
  <si>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</si>
  <si>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</si>
  <si>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</si>
  <si>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</si>
  <si>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</si>
  <si>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</si>
  <si>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</si>
  <si>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</si>
  <si>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</si>
  <si>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</si>
  <si>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</si>
  <si>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</si>
  <si>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</si>
  <si>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</si>
  <si>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</si>
  <si>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</si>
  <si>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</si>
  <si>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</si>
  <si>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</si>
  <si>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</si>
  <si>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</si>
  <si>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</si>
  <si>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</si>
  <si>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</si>
  <si>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</si>
  <si>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</si>
  <si>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</si>
  <si>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</si>
  <si>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</si>
  <si>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</si>
  <si>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</si>
  <si>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</si>
  <si>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</si>
  <si>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</si>
  <si>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</si>
  <si>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</si>
  <si>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</si>
  <si>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</si>
  <si>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</si>
  <si>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</si>
  <si>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</si>
  <si>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</si>
  <si>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</si>
  <si>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</si>
  <si>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</si>
  <si>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</si>
  <si>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</si>
  <si>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</si>
  <si>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</si>
  <si>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</si>
  <si>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</si>
  <si>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</si>
  <si>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</si>
  <si>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</si>
  <si>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</si>
  <si>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</si>
  <si>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</si>
  <si>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</si>
  <si>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</si>
  <si>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</si>
  <si>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</si>
  <si>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</si>
  <si>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</si>
  <si>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</si>
  <si>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</si>
  <si>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</si>
  <si>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</si>
  <si>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</si>
  <si>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</si>
  <si>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</si>
  <si>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</si>
  <si>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</si>
  <si>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</si>
  <si>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</si>
  <si>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</si>
  <si>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</si>
  <si>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</si>
  <si>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</si>
  <si>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</si>
  <si>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</si>
  <si>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</si>
  <si>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</si>
  <si>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</si>
  <si>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</si>
  <si>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</si>
  <si>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</si>
  <si>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</si>
  <si>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</si>
  <si>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</si>
  <si>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</si>
  <si>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</si>
  <si>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</si>
  <si>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</si>
  <si>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</si>
  <si>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</si>
  <si>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</si>
  <si>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</si>
  <si>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</si>
  <si>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</si>
  <si>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</si>
  <si>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</si>
  <si>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</si>
  <si>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</si>
  <si>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</si>
  <si>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</si>
  <si>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</si>
  <si>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</si>
  <si>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</si>
  <si>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</si>
  <si>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</si>
  <si>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</si>
  <si>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</si>
  <si>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</si>
  <si>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</si>
  <si>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</si>
  <si>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</si>
  <si>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</si>
  <si>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</si>
  <si>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</si>
  <si>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</si>
  <si>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</si>
  <si>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</si>
  <si>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</si>
  <si>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</si>
  <si>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</si>
  <si>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</si>
  <si>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</si>
  <si>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</si>
  <si>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</si>
  <si>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</si>
  <si>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</si>
  <si>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</si>
  <si>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</si>
  <si>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</si>
  <si>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</si>
  <si>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</si>
  <si>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</si>
  <si>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</si>
  <si>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</si>
  <si>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</si>
  <si>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</si>
  <si>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</si>
  <si>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</si>
  <si>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</si>
  <si>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</si>
  <si>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</si>
  <si>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</si>
  <si>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</si>
  <si>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</si>
  <si>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</si>
  <si>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</si>
  <si>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</si>
  <si>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</si>
  <si>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</si>
  <si>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</si>
  <si>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</si>
  <si>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</si>
  <si>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</si>
  <si>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</si>
  <si>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</si>
  <si>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</si>
  <si>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</si>
  <si>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</si>
  <si>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</si>
  <si>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</si>
  <si>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</si>
  <si>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</si>
  <si>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</si>
  <si>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</si>
  <si>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</si>
  <si>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</si>
  <si>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</si>
  <si>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</si>
  <si>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</si>
  <si>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</si>
  <si>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</si>
  <si>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</si>
  <si>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</si>
  <si>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</si>
  <si>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</si>
  <si>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</si>
  <si>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</si>
  <si>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</si>
  <si>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</si>
  <si>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</si>
  <si>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</si>
  <si>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</si>
  <si>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</si>
  <si>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</si>
  <si>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</si>
  <si>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</si>
  <si>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</si>
  <si>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</si>
  <si>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</si>
  <si>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</si>
  <si>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</si>
  <si>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</si>
  <si>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</si>
  <si>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</si>
  <si>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</si>
  <si>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</si>
  <si>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</si>
  <si>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</si>
  <si>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</si>
  <si>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</si>
  <si>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</si>
  <si>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</si>
  <si>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</si>
  <si>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31-045-1290-22</t>
  </si>
  <si>
    <t>Kane</t>
  </si>
  <si>
    <t>1877 Downers Place</t>
  </si>
  <si>
    <t>Aurora</t>
  </si>
  <si>
    <t>jcraig@sd129.org</t>
  </si>
  <si>
    <t>Crowe LLP</t>
  </si>
  <si>
    <t>Christine Torres</t>
  </si>
  <si>
    <t>One Mid America Plaza</t>
  </si>
  <si>
    <t>Oak Brook</t>
  </si>
  <si>
    <t>IL</t>
  </si>
  <si>
    <t>60522-3697</t>
  </si>
  <si>
    <t>630-574-7878</t>
  </si>
  <si>
    <t>630-574-1608</t>
  </si>
  <si>
    <t>066-004207</t>
  </si>
  <si>
    <t>christine.torres@crowe.com</t>
  </si>
  <si>
    <t>Dr. Jeff Criag</t>
  </si>
  <si>
    <t>630-301-5100</t>
  </si>
  <si>
    <t>630-844-5710</t>
  </si>
  <si>
    <t>PDF in Opinion page with signatures</t>
  </si>
  <si>
    <t>Series 2010</t>
  </si>
  <si>
    <t>Series 2010A</t>
  </si>
  <si>
    <t>Series 2014A</t>
  </si>
  <si>
    <t>Series 2014B</t>
  </si>
  <si>
    <t>Series 2015</t>
  </si>
  <si>
    <t>Series 2015C</t>
  </si>
  <si>
    <t>Series 2016</t>
  </si>
  <si>
    <t>Series 2016A</t>
  </si>
  <si>
    <t>Series 2017A</t>
  </si>
  <si>
    <t>Series 2017B</t>
  </si>
  <si>
    <t>Series 2018</t>
  </si>
  <si>
    <t>QZAB 2004</t>
  </si>
  <si>
    <t>QZAB 2005</t>
  </si>
  <si>
    <t>QECB 2015</t>
  </si>
  <si>
    <t>QZAB 2015</t>
  </si>
  <si>
    <t>QSCB 2017</t>
  </si>
  <si>
    <t>QZAB Debt</t>
  </si>
  <si>
    <t>IDEA Preschool Flow-Through/Hope Wall</t>
  </si>
  <si>
    <t>Medicaid Administrative Outreach/Hope Wall</t>
  </si>
  <si>
    <t>84.173A</t>
  </si>
  <si>
    <t>Unmodified</t>
  </si>
  <si>
    <t>10.553 and 10.555</t>
  </si>
  <si>
    <t>School Nutrition Food Cluster</t>
  </si>
  <si>
    <t>84.010A</t>
  </si>
  <si>
    <t>Title I - Low Income Cluster</t>
  </si>
  <si>
    <t>Management of the District is responsible for establishing and maintaining effective internal control over financial reporting, including the financial statements and the Schedule of Expenditures of Federal Awards. The District is
required to have proper internal controls in place, specifically in regards to review and approval of accounts.</t>
  </si>
  <si>
    <t>We have assisted the District in the preparation of the annual financial statements and the preparation of the Schedule
of Expenditures of Federal Awards. The preparation of GAAP financial statements and note disclosures is a time
consuming activity and requires an individual to remain current with all new reporting pronouncements issued by the
Governmental Accounting Standards Board (GASB). The financial statements used internally by the District are not
prepared in a manner consistent with the annual audited financial report.</t>
  </si>
  <si>
    <t>We assisted the District staff in preparing adjustments to various account balances to present the financial position and
activities of the District in the annual audited financial statements in accordance with GAAP. Material journal entries
were required for the following accounts: cash, capital assets, accounts payable, receivables, unearned revenue,
claims payable, expenditures, tuition revenue and grant revenue accounts.</t>
  </si>
  <si>
    <t>Management may not have accurate data to utilize as part of their business decision process. Errors in accounts may
not be identified in a timely manner if proper reviews are not occurring and being documented.</t>
  </si>
  <si>
    <t>Based on a cost/benefit analysis, the personnel in the department was not able to timely complete the activities
identified.</t>
  </si>
  <si>
    <t>We recommend that all accounts be reviewed and documented by an appropriate person in the District. In regards to
the preparation of the statements and the Schedule of Expenditures of Federal Awards, the District should evaluate the
cost-benefit of implementing controls.</t>
  </si>
  <si>
    <t>Internal controls are in place to have the financial statements and the Schedule of Expenditures of Federal Awards
prepared during the audit process. Transactions will continue to be reviewed and approved by appropriate finance
personnel.</t>
  </si>
  <si>
    <t>Strong internal controls require segregation of duties should exist within the general ledger system to prevent errors.</t>
  </si>
  <si>
    <t>During our testing of adjusting journal entries, we noted that there are certain areas within Infinite Visions that represent potential segregation of duties issues.</t>
  </si>
  <si>
    <t>Our review of the segregation of duties within the District disclosed that certain individuals involved in the accounting
function also have super user access to all functions of the accounting software.</t>
  </si>
  <si>
    <t>A key element in a system of internal controls is proper segregation of duties. Segregation of duties is the process by
which the responsibilities for certain related functions are completed by different individuals. This provides a self-check
by which erroneous or unauthorized transactions may be identified. Errors in entries may not be identified if an
independent review is not occurring.</t>
  </si>
  <si>
    <t>Even though accounting policies and procedures have been developed and put in place since implementation of the
Infinite Visions, some of the policies were not being consistently followed throughout the year.</t>
  </si>
  <si>
    <t>Access to Infinite Visions should be restricted to reduce the overall risk of improper financial reporting.</t>
  </si>
  <si>
    <t>Super-user access will be reviewed and adjusted if necessary.</t>
  </si>
  <si>
    <t>Entities should have internal controls in place over the tracking and management of capital assets.</t>
  </si>
  <si>
    <t>Based on our testing, we identified material adjustments to capital assets.</t>
  </si>
  <si>
    <t>We noted that capital asset records did not reflect the full value of the new leases acquired  during the fiscal year as well as depreciation for capital assets was not allocated by function based on actual assets.  Also, not all construction activity was accurately identified and included in the capital asset summary.  Finally, the District did not maintain a summary reconciliation of actvity from the previous fiscal year to the current fiscal year, although detailed records were maintained.</t>
  </si>
  <si>
    <t>Capital asset balances may be misstated and not include all current year activity.</t>
  </si>
  <si>
    <t>Due to internal changes in the District, not all processes and procedures have been developed and implemented.</t>
  </si>
  <si>
    <t>We recommend that the District review lease transactions to ensure the proper amount of expenditures are capitalized
and that management reconcile capital assets activity during the year and prepare a summary of beginning balance,
additions, deletions and ending balance for assets and accumulated depreciation that reconciles to the Infinite Visions
system and the prior year financial statements. Furthermore, the schedule should be reviewed and approved by a
member of management.</t>
  </si>
  <si>
    <t>During the year, changes in personnel caused shortfalls in the capital asset records as well as the incorrect reporting
of the new leases. The District's management is committed to implementing the recommendations in the future,
including an appraisal of all capital assets to ensure proper capture of recent addition activity.</t>
  </si>
  <si>
    <t>Segregation of duties should exist between recording and asset custody functions of student activity funds. In addition,
appropriate documentation should be maintained by the student activity fund custodian.</t>
  </si>
  <si>
    <t>There is an increased risk of missappropriation of student activity funds.</t>
  </si>
  <si>
    <t>Due to the limited size of the staffing at the schools, the District has limited capacity to provide adequate segregation of
duties. The lack of documentation for cash receipts appears to be an error in controls.</t>
  </si>
  <si>
    <t>The District has limited resources to ensure appropriate segregation of duties, but will work to ensure that there are
sufficient mitigating controls in place to ensure proper processing of the student activity funds. In addition,
management will remind staff of the District's established documentation maintenance procedures.</t>
  </si>
  <si>
    <t>We recommend that those who handle cash do not perform recordkeeping functions and that the schools maintain in
Ivisions not only the deposit slip and purchase order, but also the supporting cash receipts and cash disbursements.
We recommend that the schools provide cash receipt slips to those from whom cash is received.</t>
  </si>
  <si>
    <t>Six District schools were selected for testing for a total of 60 cash receipts and 60 cash disbursements. Out of the 60 cash receipt transactions reviewed, cash receipt documentation for 12 receipts were incomplete or not available from some of the schools, 20 receipts did not have a prenumbered receipt issued to the payor, and 27 receipts were not deposited within 7 business days of receipt. Out of the 60 cash disbursement transactions reviewed, cash disbursement documentation for 14 disbursements were incomplete or not available from some of the schools.</t>
  </si>
  <si>
    <t>During our review of student activity funds, it was noted that there was a lack of segregation of duties between the
recordkeeping and asset custody functions for the student activity funds. In addition, during our testing, we noted
several instances were cash receipt and cash disbursement documentation was not maintained.</t>
  </si>
  <si>
    <t>Illinois State Board of Education</t>
  </si>
  <si>
    <t>The District is required maintain controls over equipment acquired with Federal awards.</t>
  </si>
  <si>
    <t>We noted that while the District did perform a physical inventory of equipment acquired under Federal awards on August 11, 2017, the District did not perform a reconciliation of the District's records to the physical inventory results.</t>
  </si>
  <si>
    <t>The Office of Management and Budget requires that a physical inventory of federal equipment be taken at least once
every two years and reconciled to the equipment records.</t>
  </si>
  <si>
    <t>None</t>
  </si>
  <si>
    <t>The District did not comply with the Federal equipment and real property management control requirement.</t>
  </si>
  <si>
    <t>Oversight by management.</t>
  </si>
  <si>
    <t>We recommend that the District reconcile the physical inventory records to District records.</t>
  </si>
  <si>
    <t>The District will perform a reconciliation of the physical inventory of equipment purchased with Federal funds to District records.</t>
  </si>
  <si>
    <t>2018-001</t>
  </si>
  <si>
    <t>2018-002</t>
  </si>
  <si>
    <t>2018-003</t>
  </si>
  <si>
    <t>2018-004</t>
  </si>
  <si>
    <t>2018-005</t>
  </si>
  <si>
    <t>We have assisted the District in the preparation of the annual financial statements and the preparation of the Schedule of Expenditures of Federal Awards.  The preparation of GAAP financial statements and note disclosures is a time consuming activity and requires an individual to remain current with all new reporting pronouncements issued by the Governmental Accounting Standards Board (GASB).  The financial statements used internally by the District are not prepared in a manner consistent with the annual audited financial report.</t>
  </si>
  <si>
    <t>During our review of student activity funds, it was noted that there was a lack of segregation of duties between the recordkeeping and asset custody functions for the student activity funds.  In addition, during our testing, we noted several instances were cash receipt and cash disbursement documentation was not maintained</t>
  </si>
  <si>
    <t>Repeated as finding 2019-001</t>
  </si>
  <si>
    <t>Repeated as finding 2019-002</t>
  </si>
  <si>
    <t>Repeated as finding 2019-003</t>
  </si>
  <si>
    <t>Repeated as finding 2019-004</t>
  </si>
  <si>
    <t>Repeated as finding 2019-005</t>
  </si>
  <si>
    <t>West Aurora Schools District 129</t>
  </si>
  <si>
    <t>Schedule of Expenditures of Federal Awards</t>
  </si>
  <si>
    <t>Federal Grantor/Pass-Through Grantor,</t>
  </si>
  <si>
    <t>Expenditure/Disbursements</t>
  </si>
  <si>
    <t>Final</t>
  </si>
  <si>
    <t>Amounts</t>
  </si>
  <si>
    <t>Program Title and Major Program Designation</t>
  </si>
  <si>
    <t>Number</t>
  </si>
  <si>
    <t>Passed to</t>
  </si>
  <si>
    <t>or Contract #</t>
  </si>
  <si>
    <t>(J)</t>
  </si>
  <si>
    <t>U.S. Department Of Education, Flow Through from the</t>
  </si>
  <si>
    <t>Illinois State Board of Education (ISBE)</t>
  </si>
  <si>
    <t>17-4300-00</t>
  </si>
  <si>
    <t>18-4300-00</t>
  </si>
  <si>
    <t>19-4300-00</t>
  </si>
  <si>
    <t>Total Title I - Low Income Cluster</t>
  </si>
  <si>
    <t>Title I - School Improvement and Accountability</t>
  </si>
  <si>
    <t>84.337A</t>
  </si>
  <si>
    <t>19-4331-19</t>
  </si>
  <si>
    <t>IDEA Preschool Flow Through</t>
  </si>
  <si>
    <t>18-4600-00</t>
  </si>
  <si>
    <t>19-4600-00</t>
  </si>
  <si>
    <t>IDEA Flow Through</t>
  </si>
  <si>
    <t>84.027A</t>
  </si>
  <si>
    <t>17-4620-00</t>
  </si>
  <si>
    <t>18-4620-00</t>
  </si>
  <si>
    <t>19-4620-00</t>
  </si>
  <si>
    <t>IDEA Room &amp; Board</t>
  </si>
  <si>
    <t>17-4625-00</t>
  </si>
  <si>
    <t>N/A</t>
  </si>
  <si>
    <t>17-4625-XC</t>
  </si>
  <si>
    <t>18-4625-XC</t>
  </si>
  <si>
    <t>Total IDEA Cluster</t>
  </si>
  <si>
    <t>Title III Immigrant Education Program</t>
  </si>
  <si>
    <t>84.365A</t>
  </si>
  <si>
    <t>17-4905-00</t>
  </si>
  <si>
    <t>18-4905-00</t>
  </si>
  <si>
    <t>19-4905-00</t>
  </si>
  <si>
    <t>Title III LIPLEP</t>
  </si>
  <si>
    <t>17-4909-00</t>
  </si>
  <si>
    <t>18-4909-00</t>
  </si>
  <si>
    <t>19-4909-00</t>
  </si>
  <si>
    <t>Total Title III Cluster</t>
  </si>
  <si>
    <t>Title II- Teacher Quality</t>
  </si>
  <si>
    <t>84.367A</t>
  </si>
  <si>
    <t>17-4932-00</t>
  </si>
  <si>
    <t>18-4932-00</t>
  </si>
  <si>
    <t>19-4932-00</t>
  </si>
  <si>
    <t>Total Title II Teacher Quality Cluster</t>
  </si>
  <si>
    <t>Title IV- 21st Century Comm Learning Centers</t>
  </si>
  <si>
    <t>84.287C</t>
  </si>
  <si>
    <t>17-4421-15</t>
  </si>
  <si>
    <t>18-4421-15</t>
  </si>
  <si>
    <t>19-4421-15</t>
  </si>
  <si>
    <t>Total Title IV- 21st Century Comm Learning Centers</t>
  </si>
  <si>
    <t>Preschool Expansion Grant</t>
  </si>
  <si>
    <t>84.419B</t>
  </si>
  <si>
    <t>17-4902-PE</t>
  </si>
  <si>
    <t>18-4902-PE</t>
  </si>
  <si>
    <t>19-4902-PE</t>
  </si>
  <si>
    <t>Total Preschool Development Grants</t>
  </si>
  <si>
    <t>Total Flow Through from the ISBE</t>
  </si>
  <si>
    <t>U.S.  Department of Education Flow Through from</t>
  </si>
  <si>
    <t>VALEES</t>
  </si>
  <si>
    <t>V.E. Perkins - Title IIC Secondary</t>
  </si>
  <si>
    <t>18-4745-00</t>
  </si>
  <si>
    <t>19-4745-00</t>
  </si>
  <si>
    <t>Total Flow Through from VALEES</t>
  </si>
  <si>
    <t>Illinois Department of Human Services</t>
  </si>
  <si>
    <t>DORS - STEP</t>
  </si>
  <si>
    <t>18-4950-00</t>
  </si>
  <si>
    <t>Total Flow Through from Illinois Department of Human Services</t>
  </si>
  <si>
    <t>Total U.S Department of Education</t>
  </si>
  <si>
    <t>Department of Agriculture Flow Through the ISBE</t>
  </si>
  <si>
    <t xml:space="preserve">National School Lunch Program </t>
  </si>
  <si>
    <t>17-4210-00</t>
  </si>
  <si>
    <t>18-4210-00</t>
  </si>
  <si>
    <t>19-4210-00</t>
  </si>
  <si>
    <t>19-4210-18</t>
  </si>
  <si>
    <t xml:space="preserve">Food Commodities (Non-cash Assistance) </t>
  </si>
  <si>
    <t>18-4226-00</t>
  </si>
  <si>
    <t>19-4226-00</t>
  </si>
  <si>
    <t xml:space="preserve">School Breakfast </t>
  </si>
  <si>
    <t>17-4220-00</t>
  </si>
  <si>
    <t>18-4220-00</t>
  </si>
  <si>
    <t>19-4220-00</t>
  </si>
  <si>
    <t>19-4220-18</t>
  </si>
  <si>
    <t>Total School Nutrition Food Cluster</t>
  </si>
  <si>
    <t>Fresh Fruit and Vegtables</t>
  </si>
  <si>
    <t>17-4240-17</t>
  </si>
  <si>
    <t>18-4240-17</t>
  </si>
  <si>
    <t>18-4240-18</t>
  </si>
  <si>
    <t>Total Fresh Fruit and Vegtable Cluster</t>
  </si>
  <si>
    <t>NSLP Equipment Assistance Grant</t>
  </si>
  <si>
    <t>19-4260-28</t>
  </si>
  <si>
    <t>Total Department of Agriculture</t>
  </si>
  <si>
    <t>U.S Department of Health and Human Services, Flow Through through</t>
  </si>
  <si>
    <t>the IL Dept. of Healthcare and Family Services</t>
  </si>
  <si>
    <t xml:space="preserve">Medicaid Administrative Outreach </t>
  </si>
  <si>
    <t>18-4900-00</t>
  </si>
  <si>
    <t>19-4900-00</t>
  </si>
  <si>
    <t>Total U.S Department of Public Aid</t>
  </si>
  <si>
    <t>TOTAL EXPENDITURES OF FEDERAL AWARDS</t>
  </si>
  <si>
    <t>Less: Commodities</t>
  </si>
  <si>
    <t>Student Nutrition Food Cluster</t>
  </si>
  <si>
    <t>16-4210-00, 17-4210-00, 18-4210-00, 17-4226-00, 18-4226-00, 16-4220-00, 17-4220-00, 18-4220-00</t>
  </si>
  <si>
    <t>10.553, 10.555</t>
  </si>
  <si>
    <t>U.S. Department of Agriculture</t>
  </si>
  <si>
    <r>
      <t xml:space="preserve">The accompanying Schedule of Expenditures of Federal Awards includes the federal grant activity of </t>
    </r>
    <r>
      <rPr>
        <b/>
        <sz val="9"/>
        <rFont val="Calibri"/>
        <family val="2"/>
        <scheme val="minor"/>
      </rPr>
      <t xml:space="preserve">West Aurora School District </t>
    </r>
    <r>
      <rPr>
        <sz val="9"/>
        <rFont val="Calibri"/>
        <family val="2"/>
        <scheme val="minor"/>
      </rPr>
      <t xml:space="preserve">and is presented on the </t>
    </r>
    <r>
      <rPr>
        <b/>
        <sz val="9"/>
        <rFont val="Calibri"/>
        <family val="2"/>
        <scheme val="minor"/>
      </rPr>
      <t>Modified Accural basis</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</si>
  <si>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r>
      <t xml:space="preserve">Of the federal expenditures presented in the schedule, </t>
    </r>
    <r>
      <rPr>
        <b/>
        <sz val="9"/>
        <rFont val="Calibri"/>
        <family val="2"/>
        <scheme val="minor"/>
      </rPr>
      <t>West Aurora School District</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</si>
  <si>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West Aurora School District</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</si>
  <si>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Aurora West USD 129</t>
  </si>
  <si>
    <t xml:space="preserve">Re: line 24 on Auditcheck, There were no late payments in the current year, so no amounts were entered into the schedule for the current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</si>
</sst>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sz val="12"/>
      <name val="Times New Roman"/>
      <family val="1"/>
    </font>
    <font>
      <b/>
      <sz val="10"/>
      <color rgb="FFFF0000"/>
      <name val="Calibri"/>
      <family val="2"/>
      <scheme val="minor"/>
    </font>
    <font>
      <sz val="10"/>
      <color rgb="FFFF0000"/>
      <name val="Calibri"/>
      <family val="2"/>
      <scheme val="minor"/>
    </font>
    <font>
      <u val="singleAccounting"/>
      <sz val="10"/>
      <name val="Calibri"/>
      <family val="2"/>
      <scheme val="minor"/>
    </font>
    <font>
      <u val="doubleAccounting"/>
      <sz val="10"/>
      <name val="Calibri"/>
      <family val="2"/>
      <scheme val="minor"/>
    </font>
    <font>
      <b/>
      <sz val="9"/>
      <color indexed="81"/>
      <name val="Tahoma"/>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indexed="64"/>
      </left>
      <right style="thin">
        <color indexed="64"/>
      </right>
      <top/>
      <bottom/>
      <diagonal/>
    </border>
  </borders>
  <cellStyleXfs count="21">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138" fillId="0" borderId="0"/>
    <xf numFmtId="44" fontId="9" fillId="0" borderId="0" applyFont="0" applyFill="0" applyBorder="0" applyAlignment="0" applyProtection="0"/>
  </cellStyleXfs>
  <cellXfs count="2544">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3" fillId="0" borderId="157" xfId="17" applyFont="1" applyBorder="1" applyAlignment="1" applyProtection="1">
      <alignment horizontal="left" vertical="top" wrapText="1"/>
      <protection locked="0"/>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49" fontId="1" fillId="0" borderId="157" xfId="17" applyNumberFormat="1" applyFont="1" applyBorder="1" applyAlignment="1" applyProtection="1">
      <alignment horizontal="center" vertical="top"/>
      <protection locked="0"/>
    </xf>
    <xf numFmtId="38" fontId="126" fillId="16" borderId="157" xfId="17" applyNumberFormat="1" applyFont="1" applyFill="1" applyBorder="1" applyAlignment="1" applyProtection="1">
      <alignment horizontal="right" vertical="top"/>
    </xf>
    <xf numFmtId="0" fontId="125" fillId="0" borderId="149" xfId="17" applyFont="1" applyFill="1" applyBorder="1" applyAlignment="1">
      <alignment vertical="center"/>
    </xf>
    <xf numFmtId="0" fontId="125" fillId="0" borderId="76" xfId="17" applyFont="1" applyFill="1" applyBorder="1" applyAlignment="1">
      <alignment vertical="center"/>
    </xf>
    <xf numFmtId="0" fontId="125" fillId="0" borderId="150" xfId="17" applyFont="1" applyFill="1" applyBorder="1" applyAlignment="1">
      <alignment vertical="center"/>
    </xf>
    <xf numFmtId="0" fontId="53" fillId="0" borderId="0" xfId="3" applyFont="1" applyAlignment="1" applyProtection="1">
      <alignment horizontal="center" vertical="center"/>
    </xf>
    <xf numFmtId="0" fontId="56" fillId="0" borderId="0" xfId="3" applyFont="1" applyBorder="1" applyAlignment="1" applyProtection="1">
      <alignment wrapText="1"/>
      <protection locked="0"/>
    </xf>
    <xf numFmtId="0" fontId="56" fillId="0" borderId="0" xfId="3" applyFont="1" applyBorder="1" applyAlignment="1" applyProtection="1">
      <alignment vertical="top"/>
      <protection locked="0"/>
    </xf>
    <xf numFmtId="0" fontId="56" fillId="0" borderId="0" xfId="3" applyFont="1" applyAlignment="1" applyProtection="1">
      <alignment wrapText="1"/>
      <protection locked="0"/>
    </xf>
    <xf numFmtId="0" fontId="56" fillId="0" borderId="0" xfId="3" applyFont="1" applyAlignment="1" applyProtection="1">
      <alignment vertical="top" wrapText="1"/>
      <protection locked="0"/>
    </xf>
    <xf numFmtId="0" fontId="64" fillId="0" borderId="0" xfId="19" applyFont="1" applyFill="1" applyAlignment="1">
      <alignment horizontal="centerContinuous"/>
    </xf>
    <xf numFmtId="0" fontId="56" fillId="0" borderId="0" xfId="19" applyFont="1" applyFill="1" applyAlignment="1">
      <alignment horizontal="centerContinuous"/>
    </xf>
    <xf numFmtId="0" fontId="139" fillId="0" borderId="0" xfId="19" applyFont="1" applyFill="1"/>
    <xf numFmtId="0" fontId="56" fillId="0" borderId="0" xfId="19" applyFont="1" applyFill="1"/>
    <xf numFmtId="0" fontId="56" fillId="0" borderId="0" xfId="19" applyFont="1" applyFill="1" applyBorder="1" applyAlignment="1">
      <alignment horizontal="centerContinuous"/>
    </xf>
    <xf numFmtId="0" fontId="140" fillId="0" borderId="0" xfId="19" applyFont="1" applyFill="1"/>
    <xf numFmtId="0" fontId="56" fillId="0" borderId="0" xfId="19" applyFont="1" applyFill="1" applyAlignment="1">
      <alignment horizontal="center"/>
    </xf>
    <xf numFmtId="41" fontId="56" fillId="0" borderId="0" xfId="19" applyNumberFormat="1" applyFont="1" applyFill="1"/>
    <xf numFmtId="0" fontId="64" fillId="0" borderId="156" xfId="19" applyFont="1" applyFill="1" applyBorder="1" applyAlignment="1" applyProtection="1">
      <alignment horizontal="center"/>
    </xf>
    <xf numFmtId="0" fontId="56" fillId="0" borderId="142" xfId="19" applyFont="1" applyFill="1" applyBorder="1" applyAlignment="1" applyProtection="1">
      <alignment horizontal="center"/>
    </xf>
    <xf numFmtId="0" fontId="56" fillId="0" borderId="142" xfId="19" applyFont="1" applyFill="1" applyBorder="1" applyAlignment="1" applyProtection="1">
      <alignment horizontal="centerContinuous"/>
    </xf>
    <xf numFmtId="0" fontId="56" fillId="0" borderId="165" xfId="19" applyFont="1" applyFill="1" applyBorder="1" applyAlignment="1" applyProtection="1">
      <alignment horizontal="center"/>
    </xf>
    <xf numFmtId="0" fontId="56" fillId="0" borderId="97" xfId="19" applyFont="1" applyFill="1" applyBorder="1" applyAlignment="1" applyProtection="1">
      <alignment horizontal="center"/>
    </xf>
    <xf numFmtId="0" fontId="56" fillId="0" borderId="165" xfId="19" applyFont="1" applyFill="1" applyBorder="1" applyProtection="1"/>
    <xf numFmtId="0" fontId="56" fillId="0" borderId="158" xfId="19" applyFont="1" applyFill="1" applyBorder="1" applyProtection="1"/>
    <xf numFmtId="0" fontId="56" fillId="0" borderId="99" xfId="19" applyFont="1" applyFill="1" applyBorder="1" applyAlignment="1" applyProtection="1">
      <alignment horizontal="center"/>
    </xf>
    <xf numFmtId="0" fontId="64" fillId="0" borderId="77" xfId="19" applyFont="1" applyFill="1" applyBorder="1" applyAlignment="1" applyProtection="1">
      <alignment horizontal="left"/>
      <protection locked="0"/>
    </xf>
    <xf numFmtId="169" fontId="56" fillId="0" borderId="8" xfId="3" applyNumberFormat="1" applyFont="1" applyFill="1" applyBorder="1" applyAlignment="1" applyProtection="1">
      <alignment horizontal="center"/>
      <protection locked="0"/>
    </xf>
    <xf numFmtId="1" fontId="56" fillId="0" borderId="50" xfId="3" applyNumberFormat="1" applyFont="1" applyFill="1" applyBorder="1" applyAlignment="1" applyProtection="1">
      <alignment horizontal="center"/>
      <protection locked="0"/>
    </xf>
    <xf numFmtId="3" fontId="56" fillId="0" borderId="77" xfId="3" applyNumberFormat="1" applyFont="1" applyFill="1" applyBorder="1" applyAlignment="1" applyProtection="1">
      <alignment horizontal="center"/>
      <protection locked="0"/>
    </xf>
    <xf numFmtId="41" fontId="139" fillId="0" borderId="0" xfId="19" applyNumberFormat="1" applyFont="1" applyFill="1"/>
    <xf numFmtId="0" fontId="64" fillId="0" borderId="77" xfId="19" applyFont="1" applyFill="1" applyBorder="1" applyAlignment="1" applyProtection="1">
      <alignment horizontal="left" indent="1"/>
      <protection locked="0"/>
    </xf>
    <xf numFmtId="0" fontId="56" fillId="0" borderId="77" xfId="19" applyFont="1" applyFill="1" applyBorder="1" applyAlignment="1" applyProtection="1">
      <alignment horizontal="left"/>
      <protection locked="0"/>
    </xf>
    <xf numFmtId="0" fontId="56" fillId="0" borderId="140" xfId="19" applyFont="1" applyFill="1" applyBorder="1" applyAlignment="1" applyProtection="1">
      <alignment horizontal="center"/>
      <protection locked="0"/>
    </xf>
    <xf numFmtId="0" fontId="56" fillId="0" borderId="77" xfId="19" applyFont="1" applyFill="1" applyBorder="1" applyAlignment="1" applyProtection="1">
      <alignment horizontal="left" indent="2"/>
      <protection locked="0"/>
    </xf>
    <xf numFmtId="0" fontId="56" fillId="0" borderId="77" xfId="19" quotePrefix="1" applyFont="1" applyFill="1" applyBorder="1" applyAlignment="1" applyProtection="1">
      <alignment horizontal="left"/>
      <protection locked="0"/>
    </xf>
    <xf numFmtId="0" fontId="56" fillId="0" borderId="77" xfId="19" applyFont="1" applyFill="1" applyBorder="1" applyAlignment="1" applyProtection="1">
      <alignment horizontal="center"/>
      <protection locked="0"/>
    </xf>
    <xf numFmtId="41" fontId="56" fillId="0" borderId="77" xfId="19" applyNumberFormat="1" applyFont="1" applyFill="1" applyBorder="1" applyAlignment="1" applyProtection="1">
      <alignment horizontal="right"/>
      <protection locked="0"/>
    </xf>
    <xf numFmtId="42" fontId="56" fillId="0" borderId="77" xfId="20" applyNumberFormat="1" applyFont="1" applyFill="1" applyBorder="1" applyAlignment="1" applyProtection="1">
      <alignment horizontal="right"/>
      <protection locked="0"/>
    </xf>
    <xf numFmtId="41" fontId="141" fillId="0" borderId="77" xfId="19" applyNumberFormat="1" applyFont="1" applyFill="1" applyBorder="1" applyAlignment="1" applyProtection="1">
      <alignment horizontal="right"/>
      <protection locked="0"/>
    </xf>
    <xf numFmtId="0" fontId="56" fillId="0" borderId="77" xfId="19" applyFont="1" applyFill="1" applyBorder="1" applyAlignment="1" applyProtection="1">
      <alignment horizontal="left" indent="3"/>
      <protection locked="0"/>
    </xf>
    <xf numFmtId="3" fontId="56" fillId="0" borderId="22" xfId="3" applyNumberFormat="1" applyFont="1" applyFill="1" applyBorder="1" applyAlignment="1" applyProtection="1">
      <alignment horizontal="left" vertical="center" wrapText="1"/>
      <protection locked="0"/>
    </xf>
    <xf numFmtId="169" fontId="56" fillId="0" borderId="22" xfId="3" applyNumberFormat="1" applyFont="1" applyFill="1" applyBorder="1" applyAlignment="1" applyProtection="1">
      <alignment horizontal="center"/>
      <protection locked="0"/>
    </xf>
    <xf numFmtId="1" fontId="56" fillId="0" borderId="22" xfId="3" applyNumberFormat="1" applyFont="1" applyFill="1" applyBorder="1" applyAlignment="1" applyProtection="1">
      <alignment horizontal="center"/>
      <protection locked="0"/>
    </xf>
    <xf numFmtId="3" fontId="56" fillId="0" borderId="22" xfId="3" applyNumberFormat="1" applyFont="1" applyFill="1" applyBorder="1" applyAlignment="1" applyProtection="1">
      <alignment horizontal="center"/>
      <protection locked="0"/>
    </xf>
    <xf numFmtId="0" fontId="64" fillId="0" borderId="77" xfId="19" quotePrefix="1" applyFont="1" applyFill="1" applyBorder="1" applyAlignment="1" applyProtection="1">
      <alignment horizontal="left"/>
      <protection locked="0"/>
    </xf>
    <xf numFmtId="169" fontId="56" fillId="0" borderId="77" xfId="19" applyNumberFormat="1" applyFont="1" applyFill="1" applyBorder="1" applyAlignment="1" applyProtection="1">
      <alignment horizontal="left"/>
      <protection locked="0"/>
    </xf>
    <xf numFmtId="0" fontId="56" fillId="0" borderId="77" xfId="19" applyFont="1" applyFill="1" applyBorder="1" applyAlignment="1" applyProtection="1">
      <alignment horizontal="left" vertical="center" indent="2"/>
      <protection locked="0"/>
    </xf>
    <xf numFmtId="0" fontId="56" fillId="0" borderId="77" xfId="19" applyFont="1" applyFill="1" applyBorder="1" applyAlignment="1" applyProtection="1">
      <alignment horizontal="left" vertical="center"/>
      <protection locked="0"/>
    </xf>
    <xf numFmtId="0" fontId="56" fillId="0" borderId="77" xfId="19" applyFont="1" applyFill="1" applyBorder="1" applyAlignment="1" applyProtection="1">
      <alignment horizontal="center" vertical="center"/>
      <protection locked="0"/>
    </xf>
    <xf numFmtId="41" fontId="56" fillId="0" borderId="77" xfId="19" applyNumberFormat="1" applyFont="1" applyFill="1" applyBorder="1" applyAlignment="1" applyProtection="1">
      <alignment horizontal="right" vertical="center"/>
      <protection locked="0"/>
    </xf>
    <xf numFmtId="0" fontId="56" fillId="0" borderId="77" xfId="19" applyFont="1" applyFill="1" applyBorder="1" applyAlignment="1" applyProtection="1">
      <alignment horizontal="left" vertical="center" indent="3"/>
      <protection locked="0"/>
    </xf>
    <xf numFmtId="41" fontId="141" fillId="0" borderId="77" xfId="19" applyNumberFormat="1" applyFont="1" applyFill="1" applyBorder="1" applyAlignment="1" applyProtection="1">
      <alignment horizontal="right" vertical="center"/>
      <protection locked="0"/>
    </xf>
    <xf numFmtId="0" fontId="64" fillId="0" borderId="156" xfId="19" applyFont="1" applyFill="1" applyBorder="1" applyAlignment="1" applyProtection="1">
      <alignment horizontal="left"/>
      <protection locked="0"/>
    </xf>
    <xf numFmtId="0" fontId="56" fillId="0" borderId="156" xfId="19" applyFont="1" applyFill="1" applyBorder="1" applyAlignment="1" applyProtection="1">
      <alignment horizontal="left"/>
      <protection locked="0"/>
    </xf>
    <xf numFmtId="0" fontId="56" fillId="0" borderId="158" xfId="19" applyFont="1" applyFill="1" applyBorder="1" applyAlignment="1" applyProtection="1">
      <alignment horizontal="center"/>
      <protection locked="0"/>
    </xf>
    <xf numFmtId="41" fontId="56" fillId="0" borderId="158" xfId="19" applyNumberFormat="1" applyFont="1" applyFill="1" applyBorder="1" applyAlignment="1" applyProtection="1">
      <alignment horizontal="right"/>
      <protection locked="0"/>
    </xf>
    <xf numFmtId="42" fontId="142" fillId="0" borderId="77" xfId="19" applyNumberFormat="1" applyFont="1" applyFill="1" applyBorder="1" applyAlignment="1" applyProtection="1">
      <alignment horizontal="right"/>
      <protection locked="0"/>
    </xf>
    <xf numFmtId="42" fontId="56" fillId="0" borderId="99" xfId="19" applyNumberFormat="1" applyFont="1" applyFill="1" applyBorder="1" applyAlignment="1" applyProtection="1">
      <alignment horizontal="right"/>
      <protection locked="0"/>
    </xf>
    <xf numFmtId="0" fontId="56" fillId="0" borderId="0" xfId="0" applyFont="1" applyFill="1" applyAlignment="1">
      <alignment vertical="top"/>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42"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wrapText="1"/>
      <protection locked="0"/>
    </xf>
    <xf numFmtId="0" fontId="64" fillId="0" borderId="74" xfId="3" applyFont="1" applyBorder="1" applyAlignment="1" applyProtection="1">
      <alignment horizontal="center" wrapText="1"/>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21">
    <cellStyle name="Comma" xfId="1" builtinId="3"/>
    <cellStyle name="Currency 2 2" xfId="20" xr:uid="{5628EFFF-6355-44E9-A0E5-C8965E9EF531}"/>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01SEFA" xfId="19" xr:uid="{557899C0-D750-487B-8671-2982C109EDCB}"/>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0</xdr:row>
          <xdr:rowOff>142875</xdr:rowOff>
        </xdr:from>
        <xdr:to>
          <xdr:col>1</xdr:col>
          <xdr:colOff>1152525</xdr:colOff>
          <xdr:row>5</xdr:row>
          <xdr:rowOff>19050</xdr:rowOff>
        </xdr:to>
        <xdr:sp macro="" textlink="">
          <xdr:nvSpPr>
            <xdr:cNvPr id="70657" name="Object 1" hidden="1">
              <a:extLst>
                <a:ext uri="{63B3BB69-23CF-44E3-9099-C40C66FF867C}">
                  <a14:compatExt spid="_x0000_s70657"/>
                </a:ext>
                <a:ext uri="{FF2B5EF4-FFF2-40B4-BE49-F238E27FC236}">
                  <a16:creationId xmlns:a16="http://schemas.microsoft.com/office/drawing/2014/main" id="{00000000-0008-0000-1400-000001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1495425</xdr:colOff>
          <xdr:row>1</xdr:row>
          <xdr:rowOff>0</xdr:rowOff>
        </xdr:from>
        <xdr:to>
          <xdr:col>1</xdr:col>
          <xdr:colOff>2409825</xdr:colOff>
          <xdr:row>5</xdr:row>
          <xdr:rowOff>38100</xdr:rowOff>
        </xdr:to>
        <xdr:sp macro="" textlink="">
          <xdr:nvSpPr>
            <xdr:cNvPr id="70658" name="Object 2" hidden="1">
              <a:extLst>
                <a:ext uri="{63B3BB69-23CF-44E3-9099-C40C66FF867C}">
                  <a14:compatExt spid="_x0000_s70658"/>
                </a:ext>
                <a:ext uri="{FF2B5EF4-FFF2-40B4-BE49-F238E27FC236}">
                  <a16:creationId xmlns:a16="http://schemas.microsoft.com/office/drawing/2014/main" id="{00000000-0008-0000-1400-000002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2752725</xdr:colOff>
          <xdr:row>1</xdr:row>
          <xdr:rowOff>0</xdr:rowOff>
        </xdr:from>
        <xdr:to>
          <xdr:col>1</xdr:col>
          <xdr:colOff>3667125</xdr:colOff>
          <xdr:row>5</xdr:row>
          <xdr:rowOff>38100</xdr:rowOff>
        </xdr:to>
        <xdr:sp macro="" textlink="">
          <xdr:nvSpPr>
            <xdr:cNvPr id="70659" name="Object 3" hidden="1">
              <a:extLst>
                <a:ext uri="{63B3BB69-23CF-44E3-9099-C40C66FF867C}">
                  <a14:compatExt spid="_x0000_s70659"/>
                </a:ext>
                <a:ext uri="{FF2B5EF4-FFF2-40B4-BE49-F238E27FC236}">
                  <a16:creationId xmlns:a16="http://schemas.microsoft.com/office/drawing/2014/main" id="{00000000-0008-0000-1400-000003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xdr:row>
          <xdr:rowOff>47625</xdr:rowOff>
        </xdr:from>
        <xdr:to>
          <xdr:col>1</xdr:col>
          <xdr:colOff>1095375</xdr:colOff>
          <xdr:row>10</xdr:row>
          <xdr:rowOff>85725</xdr:rowOff>
        </xdr:to>
        <xdr:sp macro="" textlink="">
          <xdr:nvSpPr>
            <xdr:cNvPr id="70661" name="Object 5" hidden="1">
              <a:extLst>
                <a:ext uri="{63B3BB69-23CF-44E3-9099-C40C66FF867C}">
                  <a14:compatExt spid="_x0000_s70661"/>
                </a:ext>
                <a:ext uri="{FF2B5EF4-FFF2-40B4-BE49-F238E27FC236}">
                  <a16:creationId xmlns:a16="http://schemas.microsoft.com/office/drawing/2014/main" id="{00000000-0008-0000-1400-000005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1409700</xdr:colOff>
          <xdr:row>6</xdr:row>
          <xdr:rowOff>47625</xdr:rowOff>
        </xdr:from>
        <xdr:to>
          <xdr:col>1</xdr:col>
          <xdr:colOff>2324100</xdr:colOff>
          <xdr:row>10</xdr:row>
          <xdr:rowOff>85725</xdr:rowOff>
        </xdr:to>
        <xdr:sp macro="" textlink="">
          <xdr:nvSpPr>
            <xdr:cNvPr id="70662" name="Object 6" hidden="1">
              <a:extLst>
                <a:ext uri="{63B3BB69-23CF-44E3-9099-C40C66FF867C}">
                  <a14:compatExt spid="_x0000_s70662"/>
                </a:ext>
                <a:ext uri="{FF2B5EF4-FFF2-40B4-BE49-F238E27FC236}">
                  <a16:creationId xmlns:a16="http://schemas.microsoft.com/office/drawing/2014/main" id="{00000000-0008-0000-1400-000006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161E5E21-5CD6-4728-A9B6-2F233C469B24}"/>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D3210ED0-F0ED-493E-BE8F-2AED0BAC77B6}"/>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F394F75B-2683-4526-A7B9-E062DF3DF2B8}"/>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142950E2-0C1B-47DA-BEC6-FE0BA62547D3}"/>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6AA52687-1E4B-4680-BEEE-6A4AC1C364D7}"/>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2348196F-7E30-4CE3-B100-5DC0CC38C51B}"/>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85724</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package" Target="../embeddings/Microsoft_Word_Document.docx"/><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sheetPr>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1986</v>
      </c>
      <c r="B1" s="45"/>
      <c r="C1" s="45"/>
      <c r="D1" s="46"/>
      <c r="I1" s="2072" t="s">
        <v>404</v>
      </c>
      <c r="J1" s="2073"/>
      <c r="K1" s="2073"/>
      <c r="L1" s="2073"/>
      <c r="M1" s="2073"/>
      <c r="N1" s="2073"/>
      <c r="O1" s="2073"/>
      <c r="P1" s="2073"/>
      <c r="Q1" s="2073"/>
      <c r="R1" s="2073"/>
      <c r="S1" s="2073"/>
    </row>
    <row r="2" spans="1:28" ht="12" customHeight="1" x14ac:dyDescent="0.2">
      <c r="A2" s="47" t="s">
        <v>1987</v>
      </c>
      <c r="D2" s="48"/>
      <c r="I2" s="2074" t="s">
        <v>978</v>
      </c>
      <c r="J2" s="2073"/>
      <c r="K2" s="2073"/>
      <c r="L2" s="2073"/>
      <c r="M2" s="2073"/>
      <c r="N2" s="2073"/>
      <c r="O2" s="2073"/>
      <c r="P2" s="2073"/>
      <c r="Q2" s="2073"/>
      <c r="R2" s="2073"/>
      <c r="S2" s="2073"/>
    </row>
    <row r="3" spans="1:28" ht="12" customHeight="1" x14ac:dyDescent="0.2">
      <c r="A3" s="155" t="s">
        <v>1939</v>
      </c>
      <c r="B3" s="156"/>
      <c r="C3" s="156"/>
      <c r="D3" s="157"/>
      <c r="I3" s="2074" t="s">
        <v>52</v>
      </c>
      <c r="J3" s="2073"/>
      <c r="K3" s="2073"/>
      <c r="L3" s="2073"/>
      <c r="M3" s="2073"/>
      <c r="N3" s="2073"/>
      <c r="O3" s="2073"/>
      <c r="P3" s="2073"/>
      <c r="Q3" s="2073"/>
      <c r="R3" s="2073"/>
      <c r="S3" s="2073"/>
    </row>
    <row r="4" spans="1:28" ht="12" customHeight="1" x14ac:dyDescent="0.2">
      <c r="A4" s="37"/>
      <c r="I4" s="2074" t="s">
        <v>523</v>
      </c>
      <c r="J4" s="2073"/>
      <c r="K4" s="2073"/>
      <c r="L4" s="2073"/>
      <c r="M4" s="2073"/>
      <c r="N4" s="2073"/>
      <c r="O4" s="2073"/>
      <c r="P4" s="2073"/>
      <c r="Q4" s="2073"/>
      <c r="R4" s="2073"/>
      <c r="S4" s="2073"/>
    </row>
    <row r="5" spans="1:28" ht="14.1" customHeight="1" x14ac:dyDescent="0.2">
      <c r="B5" s="104" t="s">
        <v>2061</v>
      </c>
      <c r="C5" s="26" t="s">
        <v>909</v>
      </c>
      <c r="D5" s="84"/>
      <c r="E5" s="84"/>
      <c r="H5" s="38"/>
      <c r="I5" s="2081" t="s">
        <v>679</v>
      </c>
      <c r="J5" s="2026"/>
      <c r="K5" s="2026"/>
      <c r="L5" s="2026"/>
      <c r="M5" s="2026"/>
      <c r="N5" s="2026"/>
      <c r="O5" s="2026"/>
      <c r="P5" s="2026"/>
      <c r="Q5" s="2026"/>
      <c r="R5" s="2026"/>
      <c r="S5" s="2026"/>
    </row>
    <row r="6" spans="1:28" ht="14.1" customHeight="1" x14ac:dyDescent="0.2">
      <c r="B6" s="104"/>
      <c r="C6" s="26" t="s">
        <v>910</v>
      </c>
      <c r="D6" s="84"/>
      <c r="E6" s="84"/>
      <c r="I6" s="2080" t="s">
        <v>882</v>
      </c>
      <c r="J6" s="2026"/>
      <c r="K6" s="2026"/>
      <c r="L6" s="2026"/>
      <c r="M6" s="2026"/>
      <c r="N6" s="2026"/>
      <c r="O6" s="2026"/>
      <c r="P6" s="2026"/>
      <c r="Q6" s="2026"/>
      <c r="R6" s="2026"/>
      <c r="S6" s="2026"/>
    </row>
    <row r="7" spans="1:28" ht="12.2" customHeight="1" x14ac:dyDescent="0.2">
      <c r="I7" s="2075">
        <v>43646</v>
      </c>
      <c r="J7" s="2076"/>
      <c r="K7" s="2076"/>
      <c r="L7" s="2076"/>
      <c r="M7" s="2076"/>
      <c r="N7" s="2076"/>
      <c r="O7" s="2076"/>
      <c r="P7" s="2076"/>
      <c r="Q7" s="2076"/>
      <c r="R7" s="2076"/>
      <c r="S7" s="207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77" t="s">
        <v>673</v>
      </c>
      <c r="J9" s="2078"/>
      <c r="K9" s="2078"/>
      <c r="L9" s="2078"/>
      <c r="M9" s="2078"/>
      <c r="N9" s="2078"/>
      <c r="O9" s="2078"/>
      <c r="P9" s="2078"/>
      <c r="Q9" s="2078"/>
      <c r="R9" s="2078"/>
      <c r="S9" s="2079"/>
      <c r="T9" s="2022" t="s">
        <v>532</v>
      </c>
      <c r="U9" s="2023"/>
      <c r="V9" s="2023"/>
      <c r="W9" s="2023"/>
      <c r="X9" s="2023"/>
      <c r="Y9" s="2023"/>
      <c r="Z9" s="2023"/>
      <c r="AA9" s="2024"/>
    </row>
    <row r="10" spans="1:28" ht="13.5" customHeight="1" x14ac:dyDescent="0.2">
      <c r="A10" s="2031" t="s">
        <v>674</v>
      </c>
      <c r="B10" s="2032"/>
      <c r="C10" s="2032"/>
      <c r="D10" s="2032"/>
      <c r="E10" s="2032"/>
      <c r="F10" s="2032"/>
      <c r="G10" s="2032"/>
      <c r="H10" s="2033"/>
      <c r="I10" s="29"/>
      <c r="J10" s="30"/>
      <c r="K10" s="28"/>
      <c r="R10" s="30"/>
      <c r="S10" s="30"/>
      <c r="T10" s="2025"/>
      <c r="U10" s="2026"/>
      <c r="V10" s="2026"/>
      <c r="W10" s="2026"/>
      <c r="X10" s="2026"/>
      <c r="Y10" s="2026"/>
      <c r="Z10" s="2026"/>
      <c r="AA10" s="2027"/>
    </row>
    <row r="11" spans="1:28" ht="14.25" customHeight="1" x14ac:dyDescent="0.2">
      <c r="A11" s="2034" t="s">
        <v>954</v>
      </c>
      <c r="B11" s="2035"/>
      <c r="C11" s="2035"/>
      <c r="D11" s="2035"/>
      <c r="E11" s="2035"/>
      <c r="F11" s="2035"/>
      <c r="G11" s="2035"/>
      <c r="H11" s="2036"/>
      <c r="I11" s="27"/>
      <c r="J11" s="74"/>
      <c r="K11" s="27"/>
      <c r="O11" s="148"/>
      <c r="P11" s="100" t="s">
        <v>201</v>
      </c>
      <c r="Q11" s="30"/>
      <c r="R11" s="28"/>
      <c r="S11" s="27"/>
      <c r="T11" s="2028"/>
      <c r="U11" s="2029"/>
      <c r="V11" s="2029"/>
      <c r="W11" s="2029"/>
      <c r="X11" s="2029"/>
      <c r="Y11" s="2029"/>
      <c r="Z11" s="2029"/>
      <c r="AA11" s="2030"/>
    </row>
    <row r="12" spans="1:28" ht="13.5" customHeight="1" x14ac:dyDescent="0.2">
      <c r="A12" s="85" t="s">
        <v>924</v>
      </c>
      <c r="B12" s="76"/>
      <c r="C12" s="76"/>
      <c r="D12" s="76"/>
      <c r="E12" s="76"/>
      <c r="F12" s="76"/>
      <c r="G12" s="76"/>
      <c r="H12" s="53"/>
      <c r="I12" s="29"/>
      <c r="J12" s="30"/>
      <c r="K12" s="28"/>
      <c r="O12" s="149" t="s">
        <v>2061</v>
      </c>
      <c r="P12" s="100" t="s">
        <v>202</v>
      </c>
      <c r="Q12" s="74"/>
      <c r="R12" s="30"/>
      <c r="S12" s="30"/>
      <c r="T12" s="85" t="s">
        <v>264</v>
      </c>
      <c r="U12" s="51"/>
      <c r="V12" s="51"/>
      <c r="W12" s="51"/>
      <c r="X12" s="51"/>
      <c r="Y12" s="45"/>
      <c r="Z12" s="45"/>
      <c r="AA12" s="46"/>
    </row>
    <row r="13" spans="1:28" ht="13.5" customHeight="1" x14ac:dyDescent="0.2">
      <c r="A13" s="2042">
        <v>31045129022</v>
      </c>
      <c r="B13" s="2043"/>
      <c r="C13" s="2043"/>
      <c r="D13" s="2043"/>
      <c r="E13" s="2043"/>
      <c r="F13" s="2043"/>
      <c r="G13" s="2043"/>
      <c r="H13" s="2044"/>
      <c r="I13" s="31"/>
      <c r="J13" s="30"/>
      <c r="K13" s="28"/>
      <c r="L13" s="30"/>
      <c r="M13" s="30"/>
      <c r="N13" s="30"/>
      <c r="O13" s="30"/>
      <c r="P13" s="30"/>
      <c r="Q13" s="30"/>
      <c r="R13" s="30"/>
      <c r="S13" s="30"/>
      <c r="T13" s="2047" t="s">
        <v>2067</v>
      </c>
      <c r="U13" s="2048"/>
      <c r="V13" s="2048"/>
      <c r="W13" s="2048"/>
      <c r="X13" s="2048"/>
      <c r="Y13" s="2049"/>
      <c r="Z13" s="2049"/>
      <c r="AA13" s="2050"/>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40" t="s">
        <v>2063</v>
      </c>
      <c r="B15" s="2045"/>
      <c r="C15" s="2045"/>
      <c r="D15" s="2045"/>
      <c r="E15" s="2045"/>
      <c r="F15" s="2045"/>
      <c r="G15" s="2045"/>
      <c r="H15" s="2046"/>
      <c r="T15" s="2008" t="s">
        <v>2068</v>
      </c>
      <c r="U15" s="2009"/>
      <c r="V15" s="2009"/>
      <c r="W15" s="2009"/>
      <c r="X15" s="2009"/>
      <c r="Y15" s="2051"/>
      <c r="Z15" s="2051"/>
      <c r="AA15" s="2052"/>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2000" t="s">
        <v>2267</v>
      </c>
      <c r="B17" s="2070"/>
      <c r="C17" s="2070"/>
      <c r="D17" s="2070"/>
      <c r="E17" s="2070"/>
      <c r="F17" s="2070"/>
      <c r="G17" s="2070"/>
      <c r="H17" s="2071"/>
      <c r="T17" s="2057" t="s">
        <v>2069</v>
      </c>
      <c r="U17" s="2058"/>
      <c r="V17" s="2058"/>
      <c r="W17" s="2058"/>
      <c r="X17" s="2058"/>
      <c r="Y17" s="2058"/>
      <c r="Z17" s="2058"/>
      <c r="AA17" s="2059"/>
    </row>
    <row r="18" spans="1:27" ht="13.5" customHeight="1" x14ac:dyDescent="0.2">
      <c r="A18" s="85" t="s">
        <v>529</v>
      </c>
      <c r="B18" s="76"/>
      <c r="C18" s="72"/>
      <c r="D18" s="76"/>
      <c r="E18" s="76"/>
      <c r="F18" s="76"/>
      <c r="G18" s="76"/>
      <c r="H18" s="56"/>
      <c r="I18" s="2067" t="s">
        <v>675</v>
      </c>
      <c r="J18" s="2068"/>
      <c r="K18" s="2068"/>
      <c r="L18" s="2068"/>
      <c r="M18" s="2068"/>
      <c r="N18" s="2068"/>
      <c r="O18" s="2068"/>
      <c r="P18" s="2068"/>
      <c r="Q18" s="2068"/>
      <c r="R18" s="2068"/>
      <c r="S18" s="2069"/>
      <c r="T18" s="85" t="s">
        <v>710</v>
      </c>
      <c r="U18" s="51"/>
      <c r="V18" s="72"/>
      <c r="W18" s="50"/>
      <c r="X18" s="85" t="s">
        <v>265</v>
      </c>
      <c r="Y18" s="81"/>
      <c r="Z18" s="159" t="s">
        <v>676</v>
      </c>
      <c r="AA18" s="46"/>
    </row>
    <row r="19" spans="1:27" ht="13.5" customHeight="1" x14ac:dyDescent="0.2">
      <c r="A19" s="2040" t="s">
        <v>2064</v>
      </c>
      <c r="B19" s="2041"/>
      <c r="C19" s="2041"/>
      <c r="D19" s="2041"/>
      <c r="E19" s="2041"/>
      <c r="F19" s="2041"/>
      <c r="G19" s="2041"/>
      <c r="H19" s="2039"/>
      <c r="I19" s="30"/>
      <c r="J19" s="99"/>
      <c r="K19" s="40"/>
      <c r="L19" s="38"/>
      <c r="M19" s="112" t="s">
        <v>314</v>
      </c>
      <c r="P19" s="27"/>
      <c r="Q19" s="27"/>
      <c r="R19" s="27"/>
      <c r="S19" s="31"/>
      <c r="T19" s="2040" t="s">
        <v>2070</v>
      </c>
      <c r="U19" s="2038"/>
      <c r="V19" s="2038"/>
      <c r="W19" s="2039"/>
      <c r="X19" s="2055" t="s">
        <v>2071</v>
      </c>
      <c r="Y19" s="2056"/>
      <c r="Z19" s="2053" t="s">
        <v>2072</v>
      </c>
      <c r="AA19" s="2054"/>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2037" t="s">
        <v>2065</v>
      </c>
      <c r="B21" s="2038"/>
      <c r="C21" s="2038"/>
      <c r="D21" s="2038"/>
      <c r="E21" s="2038"/>
      <c r="F21" s="2038"/>
      <c r="G21" s="2038"/>
      <c r="H21" s="2039"/>
      <c r="I21" s="2063" t="s">
        <v>677</v>
      </c>
      <c r="J21" s="2026"/>
      <c r="K21" s="2026"/>
      <c r="L21" s="2026"/>
      <c r="M21" s="2026"/>
      <c r="N21" s="2026"/>
      <c r="O21" s="2026"/>
      <c r="P21" s="2026"/>
      <c r="Q21" s="2026"/>
      <c r="R21" s="2026"/>
      <c r="S21" s="2027"/>
      <c r="T21" s="2005" t="s">
        <v>2073</v>
      </c>
      <c r="U21" s="2006"/>
      <c r="V21" s="2006"/>
      <c r="W21" s="2006"/>
      <c r="X21" s="2019" t="s">
        <v>2074</v>
      </c>
      <c r="Y21" s="2020"/>
      <c r="Z21" s="2020"/>
      <c r="AA21" s="2021"/>
    </row>
    <row r="22" spans="1:27" ht="13.5" customHeight="1" x14ac:dyDescent="0.2">
      <c r="A22" s="87" t="s">
        <v>530</v>
      </c>
      <c r="B22" s="59"/>
      <c r="C22" s="59"/>
      <c r="D22" s="59"/>
      <c r="E22" s="59"/>
      <c r="F22" s="59"/>
      <c r="G22" s="59"/>
      <c r="H22" s="60"/>
      <c r="I22" s="2064" t="s">
        <v>1428</v>
      </c>
      <c r="J22" s="2065"/>
      <c r="K22" s="2065"/>
      <c r="L22" s="2065"/>
      <c r="M22" s="2065"/>
      <c r="N22" s="2065"/>
      <c r="O22" s="2065"/>
      <c r="P22" s="2065"/>
      <c r="Q22" s="2065"/>
      <c r="R22" s="2065"/>
      <c r="S22" s="2066"/>
      <c r="T22" s="85" t="s">
        <v>1515</v>
      </c>
      <c r="U22" s="51"/>
      <c r="V22" s="72"/>
      <c r="W22" s="51"/>
      <c r="X22" s="160" t="s">
        <v>1317</v>
      </c>
      <c r="Z22" s="45"/>
      <c r="AA22" s="46"/>
    </row>
    <row r="23" spans="1:27" ht="13.5" customHeight="1" x14ac:dyDescent="0.2">
      <c r="A23" s="2060" t="s">
        <v>2066</v>
      </c>
      <c r="B23" s="2061"/>
      <c r="C23" s="2061"/>
      <c r="D23" s="2061"/>
      <c r="E23" s="2061"/>
      <c r="F23" s="2061"/>
      <c r="G23" s="2061"/>
      <c r="H23" s="2062"/>
      <c r="T23" s="2000" t="s">
        <v>2075</v>
      </c>
      <c r="U23" s="2001"/>
      <c r="V23" s="2001"/>
      <c r="W23" s="2001"/>
      <c r="X23" s="2016">
        <v>44530</v>
      </c>
      <c r="Y23" s="2017"/>
      <c r="Z23" s="2017"/>
      <c r="AA23" s="2018"/>
    </row>
    <row r="24" spans="1:27" ht="14.1" customHeight="1" x14ac:dyDescent="0.2">
      <c r="A24" s="88" t="s">
        <v>676</v>
      </c>
      <c r="B24" s="49"/>
      <c r="C24" s="49"/>
      <c r="D24" s="49"/>
      <c r="E24" s="49"/>
      <c r="F24" s="49"/>
      <c r="G24" s="49"/>
      <c r="H24" s="61"/>
      <c r="J24" s="2102">
        <f>IF(B5="x",IF(AUDITCHECK!D29="AFR form Incomplete.","",IF(AUDITCHECK!D29="Deficit reduction plan is required.","School District must complete a deficit reduction plan in the 2019-2020 Budget",)),"")</f>
        <v>0</v>
      </c>
      <c r="K24" s="2102"/>
      <c r="L24" s="2102"/>
      <c r="M24" s="2102"/>
      <c r="N24" s="2102"/>
      <c r="O24" s="2102"/>
      <c r="P24" s="2102"/>
      <c r="Q24" s="2102"/>
      <c r="R24" s="2102"/>
      <c r="S24" s="2103"/>
      <c r="T24" s="105" t="s">
        <v>530</v>
      </c>
      <c r="U24" s="106"/>
      <c r="V24" s="106"/>
      <c r="W24" s="106"/>
      <c r="X24" s="107"/>
      <c r="Y24" s="107"/>
      <c r="Z24" s="107"/>
      <c r="AA24" s="108"/>
    </row>
    <row r="25" spans="1:27" ht="14.1" customHeight="1" x14ac:dyDescent="0.2">
      <c r="A25" s="2037">
        <v>60506</v>
      </c>
      <c r="B25" s="2038"/>
      <c r="C25" s="2038"/>
      <c r="D25" s="2038"/>
      <c r="E25" s="2038"/>
      <c r="F25" s="2038"/>
      <c r="G25" s="2038"/>
      <c r="H25" s="2039"/>
      <c r="I25" s="113"/>
      <c r="J25" s="2104"/>
      <c r="K25" s="2104"/>
      <c r="L25" s="2104"/>
      <c r="M25" s="2104"/>
      <c r="N25" s="2104"/>
      <c r="O25" s="2104"/>
      <c r="P25" s="2104"/>
      <c r="Q25" s="2104"/>
      <c r="R25" s="2104"/>
      <c r="S25" s="2105"/>
      <c r="T25" s="1997" t="s">
        <v>2076</v>
      </c>
      <c r="U25" s="1998"/>
      <c r="V25" s="1998"/>
      <c r="W25" s="1998"/>
      <c r="X25" s="1998"/>
      <c r="Y25" s="1998"/>
      <c r="Z25" s="1998"/>
      <c r="AA25" s="1999"/>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95" t="s">
        <v>1510</v>
      </c>
      <c r="J27" s="2068"/>
      <c r="K27" s="2068"/>
      <c r="L27" s="2068"/>
      <c r="M27" s="2068"/>
      <c r="N27" s="2068"/>
      <c r="O27" s="2068"/>
      <c r="P27" s="2068"/>
      <c r="Q27" s="2068"/>
      <c r="R27" s="2068"/>
      <c r="S27" s="2069"/>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2061</v>
      </c>
      <c r="F29" s="141" t="s">
        <v>1315</v>
      </c>
      <c r="G29" s="114"/>
      <c r="I29" s="54"/>
      <c r="J29" s="148" t="s">
        <v>2061</v>
      </c>
      <c r="K29" s="28" t="s">
        <v>575</v>
      </c>
      <c r="L29" s="102"/>
      <c r="M29" s="40" t="s">
        <v>99</v>
      </c>
      <c r="N29" s="32" t="s">
        <v>1522</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48" t="s">
        <v>2061</v>
      </c>
      <c r="K30" s="28" t="s">
        <v>575</v>
      </c>
      <c r="L30" s="148"/>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t="s">
        <v>2061</v>
      </c>
      <c r="K31" s="40" t="s">
        <v>884</v>
      </c>
      <c r="L31" s="102"/>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2041"/>
      <c r="Q35" s="2038"/>
      <c r="R35" s="203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2000" t="s">
        <v>2077</v>
      </c>
      <c r="B38" s="2070"/>
      <c r="C38" s="2070"/>
      <c r="D38" s="2070"/>
      <c r="E38" s="2070"/>
      <c r="F38" s="2038"/>
      <c r="G38" s="2038"/>
      <c r="H38" s="2039"/>
      <c r="I38" s="2089"/>
      <c r="J38" s="2009"/>
      <c r="K38" s="2009"/>
      <c r="L38" s="2009"/>
      <c r="M38" s="2009"/>
      <c r="N38" s="2009"/>
      <c r="O38" s="2009"/>
      <c r="P38" s="2010"/>
      <c r="Q38" s="2010"/>
      <c r="R38" s="2010"/>
      <c r="S38" s="2011"/>
      <c r="T38" s="2008"/>
      <c r="U38" s="2009"/>
      <c r="V38" s="2009"/>
      <c r="W38" s="2009"/>
      <c r="X38" s="2010"/>
      <c r="Y38" s="2010"/>
      <c r="Z38" s="2010"/>
      <c r="AA38" s="2011"/>
    </row>
    <row r="39" spans="1:27" ht="12" customHeight="1" x14ac:dyDescent="0.2">
      <c r="A39" s="2093" t="s">
        <v>530</v>
      </c>
      <c r="B39" s="2094"/>
      <c r="C39" s="72"/>
      <c r="D39" s="69"/>
      <c r="E39" s="69"/>
      <c r="F39" s="79"/>
      <c r="G39" s="69"/>
      <c r="H39" s="56"/>
      <c r="I39" s="2093" t="s">
        <v>530</v>
      </c>
      <c r="J39" s="2094"/>
      <c r="K39" s="2094"/>
      <c r="L39" s="2094"/>
      <c r="M39" s="2094"/>
      <c r="N39" s="67"/>
      <c r="O39" s="72"/>
      <c r="P39" s="72"/>
      <c r="Q39" s="78"/>
      <c r="R39" s="72"/>
      <c r="S39" s="56"/>
      <c r="T39" s="72" t="s">
        <v>530</v>
      </c>
      <c r="U39" s="51"/>
      <c r="V39" s="72"/>
      <c r="W39" s="50"/>
      <c r="X39" s="78"/>
      <c r="Y39" s="45"/>
      <c r="Z39" s="45"/>
      <c r="AA39" s="46"/>
    </row>
    <row r="40" spans="1:27" ht="13.5" customHeight="1" x14ac:dyDescent="0.2">
      <c r="A40" s="2096" t="s">
        <v>2066</v>
      </c>
      <c r="B40" s="2097"/>
      <c r="C40" s="2098"/>
      <c r="D40" s="2098"/>
      <c r="E40" s="2098"/>
      <c r="F40" s="2099"/>
      <c r="G40" s="2099"/>
      <c r="H40" s="2100"/>
      <c r="I40" s="2012"/>
      <c r="J40" s="2014"/>
      <c r="K40" s="2014"/>
      <c r="L40" s="2014"/>
      <c r="M40" s="2014"/>
      <c r="N40" s="2014"/>
      <c r="O40" s="2014"/>
      <c r="P40" s="2014"/>
      <c r="Q40" s="2014"/>
      <c r="R40" s="2014"/>
      <c r="S40" s="2015"/>
      <c r="T40" s="2012"/>
      <c r="U40" s="2013"/>
      <c r="V40" s="2014"/>
      <c r="W40" s="2014"/>
      <c r="X40" s="2014"/>
      <c r="Y40" s="2014"/>
      <c r="Z40" s="2014"/>
      <c r="AA40" s="2015"/>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086" t="s">
        <v>2078</v>
      </c>
      <c r="B42" s="2087"/>
      <c r="C42" s="2088"/>
      <c r="D42" s="2101" t="s">
        <v>2079</v>
      </c>
      <c r="E42" s="2087"/>
      <c r="F42" s="2087"/>
      <c r="G42" s="2087"/>
      <c r="H42" s="2088"/>
      <c r="I42" s="2007"/>
      <c r="J42" s="2003"/>
      <c r="K42" s="2003"/>
      <c r="L42" s="2003"/>
      <c r="M42" s="2003"/>
      <c r="N42" s="2003"/>
      <c r="O42" s="2004"/>
      <c r="P42" s="2002"/>
      <c r="Q42" s="2003"/>
      <c r="R42" s="2003"/>
      <c r="S42" s="2004"/>
      <c r="T42" s="2007"/>
      <c r="U42" s="2003"/>
      <c r="V42" s="2003"/>
      <c r="W42" s="2004"/>
      <c r="X42" s="2002"/>
      <c r="Y42" s="2003"/>
      <c r="Z42" s="2003"/>
      <c r="AA42" s="2004"/>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90"/>
      <c r="B44" s="2091"/>
      <c r="C44" s="2091"/>
      <c r="D44" s="2091"/>
      <c r="E44" s="2091"/>
      <c r="F44" s="2091"/>
      <c r="G44" s="2091"/>
      <c r="H44" s="2092"/>
      <c r="I44" s="2082"/>
      <c r="J44" s="2084"/>
      <c r="K44" s="2084"/>
      <c r="L44" s="2084"/>
      <c r="M44" s="2084"/>
      <c r="N44" s="2084"/>
      <c r="O44" s="2084"/>
      <c r="P44" s="2084"/>
      <c r="Q44" s="2084"/>
      <c r="R44" s="2084"/>
      <c r="S44" s="2085"/>
      <c r="T44" s="2082"/>
      <c r="U44" s="2083"/>
      <c r="V44" s="2083"/>
      <c r="W44" s="2083"/>
      <c r="X44" s="2083"/>
      <c r="Y44" s="2083"/>
      <c r="Z44" s="2084"/>
      <c r="AA44" s="2085"/>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1938</v>
      </c>
      <c r="D46" s="41"/>
      <c r="E46" s="41"/>
      <c r="F46" s="41"/>
      <c r="G46" s="41"/>
      <c r="Q46" s="29" t="s">
        <v>1419</v>
      </c>
      <c r="R46" s="41"/>
      <c r="S46" s="41"/>
      <c r="T46" s="41"/>
      <c r="U46" s="41"/>
      <c r="V46" s="41"/>
      <c r="W46" s="41"/>
      <c r="X46" s="41"/>
      <c r="Y46" s="41"/>
      <c r="Z46" s="41"/>
      <c r="AA46" s="41"/>
    </row>
    <row r="47" spans="1:27" x14ac:dyDescent="0.2">
      <c r="A47" s="137"/>
      <c r="Q47" s="41" t="s">
        <v>1921</v>
      </c>
      <c r="R47" s="41"/>
      <c r="S47" s="41"/>
      <c r="T47" s="41"/>
      <c r="U47" s="41"/>
      <c r="V47" s="41"/>
      <c r="W47" s="41"/>
      <c r="X47" s="41"/>
      <c r="Y47" s="41"/>
      <c r="Z47" s="41"/>
      <c r="AA47" s="41"/>
    </row>
    <row r="48" spans="1:27" x14ac:dyDescent="0.2">
      <c r="Q48" s="41" t="s">
        <v>1922</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36"/>
  <sheetViews>
    <sheetView showGridLines="0" defaultGridColor="0" colorId="8" zoomScale="110" zoomScaleNormal="110" workbookViewId="0">
      <selection activeCell="C5" sqref="C5"/>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239" t="s">
        <v>1798</v>
      </c>
      <c r="B2" s="1528" t="s">
        <v>1945</v>
      </c>
      <c r="C2" s="714" t="s">
        <v>1946</v>
      </c>
      <c r="D2" s="714" t="s">
        <v>1947</v>
      </c>
      <c r="E2" s="714" t="s">
        <v>1948</v>
      </c>
      <c r="F2" s="714" t="s">
        <v>1949</v>
      </c>
    </row>
    <row r="3" spans="1:6" ht="12" customHeight="1" x14ac:dyDescent="0.2">
      <c r="A3" s="2240"/>
      <c r="B3" s="1525"/>
      <c r="C3" s="1526"/>
      <c r="D3" s="1527" t="s">
        <v>256</v>
      </c>
      <c r="E3" s="1526"/>
      <c r="F3" s="1527" t="s">
        <v>257</v>
      </c>
    </row>
    <row r="4" spans="1:6" ht="13.7" customHeight="1" x14ac:dyDescent="0.2">
      <c r="A4" s="715" t="s">
        <v>1154</v>
      </c>
      <c r="B4" s="1749">
        <f>'Revenues 9-14'!C5</f>
        <v>50810017</v>
      </c>
      <c r="C4" s="1524">
        <v>22837235</v>
      </c>
      <c r="D4" s="1752">
        <f>B4-C4</f>
        <v>27972782</v>
      </c>
      <c r="E4" s="1524">
        <v>54458147</v>
      </c>
      <c r="F4" s="1752">
        <f>E4-C4</f>
        <v>31620912</v>
      </c>
    </row>
    <row r="5" spans="1:6" ht="13.7" customHeight="1" x14ac:dyDescent="0.2">
      <c r="A5" s="715" t="s">
        <v>869</v>
      </c>
      <c r="B5" s="1750">
        <f>'Revenues 9-14'!D5</f>
        <v>11636413</v>
      </c>
      <c r="C5" s="585">
        <v>5024189</v>
      </c>
      <c r="D5" s="1753">
        <f t="shared" ref="D5:D18" si="0">B5-C5</f>
        <v>6612224</v>
      </c>
      <c r="E5" s="585">
        <v>11980800</v>
      </c>
      <c r="F5" s="1753">
        <f>E5-C5</f>
        <v>6956611</v>
      </c>
    </row>
    <row r="6" spans="1:6" ht="13.7" customHeight="1" x14ac:dyDescent="0.2">
      <c r="A6" s="715" t="s">
        <v>410</v>
      </c>
      <c r="B6" s="1750">
        <f>'Revenues 9-14'!E5</f>
        <v>14045736</v>
      </c>
      <c r="C6" s="585">
        <v>5908315</v>
      </c>
      <c r="D6" s="1753">
        <f t="shared" si="0"/>
        <v>8137421</v>
      </c>
      <c r="E6" s="585">
        <v>14089073</v>
      </c>
      <c r="F6" s="1753">
        <f t="shared" ref="F6:F18" si="1">E6-C6</f>
        <v>8180758</v>
      </c>
    </row>
    <row r="7" spans="1:6" ht="13.7" customHeight="1" x14ac:dyDescent="0.2">
      <c r="A7" s="715" t="s">
        <v>155</v>
      </c>
      <c r="B7" s="1750">
        <f>'Revenues 9-14'!F5</f>
        <v>3985597</v>
      </c>
      <c r="C7" s="585">
        <v>1702418</v>
      </c>
      <c r="D7" s="1753">
        <f t="shared" si="0"/>
        <v>2283179</v>
      </c>
      <c r="E7" s="585">
        <v>4059604</v>
      </c>
      <c r="F7" s="1753">
        <f t="shared" si="1"/>
        <v>2357186</v>
      </c>
    </row>
    <row r="8" spans="1:6" ht="13.7" customHeight="1" x14ac:dyDescent="0.2">
      <c r="A8" s="715" t="s">
        <v>1178</v>
      </c>
      <c r="B8" s="1750">
        <f>'Revenues 9-14'!G5</f>
        <v>2002592</v>
      </c>
      <c r="C8" s="585">
        <v>768165</v>
      </c>
      <c r="D8" s="1753">
        <f t="shared" si="0"/>
        <v>1234427</v>
      </c>
      <c r="E8" s="585">
        <v>1831782</v>
      </c>
      <c r="F8" s="1753">
        <f t="shared" si="1"/>
        <v>1063617</v>
      </c>
    </row>
    <row r="9" spans="1:6" ht="13.7" customHeight="1" x14ac:dyDescent="0.2">
      <c r="A9" s="715" t="s">
        <v>407</v>
      </c>
      <c r="B9" s="1750">
        <f>'Revenues 9-14'!H5</f>
        <v>0</v>
      </c>
      <c r="C9" s="585">
        <v>0</v>
      </c>
      <c r="D9" s="1753">
        <f t="shared" si="0"/>
        <v>0</v>
      </c>
      <c r="E9" s="585">
        <v>0</v>
      </c>
      <c r="F9" s="1753">
        <f t="shared" si="1"/>
        <v>0</v>
      </c>
    </row>
    <row r="10" spans="1:6" ht="13.7" customHeight="1" x14ac:dyDescent="0.2">
      <c r="A10" s="715" t="s">
        <v>406</v>
      </c>
      <c r="B10" s="1750">
        <f>'Revenues 9-14'!I5</f>
        <v>0</v>
      </c>
      <c r="C10" s="585">
        <v>0</v>
      </c>
      <c r="D10" s="1753">
        <f t="shared" si="0"/>
        <v>0</v>
      </c>
      <c r="E10" s="585">
        <v>0</v>
      </c>
      <c r="F10" s="1753">
        <f t="shared" si="1"/>
        <v>0</v>
      </c>
    </row>
    <row r="11" spans="1:6" x14ac:dyDescent="0.2">
      <c r="A11" s="715" t="s">
        <v>408</v>
      </c>
      <c r="B11" s="1750">
        <f>'Revenues 9-14'!J5</f>
        <v>0</v>
      </c>
      <c r="C11" s="585">
        <v>0</v>
      </c>
      <c r="D11" s="1753">
        <f t="shared" si="0"/>
        <v>0</v>
      </c>
      <c r="E11" s="585">
        <v>0</v>
      </c>
      <c r="F11" s="1753">
        <f t="shared" si="1"/>
        <v>0</v>
      </c>
    </row>
    <row r="12" spans="1:6" ht="13.7" customHeight="1" x14ac:dyDescent="0.2">
      <c r="A12" s="715" t="s">
        <v>157</v>
      </c>
      <c r="B12" s="1750">
        <f>'Revenues 9-14'!K5</f>
        <v>0</v>
      </c>
      <c r="C12" s="585">
        <v>0</v>
      </c>
      <c r="D12" s="1753">
        <f t="shared" si="0"/>
        <v>0</v>
      </c>
      <c r="E12" s="585">
        <v>0</v>
      </c>
      <c r="F12" s="1753">
        <f t="shared" si="1"/>
        <v>0</v>
      </c>
    </row>
    <row r="13" spans="1:6" ht="13.7" customHeight="1" x14ac:dyDescent="0.2">
      <c r="A13" s="715" t="s">
        <v>935</v>
      </c>
      <c r="B13" s="1750">
        <f>SUM('Revenues 9-14'!C6:D6)</f>
        <v>0</v>
      </c>
      <c r="C13" s="585">
        <v>0</v>
      </c>
      <c r="D13" s="1753">
        <f t="shared" si="0"/>
        <v>0</v>
      </c>
      <c r="E13" s="585">
        <v>0</v>
      </c>
      <c r="F13" s="1753">
        <f t="shared" si="1"/>
        <v>0</v>
      </c>
    </row>
    <row r="14" spans="1:6" ht="13.7" customHeight="1" x14ac:dyDescent="0.2">
      <c r="A14" s="715" t="s">
        <v>409</v>
      </c>
      <c r="B14" s="1750">
        <f>SUM('Revenues 9-14'!C7:D7,'Revenues 9-14'!F7:H7)</f>
        <v>8972748</v>
      </c>
      <c r="C14" s="585">
        <v>2782013</v>
      </c>
      <c r="D14" s="1753">
        <f t="shared" si="0"/>
        <v>6190735</v>
      </c>
      <c r="E14" s="585">
        <v>6634010</v>
      </c>
      <c r="F14" s="1753">
        <f t="shared" si="1"/>
        <v>3851997</v>
      </c>
    </row>
    <row r="15" spans="1:6" ht="13.7" customHeight="1" x14ac:dyDescent="0.2">
      <c r="A15" s="715" t="s">
        <v>1157</v>
      </c>
      <c r="B15" s="1750">
        <f>SUM('Revenues 9-14'!D9:E9,'Revenues 9-14'!H9)</f>
        <v>0</v>
      </c>
      <c r="C15" s="585">
        <v>0</v>
      </c>
      <c r="D15" s="1753">
        <f t="shared" si="0"/>
        <v>0</v>
      </c>
      <c r="E15" s="585">
        <v>0</v>
      </c>
      <c r="F15" s="1753">
        <f t="shared" si="1"/>
        <v>0</v>
      </c>
    </row>
    <row r="16" spans="1:6" ht="13.7" customHeight="1" x14ac:dyDescent="0.2">
      <c r="A16" s="715" t="s">
        <v>1158</v>
      </c>
      <c r="B16" s="1750">
        <f>'Revenues 9-14'!G8</f>
        <v>2002591</v>
      </c>
      <c r="C16" s="585">
        <v>950842</v>
      </c>
      <c r="D16" s="1753">
        <f t="shared" si="0"/>
        <v>1051749</v>
      </c>
      <c r="E16" s="585">
        <v>2267438</v>
      </c>
      <c r="F16" s="1753">
        <f t="shared" si="1"/>
        <v>1316596</v>
      </c>
    </row>
    <row r="17" spans="1:6" ht="13.7" customHeight="1" x14ac:dyDescent="0.2">
      <c r="A17" s="715" t="s">
        <v>1159</v>
      </c>
      <c r="B17" s="1750">
        <f>'Revenues 9-14'!C10</f>
        <v>0</v>
      </c>
      <c r="C17" s="585">
        <v>0</v>
      </c>
      <c r="D17" s="1753">
        <f t="shared" si="0"/>
        <v>0</v>
      </c>
      <c r="E17" s="585">
        <v>0</v>
      </c>
      <c r="F17" s="1753">
        <f t="shared" si="1"/>
        <v>0</v>
      </c>
    </row>
    <row r="18" spans="1:6" ht="13.7" customHeight="1" x14ac:dyDescent="0.2">
      <c r="A18" s="715" t="s">
        <v>761</v>
      </c>
      <c r="B18" s="1750">
        <f>SUM('Revenues 9-14'!C11:K11)</f>
        <v>0</v>
      </c>
      <c r="C18" s="585">
        <v>0</v>
      </c>
      <c r="D18" s="1753">
        <f t="shared" si="0"/>
        <v>0</v>
      </c>
      <c r="E18" s="585">
        <v>0</v>
      </c>
      <c r="F18" s="1753">
        <f t="shared" si="1"/>
        <v>0</v>
      </c>
    </row>
    <row r="19" spans="1:6" ht="13.7" customHeight="1" thickBot="1" x14ac:dyDescent="0.25">
      <c r="A19" s="1754" t="s">
        <v>1160</v>
      </c>
      <c r="B19" s="1751">
        <f>SUM(B4:B18)</f>
        <v>93455694</v>
      </c>
      <c r="C19" s="1751">
        <f>SUM(C4:C18)</f>
        <v>39973177</v>
      </c>
      <c r="D19" s="1751">
        <f>SUM(D4:D18)</f>
        <v>53482517</v>
      </c>
      <c r="E19" s="1751">
        <f>SUM(E4:E18)</f>
        <v>95320854</v>
      </c>
      <c r="F19" s="1751">
        <f>SUM(F4:F18)</f>
        <v>55347677</v>
      </c>
    </row>
    <row r="20" spans="1:6" ht="13.5" thickTop="1" x14ac:dyDescent="0.2">
      <c r="B20" s="713"/>
      <c r="F20" s="716"/>
    </row>
    <row r="21" spans="1:6" x14ac:dyDescent="0.2">
      <c r="A21" s="717" t="s">
        <v>1804</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K59"/>
  <sheetViews>
    <sheetView showGridLines="0" defaultGridColor="0" topLeftCell="A28" colorId="8" zoomScale="110" zoomScaleNormal="110" workbookViewId="0">
      <selection activeCell="G32" sqref="G32"/>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45" t="s">
        <v>628</v>
      </c>
      <c r="B1" s="2246"/>
      <c r="C1" s="721"/>
    </row>
    <row r="2" spans="1:7" ht="33.75" x14ac:dyDescent="0.2">
      <c r="A2" s="2254" t="s">
        <v>1798</v>
      </c>
      <c r="B2" s="2255"/>
      <c r="C2" s="1884" t="s">
        <v>1950</v>
      </c>
      <c r="D2" s="723" t="s">
        <v>1951</v>
      </c>
      <c r="E2" s="723" t="s">
        <v>1952</v>
      </c>
      <c r="F2" s="1884" t="s">
        <v>1953</v>
      </c>
    </row>
    <row r="3" spans="1:7" ht="15.75" customHeight="1" x14ac:dyDescent="0.2">
      <c r="A3" s="2258" t="s">
        <v>1113</v>
      </c>
      <c r="B3" s="2259"/>
      <c r="C3" s="2247"/>
      <c r="D3" s="2248"/>
      <c r="E3" s="2248"/>
      <c r="F3" s="2249"/>
    </row>
    <row r="4" spans="1:7" ht="12.75" customHeight="1" thickBot="1" x14ac:dyDescent="0.25">
      <c r="A4" s="2256" t="s">
        <v>629</v>
      </c>
      <c r="B4" s="2257"/>
      <c r="C4" s="581"/>
      <c r="D4" s="581"/>
      <c r="E4" s="581"/>
      <c r="F4" s="1755">
        <f>SUM(C4+D4)-E4</f>
        <v>0</v>
      </c>
    </row>
    <row r="5" spans="1:7" ht="15.75" customHeight="1" thickTop="1" x14ac:dyDescent="0.2">
      <c r="A5" s="2241" t="s">
        <v>1109</v>
      </c>
      <c r="B5" s="2242"/>
      <c r="C5" s="2250"/>
      <c r="D5" s="2251"/>
      <c r="E5" s="2251"/>
      <c r="F5" s="2252"/>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507</v>
      </c>
      <c r="B8" s="725"/>
      <c r="C8" s="726"/>
      <c r="D8" s="585"/>
      <c r="E8" s="726"/>
      <c r="F8" s="1755">
        <f t="shared" si="0"/>
        <v>0</v>
      </c>
    </row>
    <row r="9" spans="1:7" ht="12.75" customHeight="1" thickTop="1" thickBot="1" x14ac:dyDescent="0.25">
      <c r="A9" s="724" t="s">
        <v>508</v>
      </c>
      <c r="B9" s="725"/>
      <c r="C9" s="726"/>
      <c r="D9" s="585"/>
      <c r="E9" s="726"/>
      <c r="F9" s="1755">
        <f t="shared" si="0"/>
        <v>0</v>
      </c>
    </row>
    <row r="10" spans="1:7" ht="12.75" customHeight="1" thickTop="1" thickBot="1" x14ac:dyDescent="0.25">
      <c r="A10" s="724" t="s">
        <v>509</v>
      </c>
      <c r="B10" s="725"/>
      <c r="C10" s="726"/>
      <c r="D10" s="585"/>
      <c r="E10" s="726"/>
      <c r="F10" s="1755">
        <f t="shared" si="0"/>
        <v>0</v>
      </c>
    </row>
    <row r="11" spans="1:7" ht="12.75" customHeight="1" thickTop="1" thickBot="1" x14ac:dyDescent="0.25">
      <c r="A11" s="724" t="s">
        <v>340</v>
      </c>
      <c r="B11" s="725"/>
      <c r="C11" s="726"/>
      <c r="D11" s="585"/>
      <c r="E11" s="726"/>
      <c r="F11" s="1755">
        <f t="shared" si="0"/>
        <v>0</v>
      </c>
    </row>
    <row r="12" spans="1:7" ht="12.75" customHeight="1" thickTop="1" thickBot="1" x14ac:dyDescent="0.25">
      <c r="A12" s="724" t="s">
        <v>1156</v>
      </c>
      <c r="B12" s="725"/>
      <c r="C12" s="726"/>
      <c r="D12" s="585"/>
      <c r="E12" s="726"/>
      <c r="F12" s="1755">
        <f t="shared" si="0"/>
        <v>0</v>
      </c>
    </row>
    <row r="13" spans="1:7" ht="12.75" customHeight="1" thickTop="1" thickBot="1" x14ac:dyDescent="0.25">
      <c r="A13" s="724" t="s">
        <v>387</v>
      </c>
      <c r="B13" s="725"/>
      <c r="C13" s="726"/>
      <c r="D13" s="585"/>
      <c r="E13" s="726"/>
      <c r="F13" s="1755">
        <f t="shared" si="0"/>
        <v>0</v>
      </c>
    </row>
    <row r="14" spans="1:7" ht="12.75" customHeight="1" thickTop="1" thickBot="1" x14ac:dyDescent="0.25">
      <c r="A14" s="724" t="s">
        <v>447</v>
      </c>
      <c r="B14" s="725"/>
      <c r="C14" s="726"/>
      <c r="D14" s="585"/>
      <c r="E14" s="726"/>
      <c r="F14" s="1755">
        <f t="shared" si="0"/>
        <v>0</v>
      </c>
    </row>
    <row r="15" spans="1:7" ht="14.25" thickTop="1" thickBot="1" x14ac:dyDescent="0.25">
      <c r="A15" s="2243" t="s">
        <v>630</v>
      </c>
      <c r="B15" s="2244"/>
      <c r="C15" s="1755">
        <f>SUM(C6:C14)</f>
        <v>0</v>
      </c>
      <c r="D15" s="1755">
        <f>SUM(D6:D14)</f>
        <v>0</v>
      </c>
      <c r="E15" s="1755">
        <f>SUM(E6:E14)</f>
        <v>0</v>
      </c>
      <c r="F15" s="1755">
        <f>SUM(F6:F14)</f>
        <v>0</v>
      </c>
      <c r="G15" s="552"/>
    </row>
    <row r="16" spans="1:7" s="202" customFormat="1" ht="15.75" customHeight="1" thickTop="1" x14ac:dyDescent="0.2">
      <c r="A16" s="2253" t="s">
        <v>1110</v>
      </c>
      <c r="B16" s="2242"/>
      <c r="C16" s="2250"/>
      <c r="D16" s="2251"/>
      <c r="E16" s="2251"/>
      <c r="F16" s="2252"/>
    </row>
    <row r="17" spans="1:11" ht="12.75" customHeight="1" thickBot="1" x14ac:dyDescent="0.25">
      <c r="A17" s="2266" t="s">
        <v>64</v>
      </c>
      <c r="B17" s="2267"/>
      <c r="C17" s="726"/>
      <c r="D17" s="585"/>
      <c r="E17" s="726"/>
      <c r="F17" s="1755">
        <f>SUM(C17+D17)-E17</f>
        <v>0</v>
      </c>
    </row>
    <row r="18" spans="1:11" ht="12.75" customHeight="1" thickTop="1" thickBot="1" x14ac:dyDescent="0.25">
      <c r="A18" s="2266" t="s">
        <v>6</v>
      </c>
      <c r="B18" s="2267"/>
      <c r="C18" s="726"/>
      <c r="D18" s="585"/>
      <c r="E18" s="726"/>
      <c r="F18" s="1755">
        <f>SUM(C18+D18)-E18</f>
        <v>0</v>
      </c>
    </row>
    <row r="19" spans="1:11" ht="12.75" customHeight="1" thickTop="1" thickBot="1" x14ac:dyDescent="0.25">
      <c r="A19" s="2266" t="s">
        <v>387</v>
      </c>
      <c r="B19" s="2267"/>
      <c r="C19" s="726"/>
      <c r="D19" s="585"/>
      <c r="E19" s="726"/>
      <c r="F19" s="1755">
        <f>SUM(C19+D19)-E19</f>
        <v>0</v>
      </c>
    </row>
    <row r="20" spans="1:11" ht="12.75" customHeight="1" thickTop="1" thickBot="1" x14ac:dyDescent="0.25">
      <c r="A20" s="2266" t="s">
        <v>447</v>
      </c>
      <c r="B20" s="2267"/>
      <c r="C20" s="726"/>
      <c r="D20" s="585"/>
      <c r="E20" s="726"/>
      <c r="F20" s="1755">
        <f>SUM(C20+D20)-E20</f>
        <v>0</v>
      </c>
    </row>
    <row r="21" spans="1:11" ht="14.25" thickTop="1" thickBot="1" x14ac:dyDescent="0.25">
      <c r="A21" s="2243" t="s">
        <v>631</v>
      </c>
      <c r="B21" s="2244"/>
      <c r="C21" s="1755">
        <f>SUM(C17:C20)</f>
        <v>0</v>
      </c>
      <c r="D21" s="1755">
        <f>SUM(D17:D20)</f>
        <v>0</v>
      </c>
      <c r="E21" s="1755">
        <f>SUM(E17:E20)</f>
        <v>0</v>
      </c>
      <c r="F21" s="1755">
        <f>SUM(F17:F20)</f>
        <v>0</v>
      </c>
      <c r="G21" s="552"/>
    </row>
    <row r="22" spans="1:11" ht="15.75" customHeight="1" thickTop="1" x14ac:dyDescent="0.2">
      <c r="A22" s="2268" t="s">
        <v>1111</v>
      </c>
      <c r="B22" s="2242"/>
      <c r="C22" s="2250"/>
      <c r="D22" s="2251"/>
      <c r="E22" s="2251"/>
      <c r="F22" s="2252"/>
    </row>
    <row r="23" spans="1:11" ht="13.5" thickBot="1" x14ac:dyDescent="0.25">
      <c r="A23" s="2256" t="s">
        <v>632</v>
      </c>
      <c r="B23" s="2257"/>
      <c r="C23" s="581"/>
      <c r="D23" s="581"/>
      <c r="E23" s="581"/>
      <c r="F23" s="1755">
        <f>SUM(C23+D23)-E23</f>
        <v>0</v>
      </c>
      <c r="G23" s="552"/>
    </row>
    <row r="24" spans="1:11" ht="15.75" customHeight="1" thickTop="1" x14ac:dyDescent="0.2">
      <c r="A24" s="2268" t="s">
        <v>1112</v>
      </c>
      <c r="B24" s="2242"/>
      <c r="C24" s="2250"/>
      <c r="D24" s="2251"/>
      <c r="E24" s="2251"/>
      <c r="F24" s="2252"/>
    </row>
    <row r="25" spans="1:11" ht="13.5" thickBot="1" x14ac:dyDescent="0.25">
      <c r="A25" s="2256" t="s">
        <v>633</v>
      </c>
      <c r="B25" s="2257"/>
      <c r="C25" s="581"/>
      <c r="D25" s="581"/>
      <c r="E25" s="581"/>
      <c r="F25" s="1755">
        <f>SUM(C25+D25)-E25</f>
        <v>0</v>
      </c>
      <c r="G25" s="552"/>
    </row>
    <row r="26" spans="1:11" ht="15.75" customHeight="1" thickTop="1" x14ac:dyDescent="0.2">
      <c r="A26" s="2241" t="s">
        <v>656</v>
      </c>
      <c r="B26" s="2242"/>
      <c r="C26" s="727"/>
      <c r="D26" s="727"/>
      <c r="E26" s="727"/>
      <c r="F26" s="728"/>
    </row>
    <row r="27" spans="1:11" ht="13.5" thickBot="1" x14ac:dyDescent="0.25">
      <c r="A27" s="2243" t="s">
        <v>1069</v>
      </c>
      <c r="B27" s="2244"/>
      <c r="C27" s="585"/>
      <c r="D27" s="585"/>
      <c r="E27" s="585"/>
      <c r="F27" s="1755">
        <f>SUM(C27+D27)-E27</f>
        <v>0</v>
      </c>
      <c r="G27" s="552"/>
    </row>
    <row r="28" spans="1:11" ht="7.5" customHeight="1" thickTop="1" x14ac:dyDescent="0.2">
      <c r="A28" s="593"/>
    </row>
    <row r="29" spans="1:11" ht="23.25" customHeight="1" x14ac:dyDescent="0.2">
      <c r="A29" s="2269" t="s">
        <v>581</v>
      </c>
      <c r="B29" s="2246"/>
      <c r="C29" s="729"/>
      <c r="D29" s="729"/>
      <c r="E29" s="729"/>
      <c r="F29" s="729"/>
      <c r="G29" s="729"/>
      <c r="H29" s="729"/>
      <c r="I29" s="729"/>
      <c r="J29" s="729"/>
    </row>
    <row r="30" spans="1:11" ht="33.75" x14ac:dyDescent="0.2">
      <c r="A30" s="1529" t="s">
        <v>1070</v>
      </c>
      <c r="B30" s="730" t="s">
        <v>1123</v>
      </c>
      <c r="C30" s="1885" t="s">
        <v>582</v>
      </c>
      <c r="D30" s="1885" t="s">
        <v>1672</v>
      </c>
      <c r="E30" s="1885" t="s">
        <v>1954</v>
      </c>
      <c r="F30" s="1885" t="s">
        <v>1955</v>
      </c>
      <c r="G30" s="1885" t="s">
        <v>1906</v>
      </c>
      <c r="H30" s="1885" t="s">
        <v>1956</v>
      </c>
      <c r="I30" s="1885" t="s">
        <v>1957</v>
      </c>
      <c r="J30" s="1886" t="s">
        <v>2</v>
      </c>
      <c r="K30" s="731"/>
    </row>
    <row r="31" spans="1:11" ht="12" customHeight="1" x14ac:dyDescent="0.2">
      <c r="A31" s="732" t="s">
        <v>2081</v>
      </c>
      <c r="B31" s="733">
        <v>40234</v>
      </c>
      <c r="C31" s="734">
        <v>12000000</v>
      </c>
      <c r="D31" s="735">
        <v>1</v>
      </c>
      <c r="E31" s="734">
        <v>9935000</v>
      </c>
      <c r="F31" s="734"/>
      <c r="G31" s="734">
        <v>-9330000</v>
      </c>
      <c r="H31" s="734">
        <f>175000</f>
        <v>175000</v>
      </c>
      <c r="I31" s="1756">
        <f>((E31+F31)-H31)+G31</f>
        <v>430000</v>
      </c>
      <c r="J31" s="734"/>
      <c r="K31" s="736"/>
    </row>
    <row r="32" spans="1:11" ht="12" customHeight="1" x14ac:dyDescent="0.2">
      <c r="A32" s="732" t="s">
        <v>2082</v>
      </c>
      <c r="B32" s="733">
        <v>40294</v>
      </c>
      <c r="C32" s="734">
        <v>7595000</v>
      </c>
      <c r="D32" s="735">
        <v>3</v>
      </c>
      <c r="E32" s="734">
        <v>7045000</v>
      </c>
      <c r="F32" s="734"/>
      <c r="G32" s="734"/>
      <c r="H32" s="734">
        <v>65000</v>
      </c>
      <c r="I32" s="1756">
        <f>((E32+F32)-H32)+G32</f>
        <v>6980000</v>
      </c>
      <c r="J32" s="734"/>
      <c r="K32" s="736"/>
    </row>
    <row r="33" spans="1:11" ht="12" customHeight="1" x14ac:dyDescent="0.2">
      <c r="A33" s="732" t="s">
        <v>2083</v>
      </c>
      <c r="B33" s="733">
        <v>41948</v>
      </c>
      <c r="C33" s="734">
        <v>3560000</v>
      </c>
      <c r="D33" s="735">
        <v>3</v>
      </c>
      <c r="E33" s="734">
        <v>3560000</v>
      </c>
      <c r="F33" s="734"/>
      <c r="G33" s="734"/>
      <c r="H33" s="734"/>
      <c r="I33" s="1756">
        <f t="shared" ref="I33:I48" si="1">((E33+F33)-H33)+G33</f>
        <v>3560000</v>
      </c>
      <c r="J33" s="734">
        <v>1127568</v>
      </c>
      <c r="K33" s="736"/>
    </row>
    <row r="34" spans="1:11" ht="12" customHeight="1" x14ac:dyDescent="0.2">
      <c r="A34" s="732" t="s">
        <v>2084</v>
      </c>
      <c r="B34" s="733">
        <v>41962</v>
      </c>
      <c r="C34" s="734">
        <v>11980000</v>
      </c>
      <c r="D34" s="735">
        <v>3</v>
      </c>
      <c r="E34" s="734">
        <v>5055000</v>
      </c>
      <c r="F34" s="734"/>
      <c r="G34" s="734"/>
      <c r="H34" s="734">
        <v>2500000</v>
      </c>
      <c r="I34" s="1756">
        <f t="shared" si="1"/>
        <v>2555000</v>
      </c>
      <c r="J34" s="734">
        <f t="shared" ref="J34:J46" si="2">SUM(I34)</f>
        <v>2555000</v>
      </c>
      <c r="K34" s="737"/>
    </row>
    <row r="35" spans="1:11" ht="12" customHeight="1" x14ac:dyDescent="0.2">
      <c r="A35" s="732" t="s">
        <v>2085</v>
      </c>
      <c r="B35" s="733">
        <v>42136</v>
      </c>
      <c r="C35" s="738">
        <v>41090000</v>
      </c>
      <c r="D35" s="735">
        <v>3</v>
      </c>
      <c r="E35" s="738">
        <v>27370000</v>
      </c>
      <c r="F35" s="738"/>
      <c r="G35" s="738"/>
      <c r="H35" s="738">
        <v>5080000</v>
      </c>
      <c r="I35" s="1756">
        <f t="shared" si="1"/>
        <v>22290000</v>
      </c>
      <c r="J35" s="738">
        <f t="shared" si="2"/>
        <v>22290000</v>
      </c>
      <c r="K35" s="737"/>
    </row>
    <row r="36" spans="1:11" ht="12" customHeight="1" x14ac:dyDescent="0.2">
      <c r="A36" s="732" t="s">
        <v>2086</v>
      </c>
      <c r="B36" s="733">
        <v>42369</v>
      </c>
      <c r="C36" s="734">
        <v>24080000</v>
      </c>
      <c r="D36" s="735">
        <v>6</v>
      </c>
      <c r="E36" s="734">
        <v>20660000</v>
      </c>
      <c r="F36" s="734"/>
      <c r="G36" s="734"/>
      <c r="H36" s="734">
        <v>1570000</v>
      </c>
      <c r="I36" s="1756">
        <f t="shared" si="1"/>
        <v>19090000</v>
      </c>
      <c r="J36" s="734">
        <f t="shared" si="2"/>
        <v>19090000</v>
      </c>
      <c r="K36" s="739"/>
    </row>
    <row r="37" spans="1:11" ht="12" customHeight="1" x14ac:dyDescent="0.2">
      <c r="A37" s="732" t="s">
        <v>2087</v>
      </c>
      <c r="B37" s="733">
        <v>42487</v>
      </c>
      <c r="C37" s="467">
        <v>26470</v>
      </c>
      <c r="D37" s="740">
        <v>6</v>
      </c>
      <c r="E37" s="467">
        <v>26470000</v>
      </c>
      <c r="F37" s="467"/>
      <c r="G37" s="467"/>
      <c r="H37" s="467"/>
      <c r="I37" s="1756">
        <f t="shared" si="1"/>
        <v>26470000</v>
      </c>
      <c r="J37" s="467">
        <f t="shared" si="2"/>
        <v>26470000</v>
      </c>
      <c r="K37" s="737"/>
    </row>
    <row r="38" spans="1:11" ht="12" customHeight="1" x14ac:dyDescent="0.2">
      <c r="A38" s="732" t="s">
        <v>2088</v>
      </c>
      <c r="B38" s="733">
        <v>42705</v>
      </c>
      <c r="C38" s="734">
        <v>4705000</v>
      </c>
      <c r="D38" s="741">
        <v>6</v>
      </c>
      <c r="E38" s="742">
        <v>6530000</v>
      </c>
      <c r="F38" s="742"/>
      <c r="G38" s="742"/>
      <c r="H38" s="742"/>
      <c r="I38" s="1756">
        <f t="shared" si="1"/>
        <v>6530000</v>
      </c>
      <c r="J38" s="743">
        <f t="shared" si="2"/>
        <v>6530000</v>
      </c>
      <c r="K38" s="744"/>
    </row>
    <row r="39" spans="1:11" ht="12" customHeight="1" x14ac:dyDescent="0.2">
      <c r="A39" s="732" t="s">
        <v>2089</v>
      </c>
      <c r="B39" s="733">
        <v>43031</v>
      </c>
      <c r="C39" s="734">
        <v>6040000</v>
      </c>
      <c r="D39" s="741">
        <v>6</v>
      </c>
      <c r="E39" s="742">
        <v>6040000</v>
      </c>
      <c r="F39" s="742"/>
      <c r="G39" s="742"/>
      <c r="H39" s="742"/>
      <c r="I39" s="1756">
        <f t="shared" si="1"/>
        <v>6040000</v>
      </c>
      <c r="J39" s="743">
        <f t="shared" si="2"/>
        <v>6040000</v>
      </c>
      <c r="K39" s="744"/>
    </row>
    <row r="40" spans="1:11" ht="12" customHeight="1" x14ac:dyDescent="0.2">
      <c r="A40" s="732" t="s">
        <v>2090</v>
      </c>
      <c r="B40" s="733">
        <v>43031</v>
      </c>
      <c r="C40" s="734">
        <v>10145000</v>
      </c>
      <c r="D40" s="741">
        <v>1</v>
      </c>
      <c r="E40" s="742">
        <v>10145000</v>
      </c>
      <c r="F40" s="742"/>
      <c r="G40" s="742"/>
      <c r="H40" s="742">
        <v>575000</v>
      </c>
      <c r="I40" s="1756">
        <f t="shared" si="1"/>
        <v>9570000</v>
      </c>
      <c r="J40" s="743">
        <f t="shared" si="2"/>
        <v>9570000</v>
      </c>
      <c r="K40" s="744"/>
    </row>
    <row r="41" spans="1:11" ht="12" customHeight="1" x14ac:dyDescent="0.2">
      <c r="A41" s="732" t="s">
        <v>2091</v>
      </c>
      <c r="B41" s="733">
        <v>43410</v>
      </c>
      <c r="C41" s="734">
        <v>9110000</v>
      </c>
      <c r="D41" s="741">
        <v>3</v>
      </c>
      <c r="E41" s="742"/>
      <c r="F41" s="742">
        <v>9110000</v>
      </c>
      <c r="G41" s="742"/>
      <c r="H41" s="742"/>
      <c r="I41" s="1756">
        <f t="shared" si="1"/>
        <v>9110000</v>
      </c>
      <c r="J41" s="743">
        <f t="shared" si="2"/>
        <v>9110000</v>
      </c>
      <c r="K41" s="744"/>
    </row>
    <row r="42" spans="1:11" ht="12" customHeight="1" x14ac:dyDescent="0.2">
      <c r="A42" s="732" t="s">
        <v>2092</v>
      </c>
      <c r="B42" s="733"/>
      <c r="C42" s="734">
        <v>790000</v>
      </c>
      <c r="D42" s="741">
        <v>7</v>
      </c>
      <c r="E42" s="742">
        <v>790000</v>
      </c>
      <c r="F42" s="742"/>
      <c r="G42" s="742"/>
      <c r="H42" s="742"/>
      <c r="I42" s="1756">
        <f t="shared" si="1"/>
        <v>790000</v>
      </c>
      <c r="J42" s="743">
        <f t="shared" si="2"/>
        <v>790000</v>
      </c>
      <c r="K42" s="744"/>
    </row>
    <row r="43" spans="1:11" ht="12" customHeight="1" x14ac:dyDescent="0.2">
      <c r="A43" s="732" t="s">
        <v>2093</v>
      </c>
      <c r="B43" s="733"/>
      <c r="C43" s="734">
        <v>2000000</v>
      </c>
      <c r="D43" s="741">
        <v>7</v>
      </c>
      <c r="E43" s="742">
        <v>2000000</v>
      </c>
      <c r="F43" s="742"/>
      <c r="G43" s="742"/>
      <c r="H43" s="742"/>
      <c r="I43" s="1756">
        <f t="shared" si="1"/>
        <v>2000000</v>
      </c>
      <c r="J43" s="743">
        <f t="shared" si="2"/>
        <v>2000000</v>
      </c>
      <c r="K43" s="744"/>
    </row>
    <row r="44" spans="1:11" ht="12" customHeight="1" x14ac:dyDescent="0.2">
      <c r="A44" s="732" t="s">
        <v>2094</v>
      </c>
      <c r="B44" s="733">
        <v>42312</v>
      </c>
      <c r="C44" s="734">
        <v>4865000</v>
      </c>
      <c r="D44" s="735">
        <v>7</v>
      </c>
      <c r="E44" s="734">
        <v>4865000</v>
      </c>
      <c r="F44" s="734"/>
      <c r="G44" s="734"/>
      <c r="H44" s="734"/>
      <c r="I44" s="1756">
        <f t="shared" si="1"/>
        <v>4865000</v>
      </c>
      <c r="J44" s="734">
        <f t="shared" si="2"/>
        <v>4865000</v>
      </c>
      <c r="K44" s="737"/>
    </row>
    <row r="45" spans="1:11" ht="12" customHeight="1" x14ac:dyDescent="0.2">
      <c r="A45" s="732" t="s">
        <v>2095</v>
      </c>
      <c r="B45" s="733">
        <v>42720</v>
      </c>
      <c r="C45" s="734">
        <v>3338000</v>
      </c>
      <c r="D45" s="735">
        <v>7</v>
      </c>
      <c r="E45" s="734">
        <v>3338000</v>
      </c>
      <c r="F45" s="734"/>
      <c r="G45" s="734"/>
      <c r="H45" s="734"/>
      <c r="I45" s="1756">
        <f t="shared" si="1"/>
        <v>3338000</v>
      </c>
      <c r="J45" s="734">
        <f t="shared" si="2"/>
        <v>3338000</v>
      </c>
      <c r="K45" s="737"/>
    </row>
    <row r="46" spans="1:11" ht="12" customHeight="1" x14ac:dyDescent="0.2">
      <c r="A46" s="732" t="s">
        <v>2096</v>
      </c>
      <c r="B46" s="733">
        <v>43031</v>
      </c>
      <c r="C46" s="734">
        <v>11840000</v>
      </c>
      <c r="D46" s="735">
        <v>7</v>
      </c>
      <c r="E46" s="734">
        <v>11840000</v>
      </c>
      <c r="F46" s="734"/>
      <c r="G46" s="734"/>
      <c r="H46" s="734"/>
      <c r="I46" s="1756">
        <f t="shared" si="1"/>
        <v>11840000</v>
      </c>
      <c r="J46" s="734">
        <f t="shared" si="2"/>
        <v>11840000</v>
      </c>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153164470</v>
      </c>
      <c r="D49" s="745"/>
      <c r="E49" s="1756">
        <f t="shared" ref="E49:J49" si="3">SUM(E31:E48)</f>
        <v>145643000</v>
      </c>
      <c r="F49" s="1756">
        <f t="shared" si="3"/>
        <v>9110000</v>
      </c>
      <c r="G49" s="1756">
        <f t="shared" si="3"/>
        <v>-9330000</v>
      </c>
      <c r="H49" s="1756">
        <f t="shared" si="3"/>
        <v>9965000</v>
      </c>
      <c r="I49" s="1756">
        <f t="shared" si="3"/>
        <v>135458000</v>
      </c>
      <c r="J49" s="1756">
        <f t="shared" si="3"/>
        <v>125615568</v>
      </c>
      <c r="K49" s="737"/>
    </row>
    <row r="50" spans="1:11" ht="6" customHeight="1" x14ac:dyDescent="0.2">
      <c r="A50" s="746"/>
      <c r="B50" s="736"/>
      <c r="C50" s="736"/>
      <c r="D50" s="736"/>
      <c r="E50" s="736"/>
      <c r="F50" s="736"/>
      <c r="G50" s="736"/>
      <c r="H50" s="736"/>
      <c r="I50" s="736"/>
      <c r="J50" s="746"/>
    </row>
    <row r="51" spans="1:11" x14ac:dyDescent="0.2">
      <c r="A51" s="747" t="s">
        <v>1803</v>
      </c>
      <c r="B51" s="746"/>
      <c r="C51" s="737"/>
      <c r="D51" s="737"/>
      <c r="E51" s="737"/>
      <c r="F51" s="737"/>
      <c r="G51" s="737"/>
      <c r="H51" s="736"/>
      <c r="I51" s="736"/>
      <c r="J51" s="746"/>
    </row>
    <row r="52" spans="1:11" ht="11.25" customHeight="1" x14ac:dyDescent="0.2">
      <c r="A52" s="748" t="s">
        <v>911</v>
      </c>
      <c r="B52" s="2260" t="s">
        <v>583</v>
      </c>
      <c r="C52" s="2261"/>
      <c r="D52" s="2261"/>
      <c r="E52" s="749" t="s">
        <v>844</v>
      </c>
      <c r="F52" s="2262" t="s">
        <v>2097</v>
      </c>
      <c r="G52" s="2263"/>
      <c r="H52" s="736"/>
      <c r="I52" s="736"/>
      <c r="J52" s="746"/>
    </row>
    <row r="53" spans="1:11" ht="11.25" customHeight="1" x14ac:dyDescent="0.2">
      <c r="A53" s="750" t="s">
        <v>912</v>
      </c>
      <c r="B53" s="751" t="s">
        <v>950</v>
      </c>
      <c r="C53" s="746"/>
      <c r="D53" s="737"/>
      <c r="E53" s="749" t="s">
        <v>496</v>
      </c>
      <c r="F53" s="2264"/>
      <c r="G53" s="2265"/>
      <c r="H53" s="736"/>
      <c r="I53" s="736"/>
      <c r="J53" s="746"/>
    </row>
    <row r="54" spans="1:11" ht="11.25" customHeight="1" x14ac:dyDescent="0.2">
      <c r="A54" s="752" t="s">
        <v>913</v>
      </c>
      <c r="B54" s="747" t="s">
        <v>951</v>
      </c>
      <c r="C54" s="746"/>
      <c r="D54" s="737"/>
      <c r="E54" s="749" t="s">
        <v>497</v>
      </c>
      <c r="F54" s="2264"/>
      <c r="G54" s="2265"/>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sheetPr>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94" t="s">
        <v>855</v>
      </c>
      <c r="B1" s="2295"/>
      <c r="C1" s="2295"/>
      <c r="D1" s="2295"/>
      <c r="E1" s="2295"/>
      <c r="F1" s="2295"/>
      <c r="G1" s="2296"/>
      <c r="H1" s="1530"/>
      <c r="I1" s="760"/>
      <c r="J1" s="433"/>
    </row>
    <row r="2" spans="1:11" ht="26.25" x14ac:dyDescent="0.2">
      <c r="A2" s="2273" t="s">
        <v>1676</v>
      </c>
      <c r="B2" s="2274"/>
      <c r="C2" s="2274"/>
      <c r="D2" s="2274"/>
      <c r="E2" s="2275"/>
      <c r="F2" s="761" t="s">
        <v>903</v>
      </c>
      <c r="G2" s="762" t="s">
        <v>1673</v>
      </c>
      <c r="H2" s="762" t="s">
        <v>409</v>
      </c>
      <c r="I2" s="762" t="s">
        <v>1157</v>
      </c>
      <c r="J2" s="762" t="s">
        <v>1808</v>
      </c>
      <c r="K2" s="762" t="s">
        <v>138</v>
      </c>
    </row>
    <row r="3" spans="1:11" x14ac:dyDescent="0.2">
      <c r="A3" s="2276" t="s">
        <v>1958</v>
      </c>
      <c r="B3" s="2277"/>
      <c r="C3" s="2277"/>
      <c r="D3" s="2277"/>
      <c r="E3" s="2278"/>
      <c r="F3" s="763"/>
      <c r="G3" s="764"/>
      <c r="H3" s="764"/>
      <c r="I3" s="764"/>
      <c r="J3" s="765"/>
      <c r="K3" s="765"/>
    </row>
    <row r="4" spans="1:11" x14ac:dyDescent="0.2">
      <c r="A4" s="2279" t="s">
        <v>368</v>
      </c>
      <c r="B4" s="2280"/>
      <c r="C4" s="2280"/>
      <c r="D4" s="2280"/>
      <c r="E4" s="2261"/>
      <c r="F4" s="766"/>
      <c r="G4" s="767"/>
      <c r="H4" s="768"/>
      <c r="I4" s="767"/>
      <c r="J4" s="769"/>
      <c r="K4" s="769"/>
    </row>
    <row r="5" spans="1:11" x14ac:dyDescent="0.2">
      <c r="A5" s="2297" t="s">
        <v>1068</v>
      </c>
      <c r="B5" s="2270"/>
      <c r="C5" s="2270"/>
      <c r="D5" s="2270"/>
      <c r="E5" s="2298"/>
      <c r="F5" s="770" t="s">
        <v>847</v>
      </c>
      <c r="G5" s="771"/>
      <c r="H5" s="764">
        <v>8972748</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v>82167</v>
      </c>
    </row>
    <row r="10" spans="1:11" x14ac:dyDescent="0.2">
      <c r="A10" s="2297" t="s">
        <v>1809</v>
      </c>
      <c r="B10" s="2270"/>
      <c r="C10" s="2270"/>
      <c r="D10" s="2270"/>
      <c r="E10" s="2299"/>
      <c r="F10" s="783" t="s">
        <v>861</v>
      </c>
      <c r="G10" s="782"/>
      <c r="H10" s="784"/>
      <c r="I10" s="764"/>
      <c r="J10" s="765"/>
      <c r="K10" s="765"/>
    </row>
    <row r="11" spans="1:11" x14ac:dyDescent="0.2">
      <c r="A11" s="2297" t="s">
        <v>160</v>
      </c>
      <c r="B11" s="2270"/>
      <c r="C11" s="2270"/>
      <c r="D11" s="2270"/>
      <c r="E11" s="2298"/>
      <c r="F11" s="770" t="s">
        <v>851</v>
      </c>
      <c r="G11" s="771"/>
      <c r="H11" s="764"/>
      <c r="I11" s="764"/>
      <c r="J11" s="765"/>
      <c r="K11" s="773"/>
    </row>
    <row r="12" spans="1:11" ht="13.5" thickBot="1" x14ac:dyDescent="0.25">
      <c r="A12" s="2287" t="s">
        <v>904</v>
      </c>
      <c r="B12" s="2288"/>
      <c r="C12" s="2288"/>
      <c r="D12" s="2288"/>
      <c r="E12" s="2289"/>
      <c r="F12" s="1757"/>
      <c r="G12" s="1758">
        <f>SUM(G5:G11)</f>
        <v>0</v>
      </c>
      <c r="H12" s="1758">
        <f>SUM(H5:H11)</f>
        <v>8972748</v>
      </c>
      <c r="I12" s="1758">
        <f>SUM(I5:I11)</f>
        <v>0</v>
      </c>
      <c r="J12" s="1758">
        <f>SUM(J5:J11)</f>
        <v>0</v>
      </c>
      <c r="K12" s="1758">
        <f>SUM(K5:K11)</f>
        <v>82167</v>
      </c>
    </row>
    <row r="13" spans="1:11" ht="13.5" thickTop="1" x14ac:dyDescent="0.2">
      <c r="A13" s="2281" t="s">
        <v>369</v>
      </c>
      <c r="B13" s="2282"/>
      <c r="C13" s="2282"/>
      <c r="D13" s="2282"/>
      <c r="E13" s="2283"/>
      <c r="F13" s="785"/>
      <c r="G13" s="786"/>
      <c r="H13" s="787"/>
      <c r="I13" s="788"/>
      <c r="J13" s="788"/>
      <c r="K13" s="788"/>
    </row>
    <row r="14" spans="1:11" x14ac:dyDescent="0.2">
      <c r="A14" s="2303" t="s">
        <v>455</v>
      </c>
      <c r="B14" s="2303"/>
      <c r="C14" s="2303"/>
      <c r="D14" s="2303"/>
      <c r="E14" s="2304"/>
      <c r="F14" s="789" t="s">
        <v>853</v>
      </c>
      <c r="G14" s="782"/>
      <c r="H14" s="764">
        <v>8972748</v>
      </c>
      <c r="I14" s="771"/>
      <c r="J14" s="773"/>
      <c r="K14" s="765"/>
    </row>
    <row r="15" spans="1:11" x14ac:dyDescent="0.2">
      <c r="A15" s="2270" t="s">
        <v>4</v>
      </c>
      <c r="B15" s="2270"/>
      <c r="C15" s="2270"/>
      <c r="D15" s="2270"/>
      <c r="E15" s="2298"/>
      <c r="F15" s="789" t="s">
        <v>854</v>
      </c>
      <c r="G15" s="771"/>
      <c r="H15" s="764"/>
      <c r="I15" s="764"/>
      <c r="J15" s="765"/>
      <c r="K15" s="765">
        <v>82167</v>
      </c>
    </row>
    <row r="16" spans="1:11" x14ac:dyDescent="0.2">
      <c r="A16" s="2270" t="s">
        <v>297</v>
      </c>
      <c r="B16" s="2270"/>
      <c r="C16" s="2270"/>
      <c r="D16" s="2270"/>
      <c r="E16" s="2298"/>
      <c r="F16" s="789" t="s">
        <v>922</v>
      </c>
      <c r="G16" s="772"/>
      <c r="H16" s="767"/>
      <c r="I16" s="767"/>
      <c r="J16" s="769"/>
      <c r="K16" s="769"/>
    </row>
    <row r="17" spans="1:11" x14ac:dyDescent="0.2">
      <c r="A17" s="2292" t="s">
        <v>934</v>
      </c>
      <c r="B17" s="2292"/>
      <c r="C17" s="2292"/>
      <c r="D17" s="2292"/>
      <c r="E17" s="2293"/>
      <c r="F17" s="790"/>
      <c r="G17" s="791"/>
      <c r="H17" s="792"/>
      <c r="I17" s="792"/>
      <c r="J17" s="793"/>
      <c r="K17" s="794"/>
    </row>
    <row r="18" spans="1:11" x14ac:dyDescent="0.2">
      <c r="A18" s="2284" t="s">
        <v>367</v>
      </c>
      <c r="B18" s="2285"/>
      <c r="C18" s="2285"/>
      <c r="D18" s="2285"/>
      <c r="E18" s="2286"/>
      <c r="F18" s="789" t="s">
        <v>931</v>
      </c>
      <c r="G18" s="782"/>
      <c r="H18" s="782"/>
      <c r="I18" s="782"/>
      <c r="J18" s="765"/>
      <c r="K18" s="795"/>
    </row>
    <row r="19" spans="1:11" ht="21.75" customHeight="1" x14ac:dyDescent="0.2">
      <c r="A19" s="2305" t="s">
        <v>1805</v>
      </c>
      <c r="B19" s="2305"/>
      <c r="C19" s="2305"/>
      <c r="D19" s="2305"/>
      <c r="E19" s="2306"/>
      <c r="F19" s="789" t="s">
        <v>932</v>
      </c>
      <c r="G19" s="782"/>
      <c r="H19" s="782"/>
      <c r="I19" s="782"/>
      <c r="J19" s="765"/>
      <c r="K19" s="795"/>
    </row>
    <row r="20" spans="1:11" x14ac:dyDescent="0.2">
      <c r="A20" s="2284" t="s">
        <v>1810</v>
      </c>
      <c r="B20" s="2285"/>
      <c r="C20" s="2285"/>
      <c r="D20" s="2285"/>
      <c r="E20" s="2286"/>
      <c r="F20" s="789" t="s">
        <v>933</v>
      </c>
      <c r="G20" s="782"/>
      <c r="H20" s="782"/>
      <c r="I20" s="782"/>
      <c r="J20" s="765"/>
      <c r="K20" s="795"/>
    </row>
    <row r="21" spans="1:11" ht="13.5" thickBot="1" x14ac:dyDescent="0.25">
      <c r="A21" s="2290" t="s">
        <v>637</v>
      </c>
      <c r="B21" s="2290"/>
      <c r="C21" s="2290"/>
      <c r="D21" s="2290"/>
      <c r="E21" s="2290"/>
      <c r="F21" s="1759"/>
      <c r="G21" s="792"/>
      <c r="H21" s="796"/>
      <c r="I21" s="796"/>
      <c r="J21" s="1760">
        <f>SUM(J18:J20)</f>
        <v>0</v>
      </c>
      <c r="K21" s="793"/>
    </row>
    <row r="22" spans="1:11" ht="13.5" thickTop="1" x14ac:dyDescent="0.2">
      <c r="A22" s="2270" t="s">
        <v>1811</v>
      </c>
      <c r="B22" s="2270"/>
      <c r="C22" s="2270"/>
      <c r="D22" s="2270"/>
      <c r="E22" s="2298"/>
      <c r="F22" s="789" t="s">
        <v>861</v>
      </c>
      <c r="G22" s="782"/>
      <c r="H22" s="764"/>
      <c r="I22" s="764"/>
      <c r="J22" s="797"/>
      <c r="K22" s="765"/>
    </row>
    <row r="23" spans="1:11" ht="13.5" thickBot="1" x14ac:dyDescent="0.25">
      <c r="A23" s="2291" t="s">
        <v>905</v>
      </c>
      <c r="B23" s="2290"/>
      <c r="C23" s="2290"/>
      <c r="D23" s="2290"/>
      <c r="E23" s="2290"/>
      <c r="F23" s="1761"/>
      <c r="G23" s="1758">
        <f>SUM(G14:G16,G21,G22)</f>
        <v>0</v>
      </c>
      <c r="H23" s="1758">
        <f>SUM(H14:H16,H21,H22)</f>
        <v>8972748</v>
      </c>
      <c r="I23" s="1758">
        <f>SUM(I14:I16,I21,I22)</f>
        <v>0</v>
      </c>
      <c r="J23" s="1758">
        <f>SUM(J14:J16,J21,J22)</f>
        <v>0</v>
      </c>
      <c r="K23" s="1758">
        <f>SUM(K14:K16,K21,K22)</f>
        <v>82167</v>
      </c>
    </row>
    <row r="24" spans="1:11" ht="14.25" thickTop="1" thickBot="1" x14ac:dyDescent="0.25">
      <c r="A24" s="2291" t="s">
        <v>1959</v>
      </c>
      <c r="B24" s="2290"/>
      <c r="C24" s="2290"/>
      <c r="D24" s="2290"/>
      <c r="E24" s="2290"/>
      <c r="F24" s="1762"/>
      <c r="G24" s="1763">
        <f>SUM(G3,G12)-G23</f>
        <v>0</v>
      </c>
      <c r="H24" s="1763">
        <f>SUM(H3,H12)-H23</f>
        <v>0</v>
      </c>
      <c r="I24" s="1763">
        <f>SUM(I3,I12)-I23</f>
        <v>0</v>
      </c>
      <c r="J24" s="1763">
        <f>SUM(J3,J12)-J23</f>
        <v>0</v>
      </c>
      <c r="K24" s="1763">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1905</v>
      </c>
      <c r="B28" s="1881"/>
      <c r="C28" s="1881"/>
      <c r="D28" s="1881"/>
      <c r="E28" s="1882"/>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300"/>
      <c r="I31" s="2301"/>
      <c r="J31" s="2301"/>
      <c r="K31" s="2301"/>
    </row>
    <row r="32" spans="1:11" x14ac:dyDescent="0.2">
      <c r="A32" s="809"/>
      <c r="B32" s="237"/>
      <c r="C32" s="237"/>
      <c r="D32" s="237"/>
      <c r="E32" s="805"/>
      <c r="F32" s="811" t="s">
        <v>539</v>
      </c>
      <c r="G32" s="764"/>
      <c r="H32" s="2302"/>
      <c r="I32" s="2301"/>
      <c r="J32" s="2301"/>
      <c r="K32" s="2301"/>
    </row>
    <row r="33" spans="1:11" ht="1.5" customHeight="1" x14ac:dyDescent="0.2">
      <c r="A33" s="812" t="s">
        <v>1168</v>
      </c>
      <c r="B33" s="364"/>
      <c r="C33" s="364"/>
      <c r="D33" s="364"/>
      <c r="E33" s="364"/>
      <c r="F33" s="364"/>
      <c r="G33" s="813"/>
      <c r="H33" s="2302"/>
      <c r="I33" s="2301"/>
      <c r="J33" s="2301"/>
      <c r="K33" s="2301"/>
    </row>
    <row r="34" spans="1:11" x14ac:dyDescent="0.2">
      <c r="A34" s="814" t="s">
        <v>1812</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70" t="s">
        <v>540</v>
      </c>
      <c r="B41" s="2271"/>
      <c r="C41" s="2271"/>
      <c r="D41" s="2271"/>
      <c r="E41" s="2271"/>
      <c r="F41" s="2272"/>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531" t="s">
        <v>1806</v>
      </c>
      <c r="B46" s="408" t="s">
        <v>1674</v>
      </c>
    </row>
    <row r="47" spans="1:11" s="823" customFormat="1" ht="12.75" customHeight="1" x14ac:dyDescent="0.2">
      <c r="A47" s="821"/>
      <c r="B47" s="822" t="s">
        <v>1675</v>
      </c>
      <c r="E47" s="822"/>
      <c r="K47" s="824"/>
    </row>
    <row r="48" spans="1:11" ht="12.75" customHeight="1" x14ac:dyDescent="0.2">
      <c r="A48" s="1532" t="s">
        <v>1807</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N27"/>
  <sheetViews>
    <sheetView showGridLines="0" defaultGridColor="0" colorId="8" zoomScale="110" zoomScaleNormal="110" workbookViewId="0">
      <selection activeCell="J9" sqref="J9"/>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09" t="s">
        <v>1904</v>
      </c>
      <c r="B1" s="2310"/>
      <c r="C1" s="2311"/>
      <c r="D1" s="826"/>
      <c r="E1" s="827"/>
      <c r="F1" s="827"/>
      <c r="G1" s="828"/>
      <c r="H1" s="829"/>
      <c r="I1" s="830"/>
      <c r="J1" s="2307"/>
      <c r="K1" s="2308"/>
      <c r="L1" s="2308"/>
    </row>
    <row r="2" spans="1:14" ht="69.75" customHeight="1" x14ac:dyDescent="0.2">
      <c r="A2" s="831" t="s">
        <v>1677</v>
      </c>
      <c r="B2" s="832" t="s">
        <v>377</v>
      </c>
      <c r="C2" s="833" t="s">
        <v>1960</v>
      </c>
      <c r="D2" s="833" t="s">
        <v>1961</v>
      </c>
      <c r="E2" s="833" t="s">
        <v>1962</v>
      </c>
      <c r="F2" s="833" t="s">
        <v>1963</v>
      </c>
      <c r="G2" s="833" t="s">
        <v>604</v>
      </c>
      <c r="H2" s="833" t="s">
        <v>1964</v>
      </c>
      <c r="I2" s="833" t="s">
        <v>1965</v>
      </c>
      <c r="J2" s="833" t="s">
        <v>1966</v>
      </c>
      <c r="K2" s="833" t="s">
        <v>1967</v>
      </c>
      <c r="L2" s="833" t="s">
        <v>1968</v>
      </c>
      <c r="M2" s="834"/>
      <c r="N2" s="834"/>
    </row>
    <row r="3" spans="1:14" ht="13.5" thickBot="1" x14ac:dyDescent="0.25">
      <c r="A3" s="1629" t="s">
        <v>891</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892</v>
      </c>
      <c r="B5" s="840">
        <v>221</v>
      </c>
      <c r="C5" s="841">
        <v>8505180</v>
      </c>
      <c r="D5" s="841">
        <v>2787505</v>
      </c>
      <c r="E5" s="841"/>
      <c r="F5" s="1760">
        <f>(C5+D5)-E5</f>
        <v>11292685</v>
      </c>
      <c r="G5" s="837"/>
      <c r="H5" s="842"/>
      <c r="I5" s="842"/>
      <c r="J5" s="842"/>
      <c r="K5" s="793"/>
      <c r="L5" s="1769">
        <f>F5-K5</f>
        <v>11292685</v>
      </c>
    </row>
    <row r="6" spans="1:14" ht="14.25" thickTop="1" thickBot="1" x14ac:dyDescent="0.25">
      <c r="A6" s="778" t="s">
        <v>1116</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1117</v>
      </c>
      <c r="B8" s="840">
        <v>231</v>
      </c>
      <c r="C8" s="844">
        <v>195335133</v>
      </c>
      <c r="D8" s="844">
        <v>1370936</v>
      </c>
      <c r="E8" s="844">
        <v>29958669</v>
      </c>
      <c r="F8" s="1760">
        <f>(C8+D8)-E8</f>
        <v>166747400</v>
      </c>
      <c r="G8" s="843">
        <v>50</v>
      </c>
      <c r="H8" s="765">
        <v>69512928</v>
      </c>
      <c r="I8" s="765">
        <v>4148242</v>
      </c>
      <c r="J8" s="765">
        <v>21528963</v>
      </c>
      <c r="K8" s="1769">
        <f>(H8+I8)-J8</f>
        <v>52132207</v>
      </c>
      <c r="L8" s="1769">
        <f>F8-K8</f>
        <v>114615193</v>
      </c>
    </row>
    <row r="9" spans="1:14" ht="14.25" thickTop="1" thickBot="1" x14ac:dyDescent="0.25">
      <c r="A9" s="778" t="s">
        <v>1118</v>
      </c>
      <c r="B9" s="840">
        <v>232</v>
      </c>
      <c r="C9" s="765"/>
      <c r="D9" s="765"/>
      <c r="E9" s="765"/>
      <c r="F9" s="1760">
        <f>(C9+D9)-E9</f>
        <v>0</v>
      </c>
      <c r="G9" s="843">
        <v>20</v>
      </c>
      <c r="H9" s="765"/>
      <c r="I9" s="765"/>
      <c r="J9" s="765"/>
      <c r="K9" s="1769">
        <f>(H9+I9)-J9</f>
        <v>0</v>
      </c>
      <c r="L9" s="1769">
        <f>F9-K9</f>
        <v>0</v>
      </c>
    </row>
    <row r="10" spans="1:14" ht="24" thickTop="1" thickBot="1" x14ac:dyDescent="0.25">
      <c r="A10" s="845" t="s">
        <v>1119</v>
      </c>
      <c r="B10" s="840">
        <v>240</v>
      </c>
      <c r="C10" s="846">
        <v>21819979</v>
      </c>
      <c r="D10" s="846">
        <v>1870991</v>
      </c>
      <c r="E10" s="846"/>
      <c r="F10" s="1764">
        <f>(C10+D10)-E10</f>
        <v>23690970</v>
      </c>
      <c r="G10" s="843">
        <v>20</v>
      </c>
      <c r="H10" s="847">
        <v>3145616</v>
      </c>
      <c r="I10" s="847">
        <v>2073881</v>
      </c>
      <c r="J10" s="847"/>
      <c r="K10" s="1769">
        <f>(H10+I10)-J10</f>
        <v>5219497</v>
      </c>
      <c r="L10" s="1769">
        <f>F10-K10</f>
        <v>18471473</v>
      </c>
    </row>
    <row r="11" spans="1:14" ht="13.5" thickTop="1" x14ac:dyDescent="0.2">
      <c r="A11" s="1632" t="s">
        <v>1135</v>
      </c>
      <c r="B11" s="1630">
        <v>250</v>
      </c>
      <c r="C11" s="781"/>
      <c r="D11" s="781"/>
      <c r="E11" s="781"/>
      <c r="F11" s="773"/>
      <c r="G11" s="843"/>
      <c r="H11" s="781"/>
      <c r="I11" s="781"/>
      <c r="J11" s="781"/>
      <c r="K11" s="773"/>
      <c r="L11" s="773"/>
    </row>
    <row r="12" spans="1:14" ht="13.5" thickBot="1" x14ac:dyDescent="0.25">
      <c r="A12" s="848" t="s">
        <v>1120</v>
      </c>
      <c r="B12" s="840">
        <v>251</v>
      </c>
      <c r="C12" s="844"/>
      <c r="D12" s="844"/>
      <c r="E12" s="844"/>
      <c r="F12" s="1760">
        <f>(C12+D12)-E12</f>
        <v>0</v>
      </c>
      <c r="G12" s="843">
        <v>10</v>
      </c>
      <c r="H12" s="765"/>
      <c r="I12" s="765"/>
      <c r="J12" s="765"/>
      <c r="K12" s="1769">
        <f>(H12+I12)-J12</f>
        <v>0</v>
      </c>
      <c r="L12" s="1769">
        <f>F12-K12</f>
        <v>0</v>
      </c>
    </row>
    <row r="13" spans="1:14" ht="14.25" thickTop="1" thickBot="1" x14ac:dyDescent="0.25">
      <c r="A13" s="848" t="s">
        <v>1121</v>
      </c>
      <c r="B13" s="840">
        <v>252</v>
      </c>
      <c r="C13" s="844">
        <v>18973243</v>
      </c>
      <c r="D13" s="844">
        <v>934636</v>
      </c>
      <c r="E13" s="844">
        <v>2372968</v>
      </c>
      <c r="F13" s="1760">
        <f>(C13+D13)-E13</f>
        <v>17534911</v>
      </c>
      <c r="G13" s="843">
        <v>5</v>
      </c>
      <c r="H13" s="765">
        <v>10891113</v>
      </c>
      <c r="I13" s="765">
        <v>2425418</v>
      </c>
      <c r="J13" s="765">
        <v>7757397</v>
      </c>
      <c r="K13" s="1769">
        <f>(H13+I13)-J13</f>
        <v>5559134</v>
      </c>
      <c r="L13" s="1769">
        <f>F13-K13</f>
        <v>11975777</v>
      </c>
    </row>
    <row r="14" spans="1:14" ht="14.25" thickTop="1" thickBot="1" x14ac:dyDescent="0.25">
      <c r="A14" s="848" t="s">
        <v>1122</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527</v>
      </c>
      <c r="B15" s="1630">
        <v>260</v>
      </c>
      <c r="C15" s="844">
        <v>7487139</v>
      </c>
      <c r="D15" s="844">
        <v>10308948</v>
      </c>
      <c r="E15" s="844">
        <v>1370936</v>
      </c>
      <c r="F15" s="1760">
        <f>(C15+D15)-E15</f>
        <v>16425151</v>
      </c>
      <c r="G15" s="849" t="s">
        <v>861</v>
      </c>
      <c r="H15" s="781"/>
      <c r="I15" s="781"/>
      <c r="J15" s="781"/>
      <c r="K15" s="781"/>
      <c r="L15" s="1769">
        <f>F15-K15</f>
        <v>16425151</v>
      </c>
    </row>
    <row r="16" spans="1:14" ht="15" customHeight="1" thickTop="1" thickBot="1" x14ac:dyDescent="0.25">
      <c r="A16" s="1765" t="s">
        <v>642</v>
      </c>
      <c r="B16" s="1766">
        <v>200</v>
      </c>
      <c r="C16" s="1760">
        <f>SUM(C3,C5:C6,C8:C10,C12:C15)</f>
        <v>252120674</v>
      </c>
      <c r="D16" s="1760">
        <f>SUM(D3,D5:D6,D8:D10,D12:D15)</f>
        <v>17273016</v>
      </c>
      <c r="E16" s="1760">
        <f>SUM(E3,E5:E6,E8:E10,E12:E15)</f>
        <v>33702573</v>
      </c>
      <c r="F16" s="1760">
        <f>SUM(F3,F5:F6,F8:F10,F12:F15)</f>
        <v>235691117</v>
      </c>
      <c r="G16" s="843"/>
      <c r="H16" s="1760">
        <f>SUM(H3,H6,H8:H10,H12:H14,)</f>
        <v>83549657</v>
      </c>
      <c r="I16" s="1760">
        <f>SUM(I3,I6,I8:I10,I12:I14,)</f>
        <v>8647541</v>
      </c>
      <c r="J16" s="1760">
        <f>SUM(J3,J6,J8:J10,J12:J14,)</f>
        <v>29286360</v>
      </c>
      <c r="K16" s="1760">
        <f>(H16+I16)-J16</f>
        <v>62910838</v>
      </c>
      <c r="L16" s="1760">
        <f>F16-K16</f>
        <v>172780279</v>
      </c>
    </row>
    <row r="17" spans="1:12" ht="15" customHeight="1" thickTop="1" thickBot="1" x14ac:dyDescent="0.25">
      <c r="A17" s="1633" t="s">
        <v>290</v>
      </c>
      <c r="B17" s="1630">
        <v>700</v>
      </c>
      <c r="C17" s="769"/>
      <c r="D17" s="769"/>
      <c r="E17" s="769"/>
      <c r="F17" s="1760">
        <f>SUM('Expenditures 15-22'!I114,'Expenditures 15-22'!I151,'Expenditures 15-22'!I210,'Expenditures 15-22'!I312,'Expenditures 15-22'!I342,'Expenditures 15-22'!I367)</f>
        <v>155565</v>
      </c>
      <c r="G17" s="837">
        <v>10</v>
      </c>
      <c r="H17" s="769"/>
      <c r="I17" s="1769">
        <f>F17/G17</f>
        <v>15556.5</v>
      </c>
      <c r="J17" s="769"/>
      <c r="K17" s="795"/>
      <c r="L17" s="795"/>
    </row>
    <row r="18" spans="1:12" ht="14.25" thickTop="1" thickBot="1" x14ac:dyDescent="0.25">
      <c r="A18" s="1767" t="s">
        <v>684</v>
      </c>
      <c r="B18" s="1768"/>
      <c r="C18" s="771"/>
      <c r="D18" s="771"/>
      <c r="E18" s="771"/>
      <c r="F18" s="850"/>
      <c r="G18" s="851"/>
      <c r="H18" s="773"/>
      <c r="I18" s="1760">
        <f>SUM(I16,I17)</f>
        <v>8663097.5</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sheetPr>
  <dimension ref="A1:H202"/>
  <sheetViews>
    <sheetView showGridLines="0" defaultGridColor="0" colorId="8" zoomScale="110" zoomScaleNormal="110" workbookViewId="0">
      <pane ySplit="5" topLeftCell="A160" activePane="bottomLeft" state="frozen"/>
      <selection activeCell="F179" sqref="F179"/>
      <selection pane="bottomLeft" activeCell="F172" sqref="F172"/>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315" t="s">
        <v>1969</v>
      </c>
      <c r="B1" s="2316"/>
      <c r="C1" s="2316"/>
      <c r="D1" s="2316"/>
      <c r="E1" s="2316"/>
      <c r="F1" s="2317"/>
      <c r="G1" s="855"/>
    </row>
    <row r="2" spans="1:7" ht="15" customHeight="1" thickBot="1" x14ac:dyDescent="0.25">
      <c r="A2" s="2318" t="s">
        <v>476</v>
      </c>
      <c r="B2" s="2319"/>
      <c r="C2" s="2319"/>
      <c r="D2" s="2319"/>
      <c r="E2" s="2319"/>
      <c r="F2" s="2320"/>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321"/>
      <c r="B5" s="2322"/>
      <c r="C5" s="2322"/>
      <c r="D5" s="2322"/>
      <c r="E5" s="2322"/>
      <c r="F5" s="2322"/>
    </row>
    <row r="6" spans="1:7" ht="13.5" customHeight="1" thickBot="1" x14ac:dyDescent="0.25">
      <c r="A6" s="2312" t="s">
        <v>1103</v>
      </c>
      <c r="B6" s="2313"/>
      <c r="C6" s="2313"/>
      <c r="D6" s="2313"/>
      <c r="E6" s="2313"/>
      <c r="F6" s="2314"/>
      <c r="G6" s="865"/>
    </row>
    <row r="7" spans="1:7" s="865" customFormat="1" ht="12" thickTop="1" x14ac:dyDescent="0.2">
      <c r="A7" s="866" t="s">
        <v>501</v>
      </c>
      <c r="B7" s="867"/>
      <c r="C7" s="868"/>
      <c r="D7" s="867"/>
      <c r="E7" s="868"/>
      <c r="F7" s="867"/>
    </row>
    <row r="8" spans="1:7" x14ac:dyDescent="0.2">
      <c r="A8" s="869" t="s">
        <v>458</v>
      </c>
      <c r="B8" s="870" t="s">
        <v>1467</v>
      </c>
      <c r="C8" s="871"/>
      <c r="D8" s="869" t="s">
        <v>500</v>
      </c>
      <c r="E8" s="868" t="s">
        <v>957</v>
      </c>
      <c r="F8" s="1908">
        <f>'Expenditures 15-22'!K114</f>
        <v>128559459</v>
      </c>
      <c r="G8" s="865"/>
    </row>
    <row r="9" spans="1:7" x14ac:dyDescent="0.2">
      <c r="A9" s="869" t="s">
        <v>459</v>
      </c>
      <c r="B9" s="870" t="s">
        <v>1872</v>
      </c>
      <c r="C9" s="871"/>
      <c r="D9" s="869" t="s">
        <v>500</v>
      </c>
      <c r="E9" s="868"/>
      <c r="F9" s="1909">
        <f>'Expenditures 15-22'!K151</f>
        <v>14922023</v>
      </c>
      <c r="G9" s="872"/>
    </row>
    <row r="10" spans="1:7" x14ac:dyDescent="0.2">
      <c r="A10" s="869" t="s">
        <v>498</v>
      </c>
      <c r="B10" s="870" t="s">
        <v>1873</v>
      </c>
      <c r="C10" s="871"/>
      <c r="D10" s="869" t="s">
        <v>500</v>
      </c>
      <c r="E10" s="868"/>
      <c r="F10" s="1909">
        <f>'Expenditures 15-22'!K174</f>
        <v>16196924</v>
      </c>
      <c r="G10" s="872"/>
    </row>
    <row r="11" spans="1:7" x14ac:dyDescent="0.2">
      <c r="A11" s="869" t="s">
        <v>460</v>
      </c>
      <c r="B11" s="870" t="s">
        <v>1874</v>
      </c>
      <c r="C11" s="871"/>
      <c r="D11" s="869" t="s">
        <v>500</v>
      </c>
      <c r="E11" s="868"/>
      <c r="F11" s="1909">
        <f>'Expenditures 15-22'!K210</f>
        <v>8371850</v>
      </c>
      <c r="G11" s="872"/>
    </row>
    <row r="12" spans="1:7" x14ac:dyDescent="0.2">
      <c r="A12" s="869" t="s">
        <v>461</v>
      </c>
      <c r="B12" s="870" t="s">
        <v>1875</v>
      </c>
      <c r="C12" s="871"/>
      <c r="D12" s="869" t="s">
        <v>500</v>
      </c>
      <c r="E12" s="868"/>
      <c r="F12" s="1909">
        <f>'Expenditures 15-22'!K295</f>
        <v>4234661</v>
      </c>
      <c r="G12" s="872"/>
    </row>
    <row r="13" spans="1:7" x14ac:dyDescent="0.2">
      <c r="A13" s="869" t="s">
        <v>106</v>
      </c>
      <c r="B13" s="870" t="s">
        <v>1876</v>
      </c>
      <c r="C13" s="871"/>
      <c r="D13" s="869" t="s">
        <v>500</v>
      </c>
      <c r="E13" s="868"/>
      <c r="F13" s="1909">
        <f>'Expenditures 15-22'!K342</f>
        <v>129633</v>
      </c>
      <c r="G13" s="873"/>
    </row>
    <row r="14" spans="1:7" ht="12" customHeight="1" thickBot="1" x14ac:dyDescent="0.25">
      <c r="A14" s="1770"/>
      <c r="B14" s="1771"/>
      <c r="C14" s="1772"/>
      <c r="D14" s="1773" t="s">
        <v>500</v>
      </c>
      <c r="E14" s="1774" t="s">
        <v>957</v>
      </c>
      <c r="F14" s="1775">
        <f>SUM(F8:F13)</f>
        <v>172414550</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910">
        <f>'Revenues 9-14'!F43</f>
        <v>0</v>
      </c>
      <c r="G18" s="865"/>
    </row>
    <row r="19" spans="1:7" x14ac:dyDescent="0.2">
      <c r="A19" s="869" t="s">
        <v>460</v>
      </c>
      <c r="B19" s="870" t="s">
        <v>1010</v>
      </c>
      <c r="C19" s="877">
        <f>'Revenues 9-14'!B47</f>
        <v>1421</v>
      </c>
      <c r="D19" s="878" t="str">
        <f>'Revenues 9-14'!A47</f>
        <v>Summer Sch - Transp. Fees from Pupils or Parents (In State)</v>
      </c>
      <c r="E19" s="879"/>
      <c r="F19" s="1911">
        <f>'Revenues 9-14'!F47</f>
        <v>0</v>
      </c>
      <c r="G19" s="865"/>
    </row>
    <row r="20" spans="1:7" x14ac:dyDescent="0.2">
      <c r="A20" s="869" t="s">
        <v>460</v>
      </c>
      <c r="B20" s="870" t="s">
        <v>1011</v>
      </c>
      <c r="C20" s="875">
        <f>'Revenues 9-14'!B48</f>
        <v>1422</v>
      </c>
      <c r="D20" s="876" t="str">
        <f>'Revenues 9-14'!A48</f>
        <v>Summer Sch - Transp. Fees from Other Districts (In State)</v>
      </c>
      <c r="E20" s="868"/>
      <c r="F20" s="1912">
        <f>'Revenues 9-14'!F48</f>
        <v>0</v>
      </c>
      <c r="G20" s="865"/>
    </row>
    <row r="21" spans="1:7" x14ac:dyDescent="0.2">
      <c r="A21" s="869" t="s">
        <v>460</v>
      </c>
      <c r="B21" s="870" t="s">
        <v>1012</v>
      </c>
      <c r="C21" s="877">
        <f>'Revenues 9-14'!B49</f>
        <v>1423</v>
      </c>
      <c r="D21" s="876" t="str">
        <f>'Revenues 9-14'!A49</f>
        <v>Summer Sch - Transp. Fees from Other Sources (In State)</v>
      </c>
      <c r="E21" s="868"/>
      <c r="F21" s="1913">
        <f>'Revenues 9-14'!F49</f>
        <v>0</v>
      </c>
      <c r="G21" s="865"/>
    </row>
    <row r="22" spans="1:7" x14ac:dyDescent="0.2">
      <c r="A22" s="869" t="s">
        <v>460</v>
      </c>
      <c r="B22" s="870" t="s">
        <v>1013</v>
      </c>
      <c r="C22" s="877">
        <f>'Revenues 9-14'!B50</f>
        <v>1424</v>
      </c>
      <c r="D22" s="876" t="str">
        <f>'Revenues 9-14'!A50</f>
        <v>Summer Sch - Transp. Fees from Other Sources (Out of State)</v>
      </c>
      <c r="E22" s="868"/>
      <c r="F22" s="1913">
        <f>'Revenues 9-14'!F50</f>
        <v>0</v>
      </c>
      <c r="G22" s="865"/>
    </row>
    <row r="23" spans="1:7" x14ac:dyDescent="0.2">
      <c r="A23" s="869" t="s">
        <v>460</v>
      </c>
      <c r="B23" s="870" t="s">
        <v>1014</v>
      </c>
      <c r="C23" s="875">
        <f>'Revenues 9-14'!B52</f>
        <v>1432</v>
      </c>
      <c r="D23" s="876" t="str">
        <f>'Revenues 9-14'!A52</f>
        <v>CTE - Transp Fees from Other Districts (In State)</v>
      </c>
      <c r="E23" s="868"/>
      <c r="F23" s="1913">
        <f>'Revenues 9-14'!F52</f>
        <v>0</v>
      </c>
      <c r="G23" s="865"/>
    </row>
    <row r="24" spans="1:7" x14ac:dyDescent="0.2">
      <c r="A24" s="869" t="s">
        <v>460</v>
      </c>
      <c r="B24" s="870" t="s">
        <v>1015</v>
      </c>
      <c r="C24" s="875">
        <f>'Revenues 9-14'!B56</f>
        <v>1442</v>
      </c>
      <c r="D24" s="876" t="str">
        <f>'Revenues 9-14'!A56</f>
        <v>Special Ed - Transp Fees from Other Districts (In State)</v>
      </c>
      <c r="E24" s="868"/>
      <c r="F24" s="1913">
        <f>'Revenues 9-14'!F56</f>
        <v>0</v>
      </c>
      <c r="G24" s="865"/>
    </row>
    <row r="25" spans="1:7" x14ac:dyDescent="0.2">
      <c r="A25" s="869" t="s">
        <v>460</v>
      </c>
      <c r="B25" s="870" t="s">
        <v>1016</v>
      </c>
      <c r="C25" s="875">
        <f>'Revenues 9-14'!B59</f>
        <v>1451</v>
      </c>
      <c r="D25" s="876" t="str">
        <f>'Revenues 9-14'!A59</f>
        <v>Adult - Transp Fees from Pupils or Parents (In State)</v>
      </c>
      <c r="E25" s="868"/>
      <c r="F25" s="1913">
        <f>'Revenues 9-14'!F59</f>
        <v>0</v>
      </c>
      <c r="G25" s="865"/>
    </row>
    <row r="26" spans="1:7" x14ac:dyDescent="0.2">
      <c r="A26" s="869" t="s">
        <v>460</v>
      </c>
      <c r="B26" s="870" t="s">
        <v>1017</v>
      </c>
      <c r="C26" s="875">
        <f>'Revenues 9-14'!B60</f>
        <v>1452</v>
      </c>
      <c r="D26" s="876" t="str">
        <f>'Revenues 9-14'!A60</f>
        <v>Adult - Transp Fees from Other Districts (In State)</v>
      </c>
      <c r="E26" s="868"/>
      <c r="F26" s="1913">
        <f>'Revenues 9-14'!F60</f>
        <v>0</v>
      </c>
      <c r="G26" s="865"/>
    </row>
    <row r="27" spans="1:7" x14ac:dyDescent="0.2">
      <c r="A27" s="869" t="s">
        <v>460</v>
      </c>
      <c r="B27" s="870" t="s">
        <v>1018</v>
      </c>
      <c r="C27" s="875">
        <f>'Revenues 9-14'!B61</f>
        <v>1453</v>
      </c>
      <c r="D27" s="876" t="str">
        <f>'Revenues 9-14'!A61</f>
        <v>Adult - Transp Fees from Other Sources (In State)</v>
      </c>
      <c r="E27" s="868"/>
      <c r="F27" s="1913">
        <f>'Revenues 9-14'!F61</f>
        <v>0</v>
      </c>
      <c r="G27" s="865"/>
    </row>
    <row r="28" spans="1:7" x14ac:dyDescent="0.2">
      <c r="A28" s="869" t="s">
        <v>460</v>
      </c>
      <c r="B28" s="870" t="s">
        <v>1019</v>
      </c>
      <c r="C28" s="875">
        <f>'Revenues 9-14'!B62</f>
        <v>1454</v>
      </c>
      <c r="D28" s="876" t="str">
        <f>'Revenues 9-14'!A62</f>
        <v>Adult - Transp Fees from Other Sources (Out of State)</v>
      </c>
      <c r="E28" s="868"/>
      <c r="F28" s="1913">
        <f>'Revenues 9-14'!F62</f>
        <v>0</v>
      </c>
      <c r="G28" s="865"/>
    </row>
    <row r="29" spans="1:7" x14ac:dyDescent="0.2">
      <c r="A29" s="869" t="s">
        <v>1096</v>
      </c>
      <c r="B29" s="870" t="s">
        <v>809</v>
      </c>
      <c r="C29" s="880">
        <f>'Revenues 9-14'!B149</f>
        <v>3410</v>
      </c>
      <c r="D29" s="881" t="str">
        <f>'Revenues 9-14'!A149</f>
        <v>Adult Ed (from ICCB)</v>
      </c>
      <c r="E29" s="868"/>
      <c r="F29" s="1913">
        <f>SUM('Revenues 9-14'!D149,'Revenues 9-14'!F149)</f>
        <v>0</v>
      </c>
      <c r="G29" s="865"/>
    </row>
    <row r="30" spans="1:7" x14ac:dyDescent="0.2">
      <c r="A30" s="869" t="s">
        <v>1096</v>
      </c>
      <c r="B30" s="870" t="s">
        <v>1993</v>
      </c>
      <c r="C30" s="880">
        <f>'Revenues 9-14'!B150</f>
        <v>3499</v>
      </c>
      <c r="D30" s="881" t="str">
        <f>'Revenues 9-14'!A150</f>
        <v>Adult Ed - Other (Describe &amp; Itemize)</v>
      </c>
      <c r="E30" s="868"/>
      <c r="F30" s="1914">
        <f>('Revenues 9-14'!D150+'Revenues 9-14'!F150)</f>
        <v>0</v>
      </c>
      <c r="G30" s="865"/>
    </row>
    <row r="31" spans="1:7" x14ac:dyDescent="0.2">
      <c r="A31" s="869" t="s">
        <v>1096</v>
      </c>
      <c r="B31" s="870" t="s">
        <v>1994</v>
      </c>
      <c r="C31" s="875">
        <f>'Revenues 9-14'!B211</f>
        <v>4600</v>
      </c>
      <c r="D31" s="883" t="str">
        <f>'Revenues 9-14'!A211</f>
        <v>Fed - Spec Education - Preschool Flow-Through</v>
      </c>
      <c r="E31" s="884"/>
      <c r="F31" s="1913">
        <f>SUM('Revenues 9-14'!D211,'Revenues 9-14'!F211)</f>
        <v>0</v>
      </c>
      <c r="G31" s="865"/>
    </row>
    <row r="32" spans="1:7" x14ac:dyDescent="0.2">
      <c r="A32" s="869" t="s">
        <v>1096</v>
      </c>
      <c r="B32" s="870" t="s">
        <v>1995</v>
      </c>
      <c r="C32" s="875">
        <f>'Revenues 9-14'!B212</f>
        <v>4605</v>
      </c>
      <c r="D32" s="885" t="str">
        <f>'Revenues 9-14'!A212</f>
        <v>Fed - Spec Education - Preschool Discretionary</v>
      </c>
      <c r="E32" s="884"/>
      <c r="F32" s="1913">
        <f>SUM('Revenues 9-14'!D212,'Revenues 9-14'!F212)</f>
        <v>0</v>
      </c>
      <c r="G32" s="865"/>
    </row>
    <row r="33" spans="1:7" x14ac:dyDescent="0.2">
      <c r="A33" s="869" t="s">
        <v>459</v>
      </c>
      <c r="B33" s="870" t="s">
        <v>1996</v>
      </c>
      <c r="C33" s="875">
        <f>'Revenues 9-14'!B222</f>
        <v>4810</v>
      </c>
      <c r="D33" s="883" t="str">
        <f>'Revenues 9-14'!A222</f>
        <v>Federal - Adult Education</v>
      </c>
      <c r="E33" s="868"/>
      <c r="F33" s="1913">
        <f>'Revenues 9-14'!D222</f>
        <v>0</v>
      </c>
      <c r="G33" s="865"/>
    </row>
    <row r="34" spans="1:7" x14ac:dyDescent="0.2">
      <c r="A34" s="869" t="s">
        <v>458</v>
      </c>
      <c r="B34" s="869" t="s">
        <v>1468</v>
      </c>
      <c r="C34" s="886" t="str">
        <f>'Expenditures 15-22'!B7</f>
        <v>1125</v>
      </c>
      <c r="D34" s="887" t="str">
        <f>'Expenditures 15-22'!A7</f>
        <v>Pre-K Programs</v>
      </c>
      <c r="E34" s="868"/>
      <c r="F34" s="1913">
        <f>'Expenditures 15-22'!K7-SUM('Expenditures 15-22'!G7,'Expenditures 15-22'!I7)</f>
        <v>2188864</v>
      </c>
      <c r="G34" s="865"/>
    </row>
    <row r="35" spans="1:7" x14ac:dyDescent="0.2">
      <c r="A35" s="869" t="s">
        <v>458</v>
      </c>
      <c r="B35" s="869" t="s">
        <v>1469</v>
      </c>
      <c r="C35" s="886" t="str">
        <f>'Expenditures 15-22'!B9</f>
        <v>1225</v>
      </c>
      <c r="D35" s="887" t="str">
        <f>'Expenditures 15-22'!A9</f>
        <v>Special Education Programs Pre-K</v>
      </c>
      <c r="E35" s="868"/>
      <c r="F35" s="1913">
        <f>'Expenditures 15-22'!K9-SUM('Expenditures 15-22'!G9+'Expenditures 15-22'!I9)</f>
        <v>110430</v>
      </c>
      <c r="G35" s="865"/>
    </row>
    <row r="36" spans="1:7" x14ac:dyDescent="0.2">
      <c r="A36" s="869" t="s">
        <v>458</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458</v>
      </c>
      <c r="B37" s="869" t="s">
        <v>1470</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458</v>
      </c>
      <c r="B38" s="869" t="s">
        <v>1471</v>
      </c>
      <c r="C38" s="886">
        <f>'Expenditures 15-22'!B15</f>
        <v>1600</v>
      </c>
      <c r="D38" s="888" t="str">
        <f>'Expenditures 15-22'!A15</f>
        <v>Summer School Programs</v>
      </c>
      <c r="E38" s="868"/>
      <c r="F38" s="1913">
        <f>'Expenditures 15-22'!K15-SUM('Expenditures 15-22'!G15,'Expenditures 15-22'!I15)</f>
        <v>338710</v>
      </c>
      <c r="G38" s="865"/>
    </row>
    <row r="39" spans="1:7" x14ac:dyDescent="0.2">
      <c r="A39" s="869" t="s">
        <v>458</v>
      </c>
      <c r="B39" s="869" t="s">
        <v>117</v>
      </c>
      <c r="C39" s="886" t="str">
        <f>'Expenditures 15-22'!B20</f>
        <v>1910</v>
      </c>
      <c r="D39" s="888" t="str">
        <f>'Expenditures 15-22'!A20</f>
        <v>Pre-K Programs - Private Tuition</v>
      </c>
      <c r="E39" s="868"/>
      <c r="F39" s="1913">
        <f>'Expenditures 15-22'!K20</f>
        <v>0</v>
      </c>
      <c r="G39" s="865"/>
    </row>
    <row r="40" spans="1:7" x14ac:dyDescent="0.2">
      <c r="A40" s="869" t="s">
        <v>458</v>
      </c>
      <c r="B40" s="869" t="s">
        <v>118</v>
      </c>
      <c r="C40" s="886" t="str">
        <f>'Expenditures 15-22'!B21</f>
        <v>1911</v>
      </c>
      <c r="D40" s="888" t="str">
        <f>'Expenditures 15-22'!A21</f>
        <v>Regular K-12 Programs - Private Tuition</v>
      </c>
      <c r="E40" s="868"/>
      <c r="F40" s="1913">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458</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458</v>
      </c>
      <c r="B46" s="869" t="s">
        <v>124</v>
      </c>
      <c r="C46" s="886" t="str">
        <f>'Expenditures 15-22'!B27</f>
        <v>1917</v>
      </c>
      <c r="D46" s="888" t="str">
        <f>'Expenditures 15-22'!A27</f>
        <v>CTE Programs - Private Tuition</v>
      </c>
      <c r="E46" s="868"/>
      <c r="F46" s="1913">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458</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458</v>
      </c>
      <c r="B49" s="869" t="s">
        <v>127</v>
      </c>
      <c r="C49" s="886" t="str">
        <f>'Expenditures 15-22'!B30</f>
        <v>1920</v>
      </c>
      <c r="D49" s="888" t="str">
        <f>'Expenditures 15-22'!A30</f>
        <v>Gifted Programs - Private Tuition</v>
      </c>
      <c r="E49" s="868"/>
      <c r="F49" s="1913">
        <f>'Expenditures 15-22'!K30</f>
        <v>0</v>
      </c>
      <c r="G49" s="865"/>
    </row>
    <row r="50" spans="1:7" x14ac:dyDescent="0.2">
      <c r="A50" s="869" t="s">
        <v>458</v>
      </c>
      <c r="B50" s="869" t="s">
        <v>128</v>
      </c>
      <c r="C50" s="886" t="str">
        <f>'Expenditures 15-22'!B31</f>
        <v>1921</v>
      </c>
      <c r="D50" s="888" t="str">
        <f>'Expenditures 15-22'!A31</f>
        <v>Bilingual Programs - Private Tuition</v>
      </c>
      <c r="E50" s="868"/>
      <c r="F50" s="1913">
        <f>'Expenditures 15-22'!K31</f>
        <v>0</v>
      </c>
      <c r="G50" s="865"/>
    </row>
    <row r="51" spans="1:7" x14ac:dyDescent="0.2">
      <c r="A51" s="869" t="s">
        <v>458</v>
      </c>
      <c r="B51" s="869" t="s">
        <v>1472</v>
      </c>
      <c r="C51" s="886" t="str">
        <f>'Expenditures 15-22'!B32</f>
        <v>1922</v>
      </c>
      <c r="D51" s="888" t="str">
        <f>'Expenditures 15-22'!A32</f>
        <v>Truants Alternative/Optional Ed Progms - Private Tuition</v>
      </c>
      <c r="E51" s="868"/>
      <c r="F51" s="1913">
        <f>'Expenditures 15-22'!K32</f>
        <v>0</v>
      </c>
      <c r="G51" s="865"/>
    </row>
    <row r="52" spans="1:7" x14ac:dyDescent="0.2">
      <c r="A52" s="869" t="s">
        <v>458</v>
      </c>
      <c r="B52" s="869" t="s">
        <v>1473</v>
      </c>
      <c r="C52" s="889" t="str">
        <f>'Expenditures 15-22'!B75</f>
        <v>3000</v>
      </c>
      <c r="D52" s="888" t="s">
        <v>448</v>
      </c>
      <c r="E52" s="868"/>
      <c r="F52" s="1913">
        <f>'Expenditures 15-22'!K75-SUM('Expenditures 15-22'!G75,'Expenditures 15-22'!I75)</f>
        <v>1078423</v>
      </c>
      <c r="G52" s="865"/>
    </row>
    <row r="53" spans="1:7" x14ac:dyDescent="0.2">
      <c r="A53" s="869" t="s">
        <v>458</v>
      </c>
      <c r="B53" s="869" t="s">
        <v>1474</v>
      </c>
      <c r="C53" s="889">
        <f>'Expenditures 15-22'!B102</f>
        <v>4000</v>
      </c>
      <c r="D53" s="888" t="str">
        <f>'Expenditures 15-22'!A102</f>
        <v>Total Payments to Other Govt Units</v>
      </c>
      <c r="E53" s="868"/>
      <c r="F53" s="1913">
        <f>'Expenditures 15-22'!K102</f>
        <v>7044930</v>
      </c>
      <c r="G53" s="865"/>
    </row>
    <row r="54" spans="1:7" x14ac:dyDescent="0.2">
      <c r="A54" s="869" t="s">
        <v>458</v>
      </c>
      <c r="B54" s="869" t="s">
        <v>1475</v>
      </c>
      <c r="C54" s="889" t="s">
        <v>981</v>
      </c>
      <c r="D54" s="885" t="s">
        <v>1094</v>
      </c>
      <c r="E54" s="868"/>
      <c r="F54" s="1913">
        <f>'Expenditures 15-22'!G114</f>
        <v>672359</v>
      </c>
      <c r="G54" s="865"/>
    </row>
    <row r="55" spans="1:7" x14ac:dyDescent="0.2">
      <c r="A55" s="869" t="s">
        <v>458</v>
      </c>
      <c r="B55" s="869" t="s">
        <v>1476</v>
      </c>
      <c r="C55" s="889" t="s">
        <v>981</v>
      </c>
      <c r="D55" s="885" t="s">
        <v>290</v>
      </c>
      <c r="E55" s="868"/>
      <c r="F55" s="1913">
        <f>'Expenditures 15-22'!I114</f>
        <v>35428</v>
      </c>
      <c r="G55" s="865"/>
    </row>
    <row r="56" spans="1:7" x14ac:dyDescent="0.2">
      <c r="A56" s="869" t="s">
        <v>459</v>
      </c>
      <c r="B56" s="869" t="s">
        <v>1477</v>
      </c>
      <c r="C56" s="886" t="str">
        <f>'Expenditures 15-22'!B130</f>
        <v>3000</v>
      </c>
      <c r="D56" s="892" t="s">
        <v>448</v>
      </c>
      <c r="E56" s="868"/>
      <c r="F56" s="1913">
        <f>'Expenditures 15-22'!K130-SUM('Expenditures 15-22'!G130+'Expenditures 15-22'!I130)</f>
        <v>0</v>
      </c>
      <c r="G56" s="865"/>
    </row>
    <row r="57" spans="1:7" x14ac:dyDescent="0.2">
      <c r="A57" s="869" t="s">
        <v>459</v>
      </c>
      <c r="B57" s="869" t="s">
        <v>1877</v>
      </c>
      <c r="C57" s="889">
        <f>'Expenditures 15-22'!B139</f>
        <v>4000</v>
      </c>
      <c r="D57" s="887" t="str">
        <f>'Expenditures 15-22'!A139</f>
        <v>Total Payments to Other Govt Units</v>
      </c>
      <c r="E57" s="868"/>
      <c r="F57" s="1913">
        <f>'Expenditures 15-22'!K139</f>
        <v>0</v>
      </c>
      <c r="G57" s="865"/>
    </row>
    <row r="58" spans="1:7" x14ac:dyDescent="0.2">
      <c r="A58" s="869" t="s">
        <v>459</v>
      </c>
      <c r="B58" s="869" t="s">
        <v>1878</v>
      </c>
      <c r="C58" s="886" t="s">
        <v>981</v>
      </c>
      <c r="D58" s="885" t="s">
        <v>1094</v>
      </c>
      <c r="E58" s="868"/>
      <c r="F58" s="1915">
        <f>'Expenditures 15-22'!G151</f>
        <v>3529487</v>
      </c>
      <c r="G58" s="865"/>
    </row>
    <row r="59" spans="1:7" x14ac:dyDescent="0.2">
      <c r="A59" s="893" t="s">
        <v>459</v>
      </c>
      <c r="B59" s="856" t="s">
        <v>1879</v>
      </c>
      <c r="C59" s="894" t="s">
        <v>981</v>
      </c>
      <c r="D59" s="856" t="s">
        <v>290</v>
      </c>
      <c r="F59" s="1916">
        <f>'Expenditures 15-22'!I151</f>
        <v>120137</v>
      </c>
      <c r="G59" s="865"/>
    </row>
    <row r="60" spans="1:7" x14ac:dyDescent="0.2">
      <c r="A60" s="893" t="s">
        <v>498</v>
      </c>
      <c r="B60" s="856" t="s">
        <v>1880</v>
      </c>
      <c r="C60" s="894">
        <v>4000</v>
      </c>
      <c r="D60" s="856" t="s">
        <v>311</v>
      </c>
      <c r="F60" s="1914">
        <f>'Expenditures 15-22'!K160</f>
        <v>0</v>
      </c>
      <c r="G60" s="865"/>
    </row>
    <row r="61" spans="1:7" x14ac:dyDescent="0.2">
      <c r="A61" s="895" t="s">
        <v>498</v>
      </c>
      <c r="B61" s="895" t="s">
        <v>1881</v>
      </c>
      <c r="C61" s="896" t="str">
        <f>'Expenditures 15-22'!B170</f>
        <v>5300</v>
      </c>
      <c r="D61" s="897" t="s">
        <v>310</v>
      </c>
      <c r="E61" s="879"/>
      <c r="F61" s="1913">
        <f>'Expenditures 15-22'!K170</f>
        <v>9965000</v>
      </c>
      <c r="G61" s="865"/>
    </row>
    <row r="62" spans="1:7" x14ac:dyDescent="0.2">
      <c r="A62" s="869" t="s">
        <v>460</v>
      </c>
      <c r="B62" s="869" t="s">
        <v>1882</v>
      </c>
      <c r="C62" s="886">
        <f>'Expenditures 15-22'!B185</f>
        <v>3000</v>
      </c>
      <c r="D62" s="876" t="s">
        <v>448</v>
      </c>
      <c r="E62" s="868"/>
      <c r="F62" s="1913">
        <f>'Expenditures 15-22'!K185-SUM('Expenditures 15-22'!G185,'Expenditures 15-22'!I185)</f>
        <v>0</v>
      </c>
      <c r="G62" s="865"/>
    </row>
    <row r="63" spans="1:7" x14ac:dyDescent="0.2">
      <c r="A63" s="869" t="s">
        <v>460</v>
      </c>
      <c r="B63" s="869" t="s">
        <v>1883</v>
      </c>
      <c r="C63" s="886" t="str">
        <f>'Expenditures 15-22'!B196</f>
        <v>4000</v>
      </c>
      <c r="D63" s="887" t="str">
        <f>'Expenditures 15-22'!A196</f>
        <v>Total Payments to Other Govt Units</v>
      </c>
      <c r="E63" s="868"/>
      <c r="F63" s="1913">
        <f>'Expenditures 15-22'!K196</f>
        <v>0</v>
      </c>
      <c r="G63" s="865"/>
    </row>
    <row r="64" spans="1:7" x14ac:dyDescent="0.2">
      <c r="A64" s="895" t="s">
        <v>460</v>
      </c>
      <c r="B64" s="895" t="s">
        <v>1884</v>
      </c>
      <c r="C64" s="896" t="str">
        <f>'Expenditures 15-22'!B206</f>
        <v>5300</v>
      </c>
      <c r="D64" s="892" t="s">
        <v>310</v>
      </c>
      <c r="E64" s="868"/>
      <c r="F64" s="1913">
        <f>'Expenditures 15-22'!K206</f>
        <v>1050295</v>
      </c>
      <c r="G64" s="865"/>
    </row>
    <row r="65" spans="1:8" x14ac:dyDescent="0.2">
      <c r="A65" s="869" t="s">
        <v>460</v>
      </c>
      <c r="B65" s="869" t="s">
        <v>1885</v>
      </c>
      <c r="C65" s="886" t="s">
        <v>981</v>
      </c>
      <c r="D65" s="885" t="s">
        <v>1094</v>
      </c>
      <c r="E65" s="868"/>
      <c r="F65" s="1913">
        <f>'Expenditures 15-22'!G210</f>
        <v>0</v>
      </c>
      <c r="G65" s="865"/>
    </row>
    <row r="66" spans="1:8" x14ac:dyDescent="0.2">
      <c r="A66" s="869" t="s">
        <v>460</v>
      </c>
      <c r="B66" s="869" t="s">
        <v>1886</v>
      </c>
      <c r="C66" s="886" t="s">
        <v>981</v>
      </c>
      <c r="D66" s="885" t="s">
        <v>290</v>
      </c>
      <c r="E66" s="868"/>
      <c r="F66" s="1913">
        <f>'Expenditures 15-22'!I210</f>
        <v>0</v>
      </c>
      <c r="G66" s="865"/>
    </row>
    <row r="67" spans="1:8" x14ac:dyDescent="0.2">
      <c r="A67" s="869" t="s">
        <v>461</v>
      </c>
      <c r="B67" s="869" t="s">
        <v>1887</v>
      </c>
      <c r="C67" s="886" t="str">
        <f>'Expenditures 15-22'!B216</f>
        <v>1125</v>
      </c>
      <c r="D67" s="892" t="str">
        <f>'Expenditures 15-22'!A216</f>
        <v>Pre-K Programs</v>
      </c>
      <c r="E67" s="868"/>
      <c r="F67" s="1913">
        <f>'Expenditures 15-22'!K216</f>
        <v>85077</v>
      </c>
      <c r="G67" s="865"/>
    </row>
    <row r="68" spans="1:8" x14ac:dyDescent="0.2">
      <c r="A68" s="869" t="s">
        <v>461</v>
      </c>
      <c r="B68" s="869" t="s">
        <v>1478</v>
      </c>
      <c r="C68" s="886" t="str">
        <f>'Expenditures 15-22'!B218</f>
        <v>1225</v>
      </c>
      <c r="D68" s="892" t="str">
        <f>'Expenditures 15-22'!A218</f>
        <v>Special Education Programs - Pre-K</v>
      </c>
      <c r="E68" s="868"/>
      <c r="F68" s="1913">
        <f>'Expenditures 15-22'!K218</f>
        <v>0</v>
      </c>
      <c r="G68" s="865"/>
    </row>
    <row r="69" spans="1:8" x14ac:dyDescent="0.2">
      <c r="A69" s="869" t="s">
        <v>461</v>
      </c>
      <c r="B69" s="869" t="s">
        <v>1888</v>
      </c>
      <c r="C69" s="886" t="str">
        <f>'Expenditures 15-22'!B220</f>
        <v>1275</v>
      </c>
      <c r="D69" s="892" t="str">
        <f>'Expenditures 15-22'!A220</f>
        <v>Remedial and Supplemental Programs - Pre-K</v>
      </c>
      <c r="E69" s="868"/>
      <c r="F69" s="1913">
        <f>'Expenditures 15-22'!K220</f>
        <v>0</v>
      </c>
      <c r="G69" s="865"/>
    </row>
    <row r="70" spans="1:8" x14ac:dyDescent="0.2">
      <c r="A70" s="869" t="s">
        <v>461</v>
      </c>
      <c r="B70" s="869" t="s">
        <v>1889</v>
      </c>
      <c r="C70" s="886">
        <f>'Expenditures 15-22'!B221</f>
        <v>1300</v>
      </c>
      <c r="D70" s="887" t="str">
        <f>'Expenditures 15-22'!A221</f>
        <v>Adult/Continuing Education Programs</v>
      </c>
      <c r="E70" s="868"/>
      <c r="F70" s="1913">
        <f>'Expenditures 15-22'!K221</f>
        <v>0</v>
      </c>
      <c r="G70" s="865"/>
    </row>
    <row r="71" spans="1:8" x14ac:dyDescent="0.2">
      <c r="A71" s="869" t="s">
        <v>461</v>
      </c>
      <c r="B71" s="869" t="s">
        <v>1890</v>
      </c>
      <c r="C71" s="886">
        <f>'Expenditures 15-22'!B224</f>
        <v>1600</v>
      </c>
      <c r="D71" s="887" t="str">
        <f>'Expenditures 15-22'!A224</f>
        <v>Summer School Programs</v>
      </c>
      <c r="E71" s="868"/>
      <c r="F71" s="1913">
        <f>'Expenditures 15-22'!K224</f>
        <v>18109</v>
      </c>
      <c r="G71" s="865"/>
    </row>
    <row r="72" spans="1:8" x14ac:dyDescent="0.2">
      <c r="A72" s="869" t="s">
        <v>461</v>
      </c>
      <c r="B72" s="869" t="s">
        <v>1891</v>
      </c>
      <c r="C72" s="886">
        <f>'Expenditures 15-22'!B280</f>
        <v>3000</v>
      </c>
      <c r="D72" s="876" t="s">
        <v>448</v>
      </c>
      <c r="E72" s="868"/>
      <c r="F72" s="1913">
        <f>'Expenditures 15-22'!K280</f>
        <v>87240</v>
      </c>
      <c r="G72" s="865"/>
    </row>
    <row r="73" spans="1:8" x14ac:dyDescent="0.2">
      <c r="A73" s="869" t="s">
        <v>461</v>
      </c>
      <c r="B73" s="869" t="s">
        <v>1892</v>
      </c>
      <c r="C73" s="886" t="str">
        <f>'Expenditures 15-22'!B285</f>
        <v>4000</v>
      </c>
      <c r="D73" s="887" t="str">
        <f>'Expenditures 15-22'!A285</f>
        <v>Total Payments to Other Govt Units</v>
      </c>
      <c r="E73" s="868"/>
      <c r="F73" s="1913">
        <f>'Expenditures 15-22'!K285</f>
        <v>0</v>
      </c>
      <c r="G73" s="865"/>
    </row>
    <row r="74" spans="1:8" x14ac:dyDescent="0.2">
      <c r="A74" s="869" t="s">
        <v>435</v>
      </c>
      <c r="B74" s="869" t="s">
        <v>1893</v>
      </c>
      <c r="C74" s="886" t="s">
        <v>859</v>
      </c>
      <c r="D74" s="887" t="s">
        <v>1486</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1894</v>
      </c>
      <c r="E76" s="1774" t="s">
        <v>957</v>
      </c>
      <c r="F76" s="1778">
        <f>SUM(F18:F74)</f>
        <v>26324489</v>
      </c>
      <c r="G76" s="865"/>
    </row>
    <row r="77" spans="1:8" s="893" customFormat="1" ht="12" customHeight="1" thickTop="1" thickBot="1" x14ac:dyDescent="0.25">
      <c r="A77" s="1779"/>
      <c r="B77" s="1776"/>
      <c r="C77" s="1772"/>
      <c r="D77" s="1777" t="s">
        <v>1895</v>
      </c>
      <c r="E77" s="1774"/>
      <c r="F77" s="1780">
        <f>(F14-F76)</f>
        <v>146090061</v>
      </c>
      <c r="G77" s="869"/>
    </row>
    <row r="78" spans="1:8" s="893" customFormat="1" ht="12" customHeight="1" thickTop="1" x14ac:dyDescent="0.2">
      <c r="A78" s="1781"/>
      <c r="B78" s="1776"/>
      <c r="C78" s="1772"/>
      <c r="D78" s="1777" t="s">
        <v>2056</v>
      </c>
      <c r="E78" s="1774"/>
      <c r="F78" s="898">
        <v>11614</v>
      </c>
      <c r="G78" s="899"/>
      <c r="H78" s="869"/>
    </row>
    <row r="79" spans="1:8" s="893" customFormat="1" ht="12" customHeight="1" thickBot="1" x14ac:dyDescent="0.25">
      <c r="A79" s="1782"/>
      <c r="B79" s="1776"/>
      <c r="C79" s="1772"/>
      <c r="D79" s="1777" t="s">
        <v>1896</v>
      </c>
      <c r="E79" s="1774" t="s">
        <v>957</v>
      </c>
      <c r="F79" s="1783">
        <f>IF(F78&gt;0,F77/F78," Complete Line 78")</f>
        <v>12578.789478215946</v>
      </c>
      <c r="G79" s="869"/>
    </row>
    <row r="80" spans="1:8" s="893" customFormat="1" ht="8.25" customHeight="1" thickTop="1" x14ac:dyDescent="0.2">
      <c r="A80" s="900"/>
      <c r="B80" s="869"/>
      <c r="C80" s="871"/>
      <c r="D80" s="901"/>
      <c r="E80" s="868"/>
      <c r="F80" s="902"/>
      <c r="G80" s="869"/>
    </row>
    <row r="81" spans="1:7" s="893" customFormat="1" ht="12" thickBot="1" x14ac:dyDescent="0.25">
      <c r="A81" s="2312" t="s">
        <v>1104</v>
      </c>
      <c r="B81" s="2313"/>
      <c r="C81" s="2313"/>
      <c r="D81" s="2313"/>
      <c r="E81" s="2313"/>
      <c r="F81" s="2314"/>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907">
        <f>'Revenues 9-14'!F42</f>
        <v>0</v>
      </c>
      <c r="G84" s="912"/>
    </row>
    <row r="85" spans="1:7" x14ac:dyDescent="0.2">
      <c r="A85" s="908" t="s">
        <v>460</v>
      </c>
      <c r="B85" s="908" t="s">
        <v>183</v>
      </c>
      <c r="C85" s="913">
        <f>'Revenues 9-14'!B44</f>
        <v>1413</v>
      </c>
      <c r="D85" s="911" t="str">
        <f>'Revenues 9-14'!A44</f>
        <v>Regular - Transp Fees from Other Sources (In State)</v>
      </c>
      <c r="E85" s="906"/>
      <c r="F85" s="1789">
        <f>'Revenues 9-14'!F44</f>
        <v>0</v>
      </c>
      <c r="G85" s="914"/>
    </row>
    <row r="86" spans="1:7" x14ac:dyDescent="0.2">
      <c r="A86" s="908" t="s">
        <v>460</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460</v>
      </c>
      <c r="B87" s="908" t="s">
        <v>167</v>
      </c>
      <c r="C87" s="910">
        <v>1416</v>
      </c>
      <c r="D87" s="911" t="str">
        <f>'Revenues 9-14'!A46</f>
        <v>Regular Transp Fees from Other Sources (Out of State)</v>
      </c>
      <c r="E87" s="906"/>
      <c r="F87" s="1789">
        <f>'Revenues 9-14'!F46</f>
        <v>0</v>
      </c>
      <c r="G87" s="914"/>
    </row>
    <row r="88" spans="1:7" x14ac:dyDescent="0.2">
      <c r="A88" s="908" t="s">
        <v>460</v>
      </c>
      <c r="B88" s="908" t="s">
        <v>168</v>
      </c>
      <c r="C88" s="910">
        <f>'Revenues 9-14'!B51</f>
        <v>1431</v>
      </c>
      <c r="D88" s="911" t="str">
        <f>'Revenues 9-14'!A51</f>
        <v>CTE - Transp Fees from Pupils or Parents (In State)</v>
      </c>
      <c r="E88" s="906"/>
      <c r="F88" s="1789">
        <f>'Revenues 9-14'!F51</f>
        <v>0</v>
      </c>
      <c r="G88" s="914"/>
    </row>
    <row r="89" spans="1:7" x14ac:dyDescent="0.2">
      <c r="A89" s="908" t="s">
        <v>460</v>
      </c>
      <c r="B89" s="908" t="s">
        <v>169</v>
      </c>
      <c r="C89" s="910">
        <f>'Revenues 9-14'!B53</f>
        <v>1433</v>
      </c>
      <c r="D89" s="911" t="str">
        <f>'Revenues 9-14'!A53</f>
        <v>CTE - Transp Fees from Other Sources (In State)</v>
      </c>
      <c r="E89" s="906"/>
      <c r="F89" s="1789">
        <f>'Revenues 9-14'!F53</f>
        <v>0</v>
      </c>
      <c r="G89" s="914"/>
    </row>
    <row r="90" spans="1:7" x14ac:dyDescent="0.2">
      <c r="A90" s="908" t="s">
        <v>460</v>
      </c>
      <c r="B90" s="908" t="s">
        <v>170</v>
      </c>
      <c r="C90" s="910">
        <f>'Revenues 9-14'!B54</f>
        <v>1434</v>
      </c>
      <c r="D90" s="911" t="str">
        <f>'Revenues 9-14'!A54</f>
        <v>CTE - Transp Fees from Other Sources (Out of State)</v>
      </c>
      <c r="E90" s="906"/>
      <c r="F90" s="1789">
        <f>'Revenues 9-14'!F54</f>
        <v>0</v>
      </c>
      <c r="G90" s="914"/>
    </row>
    <row r="91" spans="1:7" x14ac:dyDescent="0.2">
      <c r="A91" s="908" t="s">
        <v>460</v>
      </c>
      <c r="B91" s="908" t="s">
        <v>171</v>
      </c>
      <c r="C91" s="915">
        <f>'Revenues 9-14'!B55</f>
        <v>1441</v>
      </c>
      <c r="D91" s="911" t="str">
        <f>'Revenues 9-14'!A55</f>
        <v>Special Ed - Transp Fees from Pupils or Parents (In State)</v>
      </c>
      <c r="E91" s="906"/>
      <c r="F91" s="1789">
        <f>'Revenues 9-14'!F55</f>
        <v>0</v>
      </c>
      <c r="G91" s="914"/>
    </row>
    <row r="92" spans="1:7" x14ac:dyDescent="0.2">
      <c r="A92" s="908" t="s">
        <v>460</v>
      </c>
      <c r="B92" s="908" t="s">
        <v>172</v>
      </c>
      <c r="C92" s="910">
        <f>'Revenues 9-14'!B57</f>
        <v>1443</v>
      </c>
      <c r="D92" s="911" t="str">
        <f>'Revenues 9-14'!A57</f>
        <v>Special Ed - Transp Fees from Other Sources (In State)</v>
      </c>
      <c r="E92" s="906"/>
      <c r="F92" s="1789">
        <f>'Revenues 9-14'!F57</f>
        <v>0</v>
      </c>
      <c r="G92" s="916"/>
    </row>
    <row r="93" spans="1:7" x14ac:dyDescent="0.2">
      <c r="A93" s="908" t="s">
        <v>460</v>
      </c>
      <c r="B93" s="908" t="s">
        <v>173</v>
      </c>
      <c r="C93" s="910">
        <f>'Revenues 9-14'!B58</f>
        <v>1444</v>
      </c>
      <c r="D93" s="911" t="str">
        <f>'Revenues 9-14'!A58</f>
        <v>Special Ed - Transp Fees from Other Sources (Out of State)</v>
      </c>
      <c r="E93" s="906"/>
      <c r="F93" s="1789">
        <f>'Revenues 9-14'!F58</f>
        <v>0</v>
      </c>
      <c r="G93" s="916"/>
    </row>
    <row r="94" spans="1:7" x14ac:dyDescent="0.2">
      <c r="A94" s="908" t="s">
        <v>458</v>
      </c>
      <c r="B94" s="908" t="s">
        <v>174</v>
      </c>
      <c r="C94" s="910">
        <v>1600</v>
      </c>
      <c r="D94" s="917" t="str">
        <f>'Revenues 9-14'!A75</f>
        <v>Total Food Service</v>
      </c>
      <c r="E94" s="906"/>
      <c r="F94" s="1789">
        <f>'Revenues 9-14'!C75</f>
        <v>723119</v>
      </c>
      <c r="G94" s="912"/>
    </row>
    <row r="95" spans="1:7" x14ac:dyDescent="0.2">
      <c r="A95" s="908" t="s">
        <v>140</v>
      </c>
      <c r="B95" s="908" t="s">
        <v>175</v>
      </c>
      <c r="C95" s="910">
        <v>1700</v>
      </c>
      <c r="D95" s="918" t="str">
        <f>'Revenues 9-14'!A82</f>
        <v>Total District/School Activity Income</v>
      </c>
      <c r="E95" s="906"/>
      <c r="F95" s="1789">
        <f>SUM('Revenues 9-14'!C82,'Revenues 9-14'!D82)</f>
        <v>415129</v>
      </c>
      <c r="G95" s="912"/>
    </row>
    <row r="96" spans="1:7" x14ac:dyDescent="0.2">
      <c r="A96" s="908" t="s">
        <v>458</v>
      </c>
      <c r="B96" s="908" t="s">
        <v>176</v>
      </c>
      <c r="C96" s="910">
        <f>'Revenues 9-14'!B84</f>
        <v>1811</v>
      </c>
      <c r="D96" s="911" t="str">
        <f>'Revenues 9-14'!A84</f>
        <v>Rentals - Regular Textbooks</v>
      </c>
      <c r="E96" s="906"/>
      <c r="F96" s="1789">
        <f>'Revenues 9-14'!C84</f>
        <v>810186</v>
      </c>
      <c r="G96" s="912"/>
    </row>
    <row r="97" spans="1:7" x14ac:dyDescent="0.2">
      <c r="A97" s="908" t="s">
        <v>458</v>
      </c>
      <c r="B97" s="908" t="s">
        <v>177</v>
      </c>
      <c r="C97" s="910">
        <f>'Revenues 9-14'!B87</f>
        <v>1819</v>
      </c>
      <c r="D97" s="911" t="str">
        <f>'Revenues 9-14'!A87</f>
        <v>Rentals - Other (Describe &amp; Itemize)</v>
      </c>
      <c r="E97" s="906"/>
      <c r="F97" s="1789">
        <f>'Revenues 9-14'!C87</f>
        <v>0</v>
      </c>
      <c r="G97" s="912"/>
    </row>
    <row r="98" spans="1:7" x14ac:dyDescent="0.2">
      <c r="A98" s="908" t="s">
        <v>458</v>
      </c>
      <c r="B98" s="908" t="s">
        <v>178</v>
      </c>
      <c r="C98" s="910">
        <f>'Revenues 9-14'!B88</f>
        <v>1821</v>
      </c>
      <c r="D98" s="911" t="str">
        <f>'Revenues 9-14'!A88</f>
        <v>Sales - Regular Textbooks</v>
      </c>
      <c r="E98" s="906"/>
      <c r="F98" s="1789">
        <f>'Revenues 9-14'!C88</f>
        <v>0</v>
      </c>
      <c r="G98" s="912"/>
    </row>
    <row r="99" spans="1:7" x14ac:dyDescent="0.2">
      <c r="A99" s="908" t="s">
        <v>458</v>
      </c>
      <c r="B99" s="908" t="s">
        <v>179</v>
      </c>
      <c r="C99" s="910">
        <f>'Revenues 9-14'!B91</f>
        <v>1829</v>
      </c>
      <c r="D99" s="911" t="str">
        <f>'Revenues 9-14'!A91</f>
        <v>Sales - Other (Describe &amp; Itemize)</v>
      </c>
      <c r="E99" s="906"/>
      <c r="F99" s="1789">
        <f>'Revenues 9-14'!C91</f>
        <v>0</v>
      </c>
      <c r="G99" s="912"/>
    </row>
    <row r="100" spans="1:7" x14ac:dyDescent="0.2">
      <c r="A100" s="908" t="s">
        <v>458</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192980</v>
      </c>
      <c r="G101" s="912"/>
    </row>
    <row r="102" spans="1:7" x14ac:dyDescent="0.2">
      <c r="A102" s="908" t="s">
        <v>502</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458</v>
      </c>
      <c r="B104" s="908" t="s">
        <v>807</v>
      </c>
      <c r="C104" s="910">
        <f>'Revenues 9-14'!B106</f>
        <v>1993</v>
      </c>
      <c r="D104" s="911" t="str">
        <f>'Revenues 9-14'!A106</f>
        <v>Other Local Fees (Describe &amp; Itemize)</v>
      </c>
      <c r="E104" s="906"/>
      <c r="F104" s="1789">
        <f>('Revenues 9-14'!C106)</f>
        <v>0</v>
      </c>
      <c r="G104" s="912"/>
    </row>
    <row r="105" spans="1:7" x14ac:dyDescent="0.2">
      <c r="A105" s="908" t="s">
        <v>502</v>
      </c>
      <c r="B105" s="908" t="s">
        <v>1997</v>
      </c>
      <c r="C105" s="913">
        <v>3100</v>
      </c>
      <c r="D105" s="919" t="str">
        <f>'Revenues 9-14'!A132</f>
        <v>Total Special Education</v>
      </c>
      <c r="E105" s="906"/>
      <c r="F105" s="1789">
        <f>SUM('Revenues 9-14'!C132:D132,'Revenues 9-14'!F132)</f>
        <v>2309562</v>
      </c>
      <c r="G105" s="912"/>
    </row>
    <row r="106" spans="1:7" x14ac:dyDescent="0.2">
      <c r="A106" s="908" t="s">
        <v>672</v>
      </c>
      <c r="B106" s="908" t="s">
        <v>1998</v>
      </c>
      <c r="C106" s="920">
        <v>3200</v>
      </c>
      <c r="D106" s="911" t="str">
        <f>'Revenues 9-14'!A141</f>
        <v>Total Career and Technical Education</v>
      </c>
      <c r="E106" s="906"/>
      <c r="F106" s="1789">
        <f>SUM('Revenues 9-14'!C141,'Revenues 9-14'!D141,'Revenues 9-14'!G141)</f>
        <v>89635</v>
      </c>
      <c r="G106" s="912"/>
    </row>
    <row r="107" spans="1:7" x14ac:dyDescent="0.2">
      <c r="A107" s="921" t="s">
        <v>663</v>
      </c>
      <c r="B107" s="908" t="s">
        <v>1999</v>
      </c>
      <c r="C107" s="920">
        <v>3300</v>
      </c>
      <c r="D107" s="911" t="str">
        <f>'Revenues 9-14'!A145</f>
        <v>Total Bilingual Ed</v>
      </c>
      <c r="E107" s="906"/>
      <c r="F107" s="1789">
        <f>SUM('Revenues 9-14'!C145,'Revenues 9-14'!G145)</f>
        <v>0</v>
      </c>
      <c r="G107" s="912"/>
    </row>
    <row r="108" spans="1:7" x14ac:dyDescent="0.2">
      <c r="A108" s="908" t="s">
        <v>458</v>
      </c>
      <c r="B108" s="908" t="s">
        <v>2000</v>
      </c>
      <c r="C108" s="920">
        <f>'Revenues 9-14'!B146</f>
        <v>3360</v>
      </c>
      <c r="D108" s="911" t="str">
        <f>'Revenues 9-14'!A146</f>
        <v>State Free Lunch &amp; Breakfast</v>
      </c>
      <c r="E108" s="906"/>
      <c r="F108" s="1789">
        <f>'Revenues 9-14'!C146</f>
        <v>86490</v>
      </c>
      <c r="G108" s="912"/>
    </row>
    <row r="109" spans="1:7" x14ac:dyDescent="0.2">
      <c r="A109" s="908" t="s">
        <v>672</v>
      </c>
      <c r="B109" s="908" t="s">
        <v>2001</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2002</v>
      </c>
      <c r="C110" s="920">
        <f>'Revenues 9-14'!B148</f>
        <v>3370</v>
      </c>
      <c r="D110" s="911" t="str">
        <f>'Revenues 9-14'!A148</f>
        <v>Driver Education</v>
      </c>
      <c r="E110" s="906"/>
      <c r="F110" s="1789">
        <f>SUM('Revenues 9-14'!C148,'Revenues 9-14'!D148)</f>
        <v>82167</v>
      </c>
      <c r="G110" s="912"/>
    </row>
    <row r="111" spans="1:7" x14ac:dyDescent="0.2">
      <c r="A111" s="908" t="s">
        <v>667</v>
      </c>
      <c r="B111" s="908" t="s">
        <v>2003</v>
      </c>
      <c r="C111" s="922">
        <v>3500</v>
      </c>
      <c r="D111" s="911" t="str">
        <f>'Revenues 9-14'!A155</f>
        <v>Total Transportation</v>
      </c>
      <c r="E111" s="906"/>
      <c r="F111" s="1789">
        <f>SUM('Revenues 9-14'!C155,'Revenues 9-14'!D155,'Revenues 9-14'!F155,'Revenues 9-14'!G155)</f>
        <v>5844056</v>
      </c>
      <c r="G111" s="912"/>
    </row>
    <row r="112" spans="1:7" x14ac:dyDescent="0.2">
      <c r="A112" s="908" t="s">
        <v>458</v>
      </c>
      <c r="B112" s="908" t="s">
        <v>2004</v>
      </c>
      <c r="C112" s="920">
        <f>'Revenues 9-14'!B156</f>
        <v>3610</v>
      </c>
      <c r="D112" s="911" t="str">
        <f>'Revenues 9-14'!A156</f>
        <v>Learning Improvement - Change Grants</v>
      </c>
      <c r="E112" s="906"/>
      <c r="F112" s="1789">
        <f>'Revenues 9-14'!C156</f>
        <v>0</v>
      </c>
      <c r="G112" s="912"/>
    </row>
    <row r="113" spans="1:7" x14ac:dyDescent="0.2">
      <c r="A113" s="908" t="s">
        <v>667</v>
      </c>
      <c r="B113" s="908" t="s">
        <v>2005</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2006</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667</v>
      </c>
      <c r="B115" s="908" t="s">
        <v>2007</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667</v>
      </c>
      <c r="B116" s="908" t="s">
        <v>2008</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1008</v>
      </c>
      <c r="B117" s="923" t="s">
        <v>2009</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1008</v>
      </c>
      <c r="B118" s="923" t="s">
        <v>2010</v>
      </c>
      <c r="C118" s="924">
        <f>'Revenues 9-14'!B163</f>
        <v>3780</v>
      </c>
      <c r="D118" s="925" t="str">
        <f>'Revenues 9-14'!A163</f>
        <v>Technology - Technology for Success</v>
      </c>
      <c r="E118" s="906"/>
      <c r="F118" s="1907">
        <f>SUM('Revenues 9-14'!C163:G163)</f>
        <v>0</v>
      </c>
      <c r="G118" s="912"/>
    </row>
    <row r="119" spans="1:7" x14ac:dyDescent="0.2">
      <c r="A119" s="923" t="s">
        <v>503</v>
      </c>
      <c r="B119" s="923" t="s">
        <v>2011</v>
      </c>
      <c r="C119" s="924">
        <f>'Revenues 9-14'!B164</f>
        <v>3815</v>
      </c>
      <c r="D119" s="925" t="str">
        <f>'Revenues 9-14'!A164</f>
        <v>State Charter Schools</v>
      </c>
      <c r="E119" s="906"/>
      <c r="F119" s="1907">
        <f>SUM('Revenues 9-14'!C164,'Revenues 9-14'!F164)</f>
        <v>0</v>
      </c>
      <c r="G119" s="912"/>
    </row>
    <row r="120" spans="1:7" x14ac:dyDescent="0.2">
      <c r="A120" s="927" t="s">
        <v>459</v>
      </c>
      <c r="B120" s="927" t="s">
        <v>2012</v>
      </c>
      <c r="C120" s="928">
        <f>'Revenues 9-14'!B167</f>
        <v>3925</v>
      </c>
      <c r="D120" s="929" t="str">
        <f>'Revenues 9-14'!A167</f>
        <v>School Infrastructure - Maintenance Projects</v>
      </c>
      <c r="E120" s="906"/>
      <c r="F120" s="1789">
        <f>'Revenues 9-14'!D167</f>
        <v>0</v>
      </c>
      <c r="G120" s="930"/>
    </row>
    <row r="121" spans="1:7" x14ac:dyDescent="0.2">
      <c r="A121" s="927" t="s">
        <v>499</v>
      </c>
      <c r="B121" s="927" t="s">
        <v>2013</v>
      </c>
      <c r="C121" s="928">
        <f>'Revenues 9-14'!B168</f>
        <v>3999</v>
      </c>
      <c r="D121" s="929" t="s">
        <v>542</v>
      </c>
      <c r="E121" s="931"/>
      <c r="F121" s="1789">
        <f>SUM('Revenues 9-14'!C168:G168,'Revenues 9-14'!J168)</f>
        <v>313449</v>
      </c>
      <c r="G121" s="930"/>
    </row>
    <row r="122" spans="1:7" x14ac:dyDescent="0.2">
      <c r="A122" s="927" t="s">
        <v>458</v>
      </c>
      <c r="B122" s="927" t="s">
        <v>2014</v>
      </c>
      <c r="C122" s="932">
        <f>'Revenues 9-14'!B177</f>
        <v>4045</v>
      </c>
      <c r="D122" s="929" t="str">
        <f>'Revenues 9-14'!A177 &amp; " (Subtract)"</f>
        <v>Head Start (Subtract)</v>
      </c>
      <c r="E122" s="906"/>
      <c r="F122" s="1789">
        <f>SUM(-'Revenues 9-14'!C177)</f>
        <v>0</v>
      </c>
      <c r="G122" s="930"/>
    </row>
    <row r="123" spans="1:7" x14ac:dyDescent="0.2">
      <c r="A123" s="927" t="s">
        <v>667</v>
      </c>
      <c r="B123" s="927" t="s">
        <v>2015</v>
      </c>
      <c r="C123" s="932" t="s">
        <v>981</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667</v>
      </c>
      <c r="B124" s="927" t="s">
        <v>2016</v>
      </c>
      <c r="C124" s="932">
        <v>4100</v>
      </c>
      <c r="D124" s="933" t="str">
        <f>'Revenues 9-14'!A188</f>
        <v>Total Title V</v>
      </c>
      <c r="E124" s="906"/>
      <c r="F124" s="1789">
        <f>SUM('Revenues 9-14'!C188,'Revenues 9-14'!D188,'Revenues 9-14'!F188,'Revenues 9-14'!G188)</f>
        <v>0</v>
      </c>
      <c r="G124" s="930"/>
    </row>
    <row r="125" spans="1:7" x14ac:dyDescent="0.2">
      <c r="A125" s="927" t="s">
        <v>663</v>
      </c>
      <c r="B125" s="927" t="s">
        <v>2017</v>
      </c>
      <c r="C125" s="932">
        <v>4200</v>
      </c>
      <c r="D125" s="929" t="str">
        <f>'Revenues 9-14'!A198</f>
        <v>Total Food Service</v>
      </c>
      <c r="E125" s="906"/>
      <c r="F125" s="1789">
        <f>SUM('Revenues 9-14'!C198,'Revenues 9-14'!G198)</f>
        <v>5132266</v>
      </c>
      <c r="G125" s="930"/>
    </row>
    <row r="126" spans="1:7" x14ac:dyDescent="0.2">
      <c r="A126" s="927" t="s">
        <v>667</v>
      </c>
      <c r="B126" s="927" t="s">
        <v>2018</v>
      </c>
      <c r="C126" s="932">
        <v>4300</v>
      </c>
      <c r="D126" s="933" t="str">
        <f>'Revenues 9-14'!A204</f>
        <v>Total Title I</v>
      </c>
      <c r="E126" s="906"/>
      <c r="F126" s="1789">
        <f>SUM('Revenues 9-14'!C204,'Revenues 9-14'!D204,'Revenues 9-14'!F204,'Revenues 9-14'!G204)</f>
        <v>3746146</v>
      </c>
      <c r="G126" s="930"/>
    </row>
    <row r="127" spans="1:7" x14ac:dyDescent="0.2">
      <c r="A127" s="927" t="s">
        <v>667</v>
      </c>
      <c r="B127" s="927" t="s">
        <v>2019</v>
      </c>
      <c r="C127" s="932">
        <v>4400</v>
      </c>
      <c r="D127" s="933" t="str">
        <f>'Revenues 9-14'!A209</f>
        <v>Total Title IV</v>
      </c>
      <c r="E127" s="906"/>
      <c r="F127" s="1789">
        <f>SUM('Revenues 9-14'!C209,'Revenues 9-14'!D209,'Revenues 9-14'!F209,'Revenues 9-14'!G209)</f>
        <v>493768</v>
      </c>
      <c r="G127" s="930"/>
    </row>
    <row r="128" spans="1:7" x14ac:dyDescent="0.2">
      <c r="A128" s="927" t="s">
        <v>667</v>
      </c>
      <c r="B128" s="927" t="s">
        <v>2020</v>
      </c>
      <c r="C128" s="932">
        <f>'Revenues 9-14'!B213</f>
        <v>4620</v>
      </c>
      <c r="D128" s="933" t="str">
        <f>'Revenues 9-14'!A213</f>
        <v>Fed - Spec Education - IDEA - Flow Through</v>
      </c>
      <c r="E128" s="906"/>
      <c r="F128" s="1789">
        <f>SUM('Revenues 9-14'!C213:D213,'Revenues 9-14'!F213:G213)</f>
        <v>2880822</v>
      </c>
      <c r="G128" s="930"/>
    </row>
    <row r="129" spans="1:7" x14ac:dyDescent="0.2">
      <c r="A129" s="927" t="s">
        <v>667</v>
      </c>
      <c r="B129" s="927" t="s">
        <v>2021</v>
      </c>
      <c r="C129" s="932">
        <f>'Revenues 9-14'!B214</f>
        <v>4625</v>
      </c>
      <c r="D129" s="933" t="str">
        <f>'Revenues 9-14'!A214</f>
        <v>Fed - Spec Education - IDEA - Room &amp; Board</v>
      </c>
      <c r="E129" s="906"/>
      <c r="F129" s="1789">
        <f>SUM('Revenues 9-14'!C214,'Revenues 9-14'!D214,'Revenues 9-14'!F214,'Revenues 9-14'!G214)</f>
        <v>24512</v>
      </c>
      <c r="G129" s="930"/>
    </row>
    <row r="130" spans="1:7" x14ac:dyDescent="0.2">
      <c r="A130" s="927" t="s">
        <v>667</v>
      </c>
      <c r="B130" s="927" t="s">
        <v>2022</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672</v>
      </c>
      <c r="B132" s="927" t="s">
        <v>2023</v>
      </c>
      <c r="C132" s="932">
        <v>4700</v>
      </c>
      <c r="D132" s="929" t="str">
        <f>'Revenues 9-14'!A221</f>
        <v>Total CTE - Perkins</v>
      </c>
      <c r="E132" s="906"/>
      <c r="F132" s="1789">
        <f>SUM('Revenues 9-14'!C221,'Revenues 9-14'!D221,'Revenues 9-14'!G221)</f>
        <v>129964</v>
      </c>
      <c r="G132" s="930">
        <v>6303</v>
      </c>
    </row>
    <row r="133" spans="1:7" s="867" customFormat="1" hidden="1" x14ac:dyDescent="0.2">
      <c r="A133" s="934" t="s">
        <v>206</v>
      </c>
      <c r="B133" s="934" t="s">
        <v>2024</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2025</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2026</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2027</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2028</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2029</v>
      </c>
      <c r="C138" s="935" t="s">
        <v>212</v>
      </c>
      <c r="D138" s="936" t="str">
        <f>'Revenues 9-14'!A229</f>
        <v>ARRA - IDEA - Part B - Preschool</v>
      </c>
      <c r="E138" s="937"/>
      <c r="F138" s="1789">
        <v>0</v>
      </c>
      <c r="G138" s="905"/>
    </row>
    <row r="139" spans="1:7" s="867" customFormat="1" hidden="1" x14ac:dyDescent="0.2">
      <c r="A139" s="934" t="s">
        <v>206</v>
      </c>
      <c r="B139" s="934" t="s">
        <v>2030</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2031</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2032</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667</v>
      </c>
      <c r="B142" s="934" t="s">
        <v>2033</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1415</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2034</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2035</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2036</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1416</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2037</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499</v>
      </c>
      <c r="B157" s="939" t="s">
        <v>2038</v>
      </c>
      <c r="C157" s="940" t="s">
        <v>840</v>
      </c>
      <c r="D157" s="941" t="s">
        <v>776</v>
      </c>
      <c r="E157" s="942"/>
      <c r="F157" s="1789">
        <f>SUM(F133:F156)</f>
        <v>0</v>
      </c>
      <c r="G157" s="905"/>
    </row>
    <row r="158" spans="1:7" s="867" customFormat="1" x14ac:dyDescent="0.2">
      <c r="A158" s="938" t="s">
        <v>458</v>
      </c>
      <c r="B158" s="939" t="s">
        <v>2039</v>
      </c>
      <c r="C158" s="940" t="s">
        <v>1426</v>
      </c>
      <c r="D158" s="941" t="s">
        <v>1427</v>
      </c>
      <c r="E158" s="942"/>
      <c r="F158" s="1789">
        <f>SUM('Revenues 9-14'!C253)</f>
        <v>0</v>
      </c>
      <c r="G158" s="905"/>
    </row>
    <row r="159" spans="1:7" s="867" customFormat="1" x14ac:dyDescent="0.2">
      <c r="A159" s="938" t="s">
        <v>499</v>
      </c>
      <c r="B159" s="939" t="s">
        <v>2040</v>
      </c>
      <c r="C159" s="940" t="s">
        <v>1465</v>
      </c>
      <c r="D159" s="941" t="s">
        <v>1466</v>
      </c>
      <c r="E159" s="942"/>
      <c r="F159" s="1789">
        <f>SUM('Revenues 9-14'!C254:H254,'Revenues 9-14'!J254:K254)</f>
        <v>1335586</v>
      </c>
      <c r="G159" s="905"/>
    </row>
    <row r="160" spans="1:7" x14ac:dyDescent="0.2">
      <c r="A160" s="927" t="s">
        <v>5</v>
      </c>
      <c r="B160" s="927" t="s">
        <v>2041</v>
      </c>
      <c r="C160" s="932">
        <f>'Revenues 9-14'!B255</f>
        <v>4905</v>
      </c>
      <c r="D160" s="929" t="str">
        <f>'Revenues 9-14'!A255</f>
        <v>Title III - Immigrant Education Program (IEP)</v>
      </c>
      <c r="E160" s="906"/>
      <c r="F160" s="1789">
        <f>SUM('Revenues 9-14'!C255,'Revenues 9-14'!F255,'Revenues 9-14'!G255)</f>
        <v>43865</v>
      </c>
      <c r="G160" s="943">
        <v>6306</v>
      </c>
    </row>
    <row r="161" spans="1:7" x14ac:dyDescent="0.2">
      <c r="A161" s="927" t="s">
        <v>5</v>
      </c>
      <c r="B161" s="927" t="s">
        <v>2042</v>
      </c>
      <c r="C161" s="932">
        <f>'Revenues 9-14'!B256</f>
        <v>4909</v>
      </c>
      <c r="D161" s="929" t="str">
        <f>'Revenues 9-14'!A256</f>
        <v>Title III - Language Inst Program - Limited Eng (LIPLEP)</v>
      </c>
      <c r="E161" s="906"/>
      <c r="F161" s="1789">
        <f>SUM('Revenues 9-14'!C256,'Revenues 9-14'!F256,'Revenues 9-14'!G256)</f>
        <v>302171</v>
      </c>
      <c r="G161" s="943"/>
    </row>
    <row r="162" spans="1:7" x14ac:dyDescent="0.2">
      <c r="A162" s="927" t="s">
        <v>667</v>
      </c>
      <c r="B162" s="927" t="s">
        <v>2043</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667</v>
      </c>
      <c r="B163" s="944" t="s">
        <v>2044</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667</v>
      </c>
      <c r="B164" s="927" t="s">
        <v>2045</v>
      </c>
      <c r="C164" s="932">
        <f>'Revenues 9-14'!B259</f>
        <v>4932</v>
      </c>
      <c r="D164" s="933" t="str">
        <f>'Revenues 9-14'!A259</f>
        <v>Title II - Teacher Quality</v>
      </c>
      <c r="E164" s="906"/>
      <c r="F164" s="1907">
        <f>SUM('Revenues 9-14'!C259,'Revenues 9-14'!D259,'Revenues 9-14'!F259,'Revenues 9-14'!G259)</f>
        <v>625702</v>
      </c>
      <c r="G164" s="930"/>
    </row>
    <row r="165" spans="1:7" x14ac:dyDescent="0.2">
      <c r="A165" s="927" t="s">
        <v>667</v>
      </c>
      <c r="B165" s="927" t="s">
        <v>2046</v>
      </c>
      <c r="C165" s="932">
        <f>'Revenues 9-14'!B260</f>
        <v>4960</v>
      </c>
      <c r="D165" s="929" t="str">
        <f>'Revenues 9-14'!A260</f>
        <v>Federal Charter Schools</v>
      </c>
      <c r="E165" s="906"/>
      <c r="F165" s="1789">
        <f>SUM('Revenues 9-14'!C260:D260,'Revenues 9-14'!F260:G260)</f>
        <v>0</v>
      </c>
      <c r="G165" s="930"/>
    </row>
    <row r="166" spans="1:7" x14ac:dyDescent="0.2">
      <c r="A166" s="927" t="s">
        <v>667</v>
      </c>
      <c r="B166" s="927" t="s">
        <v>1991</v>
      </c>
      <c r="C166" s="932">
        <f>'Revenues 9-14'!B261</f>
        <v>4981</v>
      </c>
      <c r="D166" s="929" t="str">
        <f>'Revenues 9-14'!A261</f>
        <v>State Assessment Grants</v>
      </c>
      <c r="E166" s="906"/>
      <c r="F166" s="1789">
        <f>SUM('Revenues 9-14'!C261:D261,'Revenues 9-14'!F261:G261)</f>
        <v>0</v>
      </c>
      <c r="G166" s="930"/>
    </row>
    <row r="167" spans="1:7" x14ac:dyDescent="0.2">
      <c r="A167" s="927" t="s">
        <v>667</v>
      </c>
      <c r="B167" s="927" t="s">
        <v>1992</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667</v>
      </c>
      <c r="B168" s="927" t="s">
        <v>2047</v>
      </c>
      <c r="C168" s="932">
        <f>'Revenues 9-14'!B263</f>
        <v>4991</v>
      </c>
      <c r="D168" s="933" t="str">
        <f>'Revenues 9-14'!A263</f>
        <v>Medicaid Matching Funds - Administrative Outreach</v>
      </c>
      <c r="E168" s="906"/>
      <c r="F168" s="1789">
        <f>SUM('Revenues 9-14'!C263:D263,'Revenues 9-14'!F263:G263)</f>
        <v>439897</v>
      </c>
      <c r="G168" s="947">
        <v>6320</v>
      </c>
    </row>
    <row r="169" spans="1:7" x14ac:dyDescent="0.2">
      <c r="A169" s="927" t="s">
        <v>667</v>
      </c>
      <c r="B169" s="927" t="s">
        <v>2048</v>
      </c>
      <c r="C169" s="932">
        <f>'Revenues 9-14'!B264</f>
        <v>4992</v>
      </c>
      <c r="D169" s="933" t="str">
        <f>'Revenues 9-14'!A264</f>
        <v>Medicaid Matching Funds - Fee-for-Service Program</v>
      </c>
      <c r="E169" s="906"/>
      <c r="F169" s="1789">
        <f>SUM('Revenues 9-14'!C264:D264,'Revenues 9-14'!F264:G264)</f>
        <v>1286052</v>
      </c>
      <c r="G169" s="947"/>
    </row>
    <row r="170" spans="1:7" x14ac:dyDescent="0.2">
      <c r="A170" s="948" t="s">
        <v>667</v>
      </c>
      <c r="B170" s="944" t="s">
        <v>2049</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1915</v>
      </c>
      <c r="C171" s="1920">
        <v>3100</v>
      </c>
      <c r="D171" s="1921" t="s">
        <v>1917</v>
      </c>
      <c r="E171" s="906"/>
      <c r="F171" s="1906">
        <v>4991828</v>
      </c>
      <c r="G171" s="927"/>
    </row>
    <row r="172" spans="1:7" x14ac:dyDescent="0.2">
      <c r="A172" s="1918" t="s">
        <v>663</v>
      </c>
      <c r="B172" s="1919" t="s">
        <v>1915</v>
      </c>
      <c r="C172" s="1920">
        <v>3300</v>
      </c>
      <c r="D172" s="1921" t="s">
        <v>1918</v>
      </c>
      <c r="E172" s="906"/>
      <c r="F172" s="1906">
        <v>1465525</v>
      </c>
      <c r="G172" s="927"/>
    </row>
    <row r="173" spans="1:7" ht="6" customHeight="1" x14ac:dyDescent="0.2">
      <c r="A173" s="927"/>
      <c r="B173" s="927"/>
      <c r="C173" s="949"/>
      <c r="D173" s="927"/>
      <c r="E173" s="906"/>
      <c r="F173" s="950"/>
      <c r="G173" s="947"/>
    </row>
    <row r="174" spans="1:7" x14ac:dyDescent="0.2">
      <c r="A174" s="1770"/>
      <c r="B174" s="1784"/>
      <c r="C174" s="1785"/>
      <c r="D174" s="1786" t="s">
        <v>2050</v>
      </c>
      <c r="E174" s="1787" t="s">
        <v>957</v>
      </c>
      <c r="F174" s="1788">
        <f>SUM(F84:F132,F157:F172)</f>
        <v>33764877</v>
      </c>
    </row>
    <row r="175" spans="1:7" ht="12" customHeight="1" x14ac:dyDescent="0.2">
      <c r="A175" s="1770"/>
      <c r="B175" s="1784"/>
      <c r="C175" s="1785"/>
      <c r="D175" s="1786" t="s">
        <v>2051</v>
      </c>
      <c r="E175" s="1787"/>
      <c r="F175" s="1789">
        <f>'PCTC-OEPP 27-28'!F77-F174</f>
        <v>112325184</v>
      </c>
    </row>
    <row r="176" spans="1:7" ht="12" customHeight="1" x14ac:dyDescent="0.2">
      <c r="A176" s="1770"/>
      <c r="B176" s="1784"/>
      <c r="C176" s="1785"/>
      <c r="D176" s="1786" t="s">
        <v>1813</v>
      </c>
      <c r="E176" s="1787"/>
      <c r="F176" s="1789">
        <f>'Cap Outlay Deprec 26'!I18</f>
        <v>8663097.5</v>
      </c>
    </row>
    <row r="177" spans="1:7" ht="12" customHeight="1" x14ac:dyDescent="0.2">
      <c r="A177" s="1770"/>
      <c r="B177" s="1784"/>
      <c r="C177" s="1785"/>
      <c r="D177" s="1786" t="s">
        <v>2052</v>
      </c>
      <c r="E177" s="1787"/>
      <c r="F177" s="1789">
        <f>F175+F176</f>
        <v>120988281.5</v>
      </c>
    </row>
    <row r="178" spans="1:7" ht="12" customHeight="1" x14ac:dyDescent="0.2">
      <c r="A178" s="1770"/>
      <c r="B178" s="1790"/>
      <c r="C178" s="1785"/>
      <c r="D178" s="1786" t="str">
        <f>D78</f>
        <v>9 Month ADA from District Average Daily Attendance/Prior General State Aid Inquiry 2018-2019</v>
      </c>
      <c r="E178" s="1787"/>
      <c r="F178" s="1791">
        <f>'PCTC-OEPP 27-28'!F78</f>
        <v>11614</v>
      </c>
      <c r="G178" s="930"/>
    </row>
    <row r="179" spans="1:7" ht="12" customHeight="1" thickBot="1" x14ac:dyDescent="0.25">
      <c r="A179" s="1770"/>
      <c r="B179" s="1790"/>
      <c r="C179" s="1785"/>
      <c r="D179" s="1786" t="s">
        <v>2053</v>
      </c>
      <c r="E179" s="1787" t="s">
        <v>1544</v>
      </c>
      <c r="F179" s="1792">
        <f>F177/F178</f>
        <v>10417.451480971242</v>
      </c>
      <c r="G179" s="856">
        <v>6323</v>
      </c>
    </row>
    <row r="180" spans="1:7" ht="12" thickTop="1" x14ac:dyDescent="0.2">
      <c r="B180" s="930"/>
      <c r="C180" s="949"/>
      <c r="D180" s="930"/>
      <c r="E180" s="949"/>
      <c r="F180" s="930"/>
      <c r="G180" s="951">
        <v>6326</v>
      </c>
    </row>
    <row r="181" spans="1:7" ht="12.2" customHeight="1" x14ac:dyDescent="0.2">
      <c r="A181" s="930" t="s">
        <v>1916</v>
      </c>
      <c r="B181" s="930"/>
      <c r="C181" s="949"/>
      <c r="D181" s="930"/>
      <c r="E181" s="949"/>
      <c r="F181" s="930"/>
      <c r="G181" s="930"/>
    </row>
    <row r="182" spans="1:7" s="1922" customFormat="1" ht="12.2" customHeight="1" x14ac:dyDescent="0.2">
      <c r="A182" s="1922" t="s">
        <v>1988</v>
      </c>
      <c r="B182" s="1923"/>
      <c r="C182" s="1924"/>
      <c r="D182" s="1923"/>
      <c r="E182" s="1924"/>
      <c r="F182" s="1923"/>
      <c r="G182" s="1923"/>
    </row>
    <row r="183" spans="1:7" s="1922" customFormat="1" ht="12.2" customHeight="1" x14ac:dyDescent="0.2">
      <c r="A183" s="1925" t="s">
        <v>1990</v>
      </c>
      <c r="C183" s="1924"/>
      <c r="D183" s="1923"/>
      <c r="E183" s="1924"/>
      <c r="F183" s="1923"/>
      <c r="G183" s="1923"/>
    </row>
    <row r="184" spans="1:7" ht="12" customHeight="1" x14ac:dyDescent="0.2">
      <c r="C184" s="949"/>
      <c r="D184" s="930"/>
      <c r="E184" s="949"/>
      <c r="F184" s="930"/>
      <c r="G184" s="930"/>
    </row>
    <row r="185" spans="1:7" x14ac:dyDescent="0.2">
      <c r="A185" s="1926" t="s">
        <v>1920</v>
      </c>
      <c r="B185" s="1927" t="s">
        <v>1919</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H142"/>
  <sheetViews>
    <sheetView showGridLines="0" zoomScaleNormal="100" workbookViewId="0">
      <selection activeCell="A20" sqref="A20"/>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16.42578125" style="1544" hidden="1" customWidth="1"/>
    <col min="6" max="6" width="23.5703125" style="1544" customWidth="1"/>
    <col min="7" max="7" width="23.28515625" style="1543" customWidth="1"/>
    <col min="8" max="16384" width="9.140625" style="1533"/>
  </cols>
  <sheetData>
    <row r="1" spans="1:7" ht="15" customHeight="1" x14ac:dyDescent="0.25">
      <c r="A1" s="1659" t="s">
        <v>1828</v>
      </c>
      <c r="B1" s="1660"/>
      <c r="C1" s="1660"/>
      <c r="D1" s="1660"/>
      <c r="E1" s="1660"/>
      <c r="F1" s="1660"/>
      <c r="G1" s="1660"/>
    </row>
    <row r="2" spans="1:7" x14ac:dyDescent="0.25">
      <c r="A2" s="1657"/>
      <c r="B2" s="1657"/>
      <c r="C2" s="1658" t="s">
        <v>978</v>
      </c>
      <c r="D2" s="1657"/>
      <c r="E2" s="1657"/>
      <c r="F2" s="1657"/>
      <c r="G2" s="1657"/>
    </row>
    <row r="3" spans="1:7" ht="5.25" customHeight="1" x14ac:dyDescent="0.25">
      <c r="A3" s="1545"/>
      <c r="B3" s="1545"/>
      <c r="C3" s="1545"/>
      <c r="D3" s="1545"/>
      <c r="E3" s="1545"/>
      <c r="F3" s="1545"/>
      <c r="G3" s="1545"/>
    </row>
    <row r="4" spans="1:7" ht="18.75" customHeight="1" x14ac:dyDescent="0.25">
      <c r="A4" s="2326" t="s">
        <v>1814</v>
      </c>
      <c r="B4" s="2327"/>
      <c r="C4" s="2327"/>
      <c r="D4" s="2327"/>
      <c r="E4" s="2327"/>
      <c r="F4" s="2327"/>
      <c r="G4" s="2328"/>
    </row>
    <row r="5" spans="1:7" x14ac:dyDescent="0.25">
      <c r="A5" s="2329"/>
      <c r="B5" s="2330"/>
      <c r="C5" s="2330"/>
      <c r="D5" s="2330"/>
      <c r="E5" s="2330"/>
      <c r="F5" s="2330"/>
      <c r="G5" s="2331"/>
    </row>
    <row r="6" spans="1:7" ht="18.75" x14ac:dyDescent="0.25">
      <c r="A6" s="1939" t="s">
        <v>2060</v>
      </c>
      <c r="B6" s="1940"/>
      <c r="C6" s="1940"/>
      <c r="D6" s="1940"/>
      <c r="E6" s="1940"/>
      <c r="F6" s="1940"/>
      <c r="G6" s="1941"/>
    </row>
    <row r="7" spans="1:7" ht="18.75" x14ac:dyDescent="0.25">
      <c r="A7" s="1534" t="s">
        <v>1815</v>
      </c>
      <c r="B7" s="1535"/>
      <c r="C7" s="1535"/>
      <c r="D7" s="1535"/>
      <c r="E7" s="1535"/>
      <c r="F7" s="1535"/>
      <c r="G7" s="1536"/>
    </row>
    <row r="8" spans="1:7" ht="30.75" customHeight="1" x14ac:dyDescent="0.25">
      <c r="A8" s="2332" t="s">
        <v>1927</v>
      </c>
      <c r="B8" s="2333"/>
      <c r="C8" s="2333"/>
      <c r="D8" s="2333"/>
      <c r="E8" s="2333"/>
      <c r="F8" s="2333"/>
      <c r="G8" s="2334"/>
    </row>
    <row r="9" spans="1:7" ht="15.75" customHeight="1" x14ac:dyDescent="0.25">
      <c r="A9" s="2335" t="s">
        <v>1902</v>
      </c>
      <c r="B9" s="2336"/>
      <c r="C9" s="2336"/>
      <c r="D9" s="2336"/>
      <c r="E9" s="2336"/>
      <c r="F9" s="2336"/>
      <c r="G9" s="2337"/>
    </row>
    <row r="10" spans="1:7" ht="35.25" customHeight="1" x14ac:dyDescent="0.25">
      <c r="A10" s="2332" t="s">
        <v>2059</v>
      </c>
      <c r="B10" s="2333"/>
      <c r="C10" s="2333"/>
      <c r="D10" s="2333"/>
      <c r="E10" s="2333"/>
      <c r="F10" s="2333"/>
      <c r="G10" s="2334"/>
    </row>
    <row r="11" spans="1:7" ht="15" customHeight="1" x14ac:dyDescent="0.25">
      <c r="A11" s="1537" t="s">
        <v>1816</v>
      </c>
      <c r="B11" s="1538"/>
      <c r="C11" s="1538"/>
      <c r="D11" s="1538"/>
      <c r="E11" s="1538"/>
      <c r="F11" s="1538"/>
      <c r="G11" s="1539"/>
    </row>
    <row r="12" spans="1:7" ht="17.25" customHeight="1" x14ac:dyDescent="0.25">
      <c r="A12" s="2332" t="s">
        <v>1929</v>
      </c>
      <c r="B12" s="2333"/>
      <c r="C12" s="2333"/>
      <c r="D12" s="2333"/>
      <c r="E12" s="2333"/>
      <c r="F12" s="2333"/>
      <c r="G12" s="2334"/>
    </row>
    <row r="13" spans="1:7" ht="15" customHeight="1" x14ac:dyDescent="0.25">
      <c r="A13" s="1537" t="s">
        <v>1821</v>
      </c>
      <c r="B13" s="1538"/>
      <c r="C13" s="1538"/>
      <c r="D13" s="1538"/>
      <c r="E13" s="1538"/>
      <c r="F13" s="1538"/>
      <c r="G13" s="1539"/>
    </row>
    <row r="14" spans="1:7" ht="32.25" customHeight="1" x14ac:dyDescent="0.25">
      <c r="A14" s="2323" t="s">
        <v>1970</v>
      </c>
      <c r="B14" s="2324"/>
      <c r="C14" s="2324"/>
      <c r="D14" s="2324"/>
      <c r="E14" s="2324"/>
      <c r="F14" s="2324"/>
      <c r="G14" s="2325"/>
    </row>
    <row r="15" spans="1:7" x14ac:dyDescent="0.25">
      <c r="A15" s="1661" t="s">
        <v>1829</v>
      </c>
      <c r="B15" s="1662"/>
      <c r="C15" s="1662"/>
      <c r="D15" s="1662"/>
      <c r="E15" s="1662"/>
      <c r="F15" s="1662"/>
      <c r="G15" s="1663"/>
    </row>
    <row r="16" spans="1:7" ht="61.5" customHeight="1" x14ac:dyDescent="0.25">
      <c r="A16" s="1546" t="s">
        <v>1822</v>
      </c>
      <c r="B16" s="1546" t="s">
        <v>1823</v>
      </c>
      <c r="C16" s="1546" t="s">
        <v>1824</v>
      </c>
      <c r="D16" s="1547" t="s">
        <v>1825</v>
      </c>
      <c r="E16" s="1547" t="s">
        <v>1817</v>
      </c>
      <c r="F16" s="1547" t="s">
        <v>1826</v>
      </c>
      <c r="G16" s="1547" t="s">
        <v>1827</v>
      </c>
    </row>
    <row r="17" spans="1:8" x14ac:dyDescent="0.25">
      <c r="A17" s="1648" t="s">
        <v>1830</v>
      </c>
      <c r="B17" s="1649" t="s">
        <v>1820</v>
      </c>
      <c r="C17" s="1650" t="s">
        <v>1818</v>
      </c>
      <c r="D17" s="1651">
        <v>500000</v>
      </c>
      <c r="E17" s="1651">
        <f>IF(D17&lt;=25000,D17,IF(D17&gt;25000,25000,0))</f>
        <v>25000</v>
      </c>
      <c r="F17" s="1651">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652">
        <f>IF(F17=0,"0",D17-F17)</f>
        <v>475000</v>
      </c>
    </row>
    <row r="18" spans="1:8" x14ac:dyDescent="0.25">
      <c r="A18" s="1930"/>
      <c r="B18" s="1937"/>
      <c r="C18" s="1656"/>
      <c r="D18" s="1844"/>
      <c r="E18" s="1540">
        <f>IF(D18&lt;=25000,D18,IF(D18&gt;25000,25000,0))</f>
        <v>0</v>
      </c>
      <c r="F18" s="1938">
        <f t="shared" ref="F18:F81" si="0">(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0</v>
      </c>
      <c r="G18" s="1793">
        <f>IF(F18=0,0,D18-F18)</f>
        <v>0</v>
      </c>
      <c r="H18" s="1647"/>
    </row>
    <row r="19" spans="1:8" x14ac:dyDescent="0.25">
      <c r="A19" s="1653"/>
      <c r="B19" s="1934"/>
      <c r="C19" s="1656"/>
      <c r="D19" s="1844"/>
      <c r="E19" s="1540">
        <f t="shared" ref="E19:E141" si="1">IF(D19&lt;=25000,D19,IF(D19&gt;25000,25000,0))</f>
        <v>0</v>
      </c>
      <c r="F19" s="1938">
        <f t="shared" si="0"/>
        <v>0</v>
      </c>
      <c r="G19" s="1793">
        <f t="shared" ref="G19:G141" si="2">IF(F19=0,0,D19-F19)</f>
        <v>0</v>
      </c>
    </row>
    <row r="20" spans="1:8" x14ac:dyDescent="0.25">
      <c r="A20" s="1653"/>
      <c r="B20" s="1934"/>
      <c r="C20" s="1656"/>
      <c r="D20" s="1844"/>
      <c r="E20" s="1540">
        <f t="shared" si="1"/>
        <v>0</v>
      </c>
      <c r="F20" s="1938">
        <f t="shared" si="0"/>
        <v>0</v>
      </c>
      <c r="G20" s="1793">
        <f t="shared" si="2"/>
        <v>0</v>
      </c>
    </row>
    <row r="21" spans="1:8" x14ac:dyDescent="0.25">
      <c r="A21" s="1653"/>
      <c r="B21" s="1934"/>
      <c r="C21" s="1656"/>
      <c r="D21" s="1844"/>
      <c r="E21" s="1540">
        <f t="shared" si="1"/>
        <v>0</v>
      </c>
      <c r="F21" s="1938">
        <f t="shared" si="0"/>
        <v>0</v>
      </c>
      <c r="G21" s="1793">
        <f t="shared" si="2"/>
        <v>0</v>
      </c>
    </row>
    <row r="22" spans="1:8" x14ac:dyDescent="0.25">
      <c r="A22" s="1653"/>
      <c r="B22" s="1934"/>
      <c r="C22" s="1656"/>
      <c r="D22" s="1844"/>
      <c r="E22" s="1540">
        <f t="shared" si="1"/>
        <v>0</v>
      </c>
      <c r="F22" s="1938">
        <f t="shared" si="0"/>
        <v>0</v>
      </c>
      <c r="G22" s="1793">
        <f t="shared" si="2"/>
        <v>0</v>
      </c>
    </row>
    <row r="23" spans="1:8" x14ac:dyDescent="0.25">
      <c r="A23" s="1653"/>
      <c r="B23" s="1934"/>
      <c r="C23" s="1656"/>
      <c r="D23" s="1844"/>
      <c r="E23" s="1540">
        <f t="shared" si="1"/>
        <v>0</v>
      </c>
      <c r="F23" s="1938">
        <f t="shared" si="0"/>
        <v>0</v>
      </c>
      <c r="G23" s="1793">
        <f t="shared" si="2"/>
        <v>0</v>
      </c>
    </row>
    <row r="24" spans="1:8" x14ac:dyDescent="0.25">
      <c r="A24" s="1653"/>
      <c r="B24" s="1934"/>
      <c r="C24" s="1656"/>
      <c r="D24" s="1844"/>
      <c r="E24" s="1540">
        <f t="shared" si="1"/>
        <v>0</v>
      </c>
      <c r="F24" s="1938">
        <f t="shared" si="0"/>
        <v>0</v>
      </c>
      <c r="G24" s="1793">
        <f t="shared" si="2"/>
        <v>0</v>
      </c>
    </row>
    <row r="25" spans="1:8" x14ac:dyDescent="0.25">
      <c r="A25" s="1653"/>
      <c r="B25" s="1934"/>
      <c r="C25" s="1656"/>
      <c r="D25" s="1844"/>
      <c r="E25" s="1540">
        <f t="shared" si="1"/>
        <v>0</v>
      </c>
      <c r="F25" s="1938">
        <f t="shared" si="0"/>
        <v>0</v>
      </c>
      <c r="G25" s="1793">
        <f t="shared" si="2"/>
        <v>0</v>
      </c>
    </row>
    <row r="26" spans="1:8" x14ac:dyDescent="0.25">
      <c r="A26" s="1653"/>
      <c r="B26" s="1934"/>
      <c r="C26" s="1656"/>
      <c r="D26" s="1844"/>
      <c r="E26" s="1540">
        <f t="shared" si="1"/>
        <v>0</v>
      </c>
      <c r="F26" s="1938">
        <f t="shared" si="0"/>
        <v>0</v>
      </c>
      <c r="G26" s="1793">
        <f t="shared" si="2"/>
        <v>0</v>
      </c>
    </row>
    <row r="27" spans="1:8" x14ac:dyDescent="0.25">
      <c r="A27" s="1653"/>
      <c r="B27" s="1934"/>
      <c r="C27" s="1654"/>
      <c r="D27" s="1844"/>
      <c r="E27" s="1540">
        <f t="shared" si="1"/>
        <v>0</v>
      </c>
      <c r="F27" s="1938">
        <f t="shared" si="0"/>
        <v>0</v>
      </c>
      <c r="G27" s="1793">
        <f t="shared" si="2"/>
        <v>0</v>
      </c>
    </row>
    <row r="28" spans="1:8" x14ac:dyDescent="0.25">
      <c r="A28" s="1653"/>
      <c r="B28" s="1934"/>
      <c r="C28" s="1654"/>
      <c r="D28" s="1844"/>
      <c r="E28" s="1540">
        <f t="shared" si="1"/>
        <v>0</v>
      </c>
      <c r="F28" s="1938">
        <f t="shared" si="0"/>
        <v>0</v>
      </c>
      <c r="G28" s="1793">
        <f t="shared" si="2"/>
        <v>0</v>
      </c>
    </row>
    <row r="29" spans="1:8" x14ac:dyDescent="0.25">
      <c r="A29" s="1653"/>
      <c r="B29" s="1934"/>
      <c r="C29" s="1654"/>
      <c r="D29" s="1844"/>
      <c r="E29" s="1540">
        <f t="shared" si="1"/>
        <v>0</v>
      </c>
      <c r="F29" s="1938">
        <f t="shared" si="0"/>
        <v>0</v>
      </c>
      <c r="G29" s="1793">
        <f t="shared" si="2"/>
        <v>0</v>
      </c>
    </row>
    <row r="30" spans="1:8" x14ac:dyDescent="0.25">
      <c r="A30" s="1653"/>
      <c r="B30" s="1934"/>
      <c r="C30" s="1654"/>
      <c r="D30" s="1844"/>
      <c r="E30" s="1540">
        <f t="shared" si="1"/>
        <v>0</v>
      </c>
      <c r="F30" s="1938">
        <f t="shared" si="0"/>
        <v>0</v>
      </c>
      <c r="G30" s="1793">
        <f t="shared" si="2"/>
        <v>0</v>
      </c>
    </row>
    <row r="31" spans="1:8" x14ac:dyDescent="0.25">
      <c r="A31" s="1653"/>
      <c r="B31" s="1934"/>
      <c r="C31" s="1654"/>
      <c r="D31" s="1844"/>
      <c r="E31" s="1540">
        <f t="shared" si="1"/>
        <v>0</v>
      </c>
      <c r="F31" s="1938">
        <f t="shared" si="0"/>
        <v>0</v>
      </c>
      <c r="G31" s="1793">
        <f t="shared" si="2"/>
        <v>0</v>
      </c>
    </row>
    <row r="32" spans="1:8" x14ac:dyDescent="0.25">
      <c r="A32" s="1653"/>
      <c r="B32" s="1934"/>
      <c r="C32" s="1654"/>
      <c r="D32" s="1844"/>
      <c r="E32" s="1540">
        <f t="shared" si="1"/>
        <v>0</v>
      </c>
      <c r="F32" s="1938">
        <f t="shared" si="0"/>
        <v>0</v>
      </c>
      <c r="G32" s="1793">
        <f t="shared" si="2"/>
        <v>0</v>
      </c>
    </row>
    <row r="33" spans="1:7" x14ac:dyDescent="0.25">
      <c r="A33" s="1653"/>
      <c r="B33" s="1934"/>
      <c r="C33" s="1654"/>
      <c r="D33" s="1844"/>
      <c r="E33" s="1540">
        <f t="shared" si="1"/>
        <v>0</v>
      </c>
      <c r="F33" s="1938">
        <f t="shared" si="0"/>
        <v>0</v>
      </c>
      <c r="G33" s="1793">
        <f t="shared" si="2"/>
        <v>0</v>
      </c>
    </row>
    <row r="34" spans="1:7" x14ac:dyDescent="0.25">
      <c r="A34" s="1653"/>
      <c r="B34" s="1934"/>
      <c r="C34" s="1654"/>
      <c r="D34" s="1844"/>
      <c r="E34" s="1540">
        <f t="shared" si="1"/>
        <v>0</v>
      </c>
      <c r="F34" s="1938">
        <f t="shared" si="0"/>
        <v>0</v>
      </c>
      <c r="G34" s="1793">
        <f t="shared" si="2"/>
        <v>0</v>
      </c>
    </row>
    <row r="35" spans="1:7" x14ac:dyDescent="0.25">
      <c r="A35" s="1653"/>
      <c r="B35" s="1934"/>
      <c r="C35" s="1654"/>
      <c r="D35" s="1844"/>
      <c r="E35" s="1540">
        <f t="shared" si="1"/>
        <v>0</v>
      </c>
      <c r="F35" s="1938">
        <f t="shared" si="0"/>
        <v>0</v>
      </c>
      <c r="G35" s="1793">
        <f t="shared" si="2"/>
        <v>0</v>
      </c>
    </row>
    <row r="36" spans="1:7" x14ac:dyDescent="0.25">
      <c r="A36" s="1653"/>
      <c r="B36" s="1934"/>
      <c r="C36" s="1654"/>
      <c r="D36" s="1844"/>
      <c r="E36" s="1540">
        <f t="shared" si="1"/>
        <v>0</v>
      </c>
      <c r="F36" s="1938">
        <f t="shared" si="0"/>
        <v>0</v>
      </c>
      <c r="G36" s="1793">
        <f t="shared" si="2"/>
        <v>0</v>
      </c>
    </row>
    <row r="37" spans="1:7" x14ac:dyDescent="0.25">
      <c r="A37" s="1653"/>
      <c r="B37" s="1934"/>
      <c r="C37" s="1654"/>
      <c r="D37" s="1844"/>
      <c r="E37" s="1540">
        <f t="shared" si="1"/>
        <v>0</v>
      </c>
      <c r="F37" s="1938">
        <f t="shared" si="0"/>
        <v>0</v>
      </c>
      <c r="G37" s="1793">
        <f t="shared" si="2"/>
        <v>0</v>
      </c>
    </row>
    <row r="38" spans="1:7" x14ac:dyDescent="0.25">
      <c r="A38" s="1653"/>
      <c r="B38" s="1934"/>
      <c r="C38" s="1654"/>
      <c r="D38" s="1844"/>
      <c r="E38" s="1540">
        <f t="shared" si="1"/>
        <v>0</v>
      </c>
      <c r="F38" s="1938">
        <f t="shared" si="0"/>
        <v>0</v>
      </c>
      <c r="G38" s="1793">
        <f t="shared" si="2"/>
        <v>0</v>
      </c>
    </row>
    <row r="39" spans="1:7" x14ac:dyDescent="0.25">
      <c r="A39" s="1653"/>
      <c r="B39" s="1935"/>
      <c r="C39" s="1654"/>
      <c r="D39" s="1844"/>
      <c r="E39" s="1540">
        <f t="shared" si="1"/>
        <v>0</v>
      </c>
      <c r="F39" s="1938">
        <f t="shared" si="0"/>
        <v>0</v>
      </c>
      <c r="G39" s="1793">
        <f t="shared" si="2"/>
        <v>0</v>
      </c>
    </row>
    <row r="40" spans="1:7" x14ac:dyDescent="0.25">
      <c r="A40" s="1653"/>
      <c r="B40" s="1935"/>
      <c r="C40" s="1654"/>
      <c r="D40" s="1844"/>
      <c r="E40" s="1540">
        <f t="shared" si="1"/>
        <v>0</v>
      </c>
      <c r="F40" s="1938">
        <f t="shared" si="0"/>
        <v>0</v>
      </c>
      <c r="G40" s="1793">
        <f t="shared" si="2"/>
        <v>0</v>
      </c>
    </row>
    <row r="41" spans="1:7" x14ac:dyDescent="0.25">
      <c r="A41" s="1653"/>
      <c r="B41" s="1935"/>
      <c r="C41" s="1654"/>
      <c r="D41" s="1844"/>
      <c r="E41" s="1540">
        <f t="shared" si="1"/>
        <v>0</v>
      </c>
      <c r="F41" s="1938">
        <f t="shared" si="0"/>
        <v>0</v>
      </c>
      <c r="G41" s="1793">
        <f t="shared" si="2"/>
        <v>0</v>
      </c>
    </row>
    <row r="42" spans="1:7" x14ac:dyDescent="0.25">
      <c r="A42" s="1653"/>
      <c r="B42" s="1935"/>
      <c r="C42" s="1654"/>
      <c r="D42" s="1844"/>
      <c r="E42" s="1540">
        <f t="shared" si="1"/>
        <v>0</v>
      </c>
      <c r="F42" s="1938">
        <f t="shared" si="0"/>
        <v>0</v>
      </c>
      <c r="G42" s="1793">
        <f t="shared" si="2"/>
        <v>0</v>
      </c>
    </row>
    <row r="43" spans="1:7" x14ac:dyDescent="0.25">
      <c r="A43" s="1653"/>
      <c r="B43" s="1935"/>
      <c r="C43" s="1654"/>
      <c r="D43" s="1844"/>
      <c r="E43" s="1540">
        <f t="shared" si="1"/>
        <v>0</v>
      </c>
      <c r="F43" s="1938">
        <f t="shared" si="0"/>
        <v>0</v>
      </c>
      <c r="G43" s="1793">
        <f t="shared" si="2"/>
        <v>0</v>
      </c>
    </row>
    <row r="44" spans="1:7" x14ac:dyDescent="0.25">
      <c r="A44" s="1653"/>
      <c r="B44" s="1935"/>
      <c r="C44" s="1654"/>
      <c r="D44" s="1844"/>
      <c r="E44" s="1540">
        <f t="shared" si="1"/>
        <v>0</v>
      </c>
      <c r="F44" s="1938">
        <f t="shared" si="0"/>
        <v>0</v>
      </c>
      <c r="G44" s="1793">
        <f t="shared" si="2"/>
        <v>0</v>
      </c>
    </row>
    <row r="45" spans="1:7" x14ac:dyDescent="0.25">
      <c r="A45" s="1653"/>
      <c r="B45" s="1935"/>
      <c r="C45" s="1654"/>
      <c r="D45" s="1844"/>
      <c r="E45" s="1540">
        <f t="shared" si="1"/>
        <v>0</v>
      </c>
      <c r="F45" s="1938">
        <f t="shared" si="0"/>
        <v>0</v>
      </c>
      <c r="G45" s="1793">
        <f t="shared" si="2"/>
        <v>0</v>
      </c>
    </row>
    <row r="46" spans="1:7" x14ac:dyDescent="0.25">
      <c r="A46" s="1653"/>
      <c r="B46" s="1935"/>
      <c r="C46" s="1654"/>
      <c r="D46" s="1844"/>
      <c r="E46" s="1540">
        <f t="shared" si="1"/>
        <v>0</v>
      </c>
      <c r="F46" s="1938">
        <f t="shared" si="0"/>
        <v>0</v>
      </c>
      <c r="G46" s="1793">
        <f t="shared" si="2"/>
        <v>0</v>
      </c>
    </row>
    <row r="47" spans="1:7" x14ac:dyDescent="0.25">
      <c r="A47" s="1653"/>
      <c r="B47" s="1667"/>
      <c r="C47" s="1654"/>
      <c r="D47" s="1844"/>
      <c r="E47" s="1540">
        <f t="shared" si="1"/>
        <v>0</v>
      </c>
      <c r="F47" s="1938">
        <f t="shared" si="0"/>
        <v>0</v>
      </c>
      <c r="G47" s="1793">
        <f t="shared" si="2"/>
        <v>0</v>
      </c>
    </row>
    <row r="48" spans="1:7" x14ac:dyDescent="0.25">
      <c r="A48" s="1653"/>
      <c r="B48" s="1667"/>
      <c r="C48" s="1654"/>
      <c r="D48" s="1844"/>
      <c r="E48" s="1540">
        <f t="shared" si="1"/>
        <v>0</v>
      </c>
      <c r="F48" s="1938">
        <f t="shared" si="0"/>
        <v>0</v>
      </c>
      <c r="G48" s="1793">
        <f t="shared" si="2"/>
        <v>0</v>
      </c>
    </row>
    <row r="49" spans="1:7" x14ac:dyDescent="0.25">
      <c r="A49" s="1653"/>
      <c r="B49" s="1667"/>
      <c r="C49" s="1654"/>
      <c r="D49" s="1844"/>
      <c r="E49" s="1540">
        <f t="shared" si="1"/>
        <v>0</v>
      </c>
      <c r="F49" s="1938">
        <f t="shared" si="0"/>
        <v>0</v>
      </c>
      <c r="G49" s="1793">
        <f t="shared" si="2"/>
        <v>0</v>
      </c>
    </row>
    <row r="50" spans="1:7" x14ac:dyDescent="0.25">
      <c r="A50" s="1653"/>
      <c r="B50" s="1667"/>
      <c r="C50" s="1654"/>
      <c r="D50" s="1844"/>
      <c r="E50" s="1540">
        <f t="shared" si="1"/>
        <v>0</v>
      </c>
      <c r="F50" s="1938">
        <f t="shared" si="0"/>
        <v>0</v>
      </c>
      <c r="G50" s="1793">
        <f t="shared" si="2"/>
        <v>0</v>
      </c>
    </row>
    <row r="51" spans="1:7" x14ac:dyDescent="0.25">
      <c r="A51" s="1653"/>
      <c r="B51" s="1667"/>
      <c r="C51" s="1654"/>
      <c r="D51" s="1844"/>
      <c r="E51" s="1540">
        <f t="shared" si="1"/>
        <v>0</v>
      </c>
      <c r="F51" s="1938">
        <f t="shared" si="0"/>
        <v>0</v>
      </c>
      <c r="G51" s="1793">
        <f t="shared" si="2"/>
        <v>0</v>
      </c>
    </row>
    <row r="52" spans="1:7" x14ac:dyDescent="0.25">
      <c r="A52" s="1653"/>
      <c r="B52" s="1667"/>
      <c r="C52" s="1654"/>
      <c r="D52" s="1844"/>
      <c r="E52" s="1540">
        <f t="shared" si="1"/>
        <v>0</v>
      </c>
      <c r="F52" s="1938">
        <f t="shared" si="0"/>
        <v>0</v>
      </c>
      <c r="G52" s="1793">
        <f t="shared" si="2"/>
        <v>0</v>
      </c>
    </row>
    <row r="53" spans="1:7" x14ac:dyDescent="0.25">
      <c r="A53" s="1653"/>
      <c r="B53" s="1667"/>
      <c r="C53" s="1654"/>
      <c r="D53" s="1844"/>
      <c r="E53" s="1540">
        <f t="shared" si="1"/>
        <v>0</v>
      </c>
      <c r="F53" s="1938">
        <f t="shared" si="0"/>
        <v>0</v>
      </c>
      <c r="G53" s="1793">
        <f t="shared" si="2"/>
        <v>0</v>
      </c>
    </row>
    <row r="54" spans="1:7" x14ac:dyDescent="0.25">
      <c r="A54" s="1653"/>
      <c r="B54" s="1667"/>
      <c r="C54" s="1654"/>
      <c r="D54" s="1844"/>
      <c r="E54" s="1540">
        <f t="shared" si="1"/>
        <v>0</v>
      </c>
      <c r="F54" s="1938">
        <f t="shared" si="0"/>
        <v>0</v>
      </c>
      <c r="G54" s="1793">
        <f t="shared" si="2"/>
        <v>0</v>
      </c>
    </row>
    <row r="55" spans="1:7" x14ac:dyDescent="0.25">
      <c r="A55" s="1653"/>
      <c r="B55" s="1667"/>
      <c r="C55" s="1654"/>
      <c r="D55" s="1844"/>
      <c r="E55" s="1540">
        <f t="shared" si="1"/>
        <v>0</v>
      </c>
      <c r="F55" s="1938">
        <f t="shared" si="0"/>
        <v>0</v>
      </c>
      <c r="G55" s="1793">
        <f t="shared" si="2"/>
        <v>0</v>
      </c>
    </row>
    <row r="56" spans="1:7" x14ac:dyDescent="0.25">
      <c r="A56" s="1653"/>
      <c r="B56" s="1667"/>
      <c r="C56" s="1654"/>
      <c r="D56" s="1844"/>
      <c r="E56" s="1540">
        <f t="shared" si="1"/>
        <v>0</v>
      </c>
      <c r="F56" s="1938">
        <f t="shared" si="0"/>
        <v>0</v>
      </c>
      <c r="G56" s="1793">
        <f t="shared" si="2"/>
        <v>0</v>
      </c>
    </row>
    <row r="57" spans="1:7" x14ac:dyDescent="0.25">
      <c r="A57" s="1653"/>
      <c r="B57" s="1667"/>
      <c r="C57" s="1654"/>
      <c r="D57" s="1844"/>
      <c r="E57" s="1540">
        <f t="shared" si="1"/>
        <v>0</v>
      </c>
      <c r="F57" s="1938">
        <f t="shared" si="0"/>
        <v>0</v>
      </c>
      <c r="G57" s="1793">
        <f t="shared" si="2"/>
        <v>0</v>
      </c>
    </row>
    <row r="58" spans="1:7" x14ac:dyDescent="0.25">
      <c r="A58" s="1653"/>
      <c r="B58" s="1667"/>
      <c r="C58" s="1654"/>
      <c r="D58" s="1844"/>
      <c r="E58" s="1540">
        <f t="shared" si="1"/>
        <v>0</v>
      </c>
      <c r="F58" s="1938">
        <f t="shared" si="0"/>
        <v>0</v>
      </c>
      <c r="G58" s="1793">
        <f t="shared" si="2"/>
        <v>0</v>
      </c>
    </row>
    <row r="59" spans="1:7" x14ac:dyDescent="0.25">
      <c r="A59" s="1653"/>
      <c r="B59" s="1667"/>
      <c r="C59" s="1654"/>
      <c r="D59" s="1844"/>
      <c r="E59" s="1540">
        <f t="shared" si="1"/>
        <v>0</v>
      </c>
      <c r="F59" s="1938">
        <f t="shared" si="0"/>
        <v>0</v>
      </c>
      <c r="G59" s="1793">
        <f t="shared" si="2"/>
        <v>0</v>
      </c>
    </row>
    <row r="60" spans="1:7" x14ac:dyDescent="0.25">
      <c r="A60" s="1653"/>
      <c r="B60" s="1667"/>
      <c r="C60" s="1654"/>
      <c r="D60" s="1844"/>
      <c r="E60" s="1540">
        <f t="shared" si="1"/>
        <v>0</v>
      </c>
      <c r="F60" s="1938">
        <f t="shared" si="0"/>
        <v>0</v>
      </c>
      <c r="G60" s="1793">
        <f t="shared" si="2"/>
        <v>0</v>
      </c>
    </row>
    <row r="61" spans="1:7" x14ac:dyDescent="0.25">
      <c r="A61" s="1653"/>
      <c r="B61" s="1667"/>
      <c r="C61" s="1654"/>
      <c r="D61" s="1844"/>
      <c r="E61" s="1540">
        <f t="shared" si="1"/>
        <v>0</v>
      </c>
      <c r="F61" s="1938">
        <f t="shared" si="0"/>
        <v>0</v>
      </c>
      <c r="G61" s="1793">
        <f t="shared" si="2"/>
        <v>0</v>
      </c>
    </row>
    <row r="62" spans="1:7" x14ac:dyDescent="0.25">
      <c r="A62" s="1653"/>
      <c r="B62" s="1667"/>
      <c r="C62" s="1654"/>
      <c r="D62" s="1844"/>
      <c r="E62" s="1540">
        <f t="shared" si="1"/>
        <v>0</v>
      </c>
      <c r="F62" s="1938">
        <f t="shared" si="0"/>
        <v>0</v>
      </c>
      <c r="G62" s="1793">
        <f t="shared" si="2"/>
        <v>0</v>
      </c>
    </row>
    <row r="63" spans="1:7" x14ac:dyDescent="0.25">
      <c r="A63" s="1653"/>
      <c r="B63" s="1667"/>
      <c r="C63" s="1654"/>
      <c r="D63" s="1844"/>
      <c r="E63" s="1540">
        <f t="shared" si="1"/>
        <v>0</v>
      </c>
      <c r="F63" s="1938">
        <f t="shared" si="0"/>
        <v>0</v>
      </c>
      <c r="G63" s="1793">
        <f t="shared" si="2"/>
        <v>0</v>
      </c>
    </row>
    <row r="64" spans="1:7" x14ac:dyDescent="0.25">
      <c r="A64" s="1653"/>
      <c r="B64" s="1667"/>
      <c r="C64" s="1654"/>
      <c r="D64" s="1844"/>
      <c r="E64" s="1540">
        <f t="shared" si="1"/>
        <v>0</v>
      </c>
      <c r="F64" s="1938">
        <f t="shared" si="0"/>
        <v>0</v>
      </c>
      <c r="G64" s="1793">
        <f t="shared" si="2"/>
        <v>0</v>
      </c>
    </row>
    <row r="65" spans="1:7" x14ac:dyDescent="0.25">
      <c r="A65" s="1655"/>
      <c r="B65" s="1667"/>
      <c r="C65" s="1656"/>
      <c r="D65" s="1844"/>
      <c r="E65" s="1540">
        <f t="shared" si="1"/>
        <v>0</v>
      </c>
      <c r="F65" s="1938">
        <f t="shared" si="0"/>
        <v>0</v>
      </c>
      <c r="G65" s="1793">
        <f t="shared" si="2"/>
        <v>0</v>
      </c>
    </row>
    <row r="66" spans="1:7" x14ac:dyDescent="0.25">
      <c r="A66" s="1653"/>
      <c r="B66" s="1667"/>
      <c r="C66" s="1654"/>
      <c r="D66" s="1844"/>
      <c r="E66" s="1540">
        <f t="shared" si="1"/>
        <v>0</v>
      </c>
      <c r="F66" s="1938">
        <f t="shared" si="0"/>
        <v>0</v>
      </c>
      <c r="G66" s="1793">
        <f t="shared" si="2"/>
        <v>0</v>
      </c>
    </row>
    <row r="67" spans="1:7" x14ac:dyDescent="0.25">
      <c r="A67" s="1653"/>
      <c r="B67" s="1667"/>
      <c r="C67" s="1654"/>
      <c r="D67" s="1844"/>
      <c r="E67" s="1540">
        <f t="shared" si="1"/>
        <v>0</v>
      </c>
      <c r="F67" s="1938">
        <f t="shared" si="0"/>
        <v>0</v>
      </c>
      <c r="G67" s="1793">
        <f t="shared" si="2"/>
        <v>0</v>
      </c>
    </row>
    <row r="68" spans="1:7" x14ac:dyDescent="0.25">
      <c r="A68" s="1653"/>
      <c r="B68" s="1667"/>
      <c r="C68" s="1654"/>
      <c r="D68" s="1844"/>
      <c r="E68" s="1540">
        <f t="shared" si="1"/>
        <v>0</v>
      </c>
      <c r="F68" s="1938">
        <f t="shared" si="0"/>
        <v>0</v>
      </c>
      <c r="G68" s="1793">
        <f t="shared" si="2"/>
        <v>0</v>
      </c>
    </row>
    <row r="69" spans="1:7" x14ac:dyDescent="0.25">
      <c r="A69" s="1653"/>
      <c r="B69" s="1667"/>
      <c r="C69" s="1654"/>
      <c r="D69" s="1844"/>
      <c r="E69" s="1540">
        <f t="shared" si="1"/>
        <v>0</v>
      </c>
      <c r="F69" s="1938">
        <f t="shared" si="0"/>
        <v>0</v>
      </c>
      <c r="G69" s="1793">
        <f t="shared" si="2"/>
        <v>0</v>
      </c>
    </row>
    <row r="70" spans="1:7" x14ac:dyDescent="0.25">
      <c r="A70" s="1653"/>
      <c r="B70" s="1667"/>
      <c r="C70" s="1654"/>
      <c r="D70" s="1844"/>
      <c r="E70" s="1540">
        <f t="shared" si="1"/>
        <v>0</v>
      </c>
      <c r="F70" s="1938">
        <f t="shared" si="0"/>
        <v>0</v>
      </c>
      <c r="G70" s="1793">
        <f t="shared" si="2"/>
        <v>0</v>
      </c>
    </row>
    <row r="71" spans="1:7" x14ac:dyDescent="0.25">
      <c r="A71" s="1653"/>
      <c r="B71" s="1667"/>
      <c r="C71" s="1654"/>
      <c r="D71" s="1844"/>
      <c r="E71" s="1540">
        <f t="shared" si="1"/>
        <v>0</v>
      </c>
      <c r="F71" s="1938">
        <f t="shared" si="0"/>
        <v>0</v>
      </c>
      <c r="G71" s="1793">
        <f t="shared" si="2"/>
        <v>0</v>
      </c>
    </row>
    <row r="72" spans="1:7" x14ac:dyDescent="0.25">
      <c r="A72" s="1653"/>
      <c r="B72" s="1667"/>
      <c r="C72" s="1654"/>
      <c r="D72" s="1844"/>
      <c r="E72" s="1540">
        <f t="shared" si="1"/>
        <v>0</v>
      </c>
      <c r="F72" s="1938">
        <f t="shared" si="0"/>
        <v>0</v>
      </c>
      <c r="G72" s="1793">
        <f t="shared" si="2"/>
        <v>0</v>
      </c>
    </row>
    <row r="73" spans="1:7" x14ac:dyDescent="0.25">
      <c r="A73" s="1653"/>
      <c r="B73" s="1667"/>
      <c r="C73" s="1654"/>
      <c r="D73" s="1844"/>
      <c r="E73" s="1540">
        <f t="shared" si="1"/>
        <v>0</v>
      </c>
      <c r="F73" s="1938">
        <f t="shared" si="0"/>
        <v>0</v>
      </c>
      <c r="G73" s="1793">
        <f t="shared" si="2"/>
        <v>0</v>
      </c>
    </row>
    <row r="74" spans="1:7" x14ac:dyDescent="0.25">
      <c r="A74" s="1653"/>
      <c r="B74" s="1667"/>
      <c r="C74" s="1654"/>
      <c r="D74" s="1844"/>
      <c r="E74" s="1540">
        <f t="shared" ref="E74:E85" si="3">IF(D74&lt;=25000,D74,IF(D74&gt;25000,25000,0))</f>
        <v>0</v>
      </c>
      <c r="F74" s="1938">
        <f t="shared" si="0"/>
        <v>0</v>
      </c>
      <c r="G74" s="1793">
        <f t="shared" ref="G74:G85" si="4">IF(F74=0,0,D74-F74)</f>
        <v>0</v>
      </c>
    </row>
    <row r="75" spans="1:7" x14ac:dyDescent="0.25">
      <c r="A75" s="1653"/>
      <c r="B75" s="1667"/>
      <c r="C75" s="1654"/>
      <c r="D75" s="1844"/>
      <c r="E75" s="1540">
        <f t="shared" si="3"/>
        <v>0</v>
      </c>
      <c r="F75" s="1938">
        <f t="shared" si="0"/>
        <v>0</v>
      </c>
      <c r="G75" s="1793">
        <f t="shared" si="4"/>
        <v>0</v>
      </c>
    </row>
    <row r="76" spans="1:7" x14ac:dyDescent="0.25">
      <c r="A76" s="1653"/>
      <c r="B76" s="1667"/>
      <c r="C76" s="1654"/>
      <c r="D76" s="1844"/>
      <c r="E76" s="1540">
        <f t="shared" si="3"/>
        <v>0</v>
      </c>
      <c r="F76" s="1938">
        <f t="shared" si="0"/>
        <v>0</v>
      </c>
      <c r="G76" s="1793">
        <f t="shared" si="4"/>
        <v>0</v>
      </c>
    </row>
    <row r="77" spans="1:7" x14ac:dyDescent="0.25">
      <c r="A77" s="1653"/>
      <c r="B77" s="1667"/>
      <c r="C77" s="1654"/>
      <c r="D77" s="1844"/>
      <c r="E77" s="1540">
        <f t="shared" si="3"/>
        <v>0</v>
      </c>
      <c r="F77" s="1938">
        <f t="shared" si="0"/>
        <v>0</v>
      </c>
      <c r="G77" s="1793">
        <f t="shared" si="4"/>
        <v>0</v>
      </c>
    </row>
    <row r="78" spans="1:7" x14ac:dyDescent="0.25">
      <c r="A78" s="1653"/>
      <c r="B78" s="1667"/>
      <c r="C78" s="1654"/>
      <c r="D78" s="1844"/>
      <c r="E78" s="1540">
        <f t="shared" si="3"/>
        <v>0</v>
      </c>
      <c r="F78" s="1938">
        <f t="shared" si="0"/>
        <v>0</v>
      </c>
      <c r="G78" s="1793">
        <f t="shared" si="4"/>
        <v>0</v>
      </c>
    </row>
    <row r="79" spans="1:7" x14ac:dyDescent="0.25">
      <c r="A79" s="1653"/>
      <c r="B79" s="1667"/>
      <c r="C79" s="1654"/>
      <c r="D79" s="1844"/>
      <c r="E79" s="1540">
        <f t="shared" si="3"/>
        <v>0</v>
      </c>
      <c r="F79" s="1938">
        <f t="shared" si="0"/>
        <v>0</v>
      </c>
      <c r="G79" s="1793">
        <f t="shared" si="4"/>
        <v>0</v>
      </c>
    </row>
    <row r="80" spans="1:7" x14ac:dyDescent="0.25">
      <c r="A80" s="1653"/>
      <c r="B80" s="1667"/>
      <c r="C80" s="1654"/>
      <c r="D80" s="1844"/>
      <c r="E80" s="1540">
        <f t="shared" si="3"/>
        <v>0</v>
      </c>
      <c r="F80" s="1938">
        <f t="shared" si="0"/>
        <v>0</v>
      </c>
      <c r="G80" s="1793">
        <f t="shared" si="4"/>
        <v>0</v>
      </c>
    </row>
    <row r="81" spans="1:7" x14ac:dyDescent="0.25">
      <c r="A81" s="1653"/>
      <c r="B81" s="1667"/>
      <c r="C81" s="1654"/>
      <c r="D81" s="1844"/>
      <c r="E81" s="1540">
        <f t="shared" si="3"/>
        <v>0</v>
      </c>
      <c r="F81" s="1938">
        <f t="shared" si="0"/>
        <v>0</v>
      </c>
      <c r="G81" s="1793">
        <f t="shared" si="4"/>
        <v>0</v>
      </c>
    </row>
    <row r="82" spans="1:7" x14ac:dyDescent="0.25">
      <c r="A82" s="1653"/>
      <c r="B82" s="1667"/>
      <c r="C82" s="1654"/>
      <c r="D82" s="1844"/>
      <c r="E82" s="1540">
        <f t="shared" si="3"/>
        <v>0</v>
      </c>
      <c r="F82" s="1938">
        <f t="shared" ref="F82:F141" si="5">(IF(D82="",0,(IF(OR(B82="10-1000-100",B82="10-1000-200",B82="10-1000-300",B82="10-1000-400",B82="10-1000-600",B82="10-1000-800",B82="50-1000-200",B82="10-2100-100",B82="10-2100-200",B82="10-2100-300",B82="10-2100-400",B82="10-2100-600",B82="10-2100-800",B82="20-2100-100",B82="20-2100-200",B82="20-2100-300",B82="20-2100-400",B82="20-2100-600",B82="20-2100-800",B82="40-2100-100",B82="40-2100-200",B82="40-2100-300",B82="40-2100-400",B82="40-2100-600",B82="40-2100-800",B82="50-2100-200",B82="10-2200-100",B82="10-2200-200",B82="10-2200-300",B82="10-2200-400",B82="10-2200-600",B82="10-2200-800",B82="50-2200-200",B82="10-2300-100",B82="10-2300-200",B82="10-2300-300",B82="10-2300-400",B82="10-2300-600",B82="10-2300-800",B82="50-2300-200",B82="80-2300-100",B82="80-2300-200",B82="80-2300-300",B82="80-2300-400",B82="80-2300-600",B82="80-2300-800",B82="10-2400-100",B82="10-2400-200",B82="10-2400-300",B82="10-2400-400",B82="10-2400-600",B82="10-2400-800",B82="50-2400-200",B82="10-2510-100",B82="10-2510-200",B82="10-2510-300",B82="10-2510-400",B82="10-2510-600",B82="10-2510-800",B82="20-2510-100",B82="20-2510-200",B82="20-2510-300",B82="20-2510-400",B82="20-2510-600",B82="20-2510-800",B82="50-2510-200",B82="10-2520-100",B82="10-2520-200",B82="10-2520-300",B82="10-2520-400",B82="10-2520-600",B82="10-2520-800",B82="50-2520-200",B82="10-2540-100",B82="10-2540-200",B82="10-2540-300",B82="10-2540-400",B82="10-2540-600",B82="10-2540-800",B82="20-2540-100",B82="20-2540-200",B82="20-2540-300",B82="20-2540-400",B82="20-2540-600",B82="20-2540-800",B82="50-2540-200",B82="10-2550-100",B82="10-2550-200",B82="10-2550-300",B82="10-2550-400",B82="10-2550-600",B82="10-2550-800",B82="20-2550-100",B82="20-2550-200",B82="20-2550-300",B82="20-2550-400",B82="20-2550-600",B82="20-2550-800",B82="40-2550-100",B82="40-2550-200",B82="40-2550-300",B82="40-2550-400",B82="40-2550-600",B82="40-2550-800",B82="50-2550-200",B82="10-2560-100",B82="10-2560-200",B82="10-2560-300",B82="10-2560-400",B82="10-2560-600",B82="10-2560-800",B82="50-2560-200",B82="10-2570-100",B82="10-2570-200",B82="10-2570-300",B82="10-2570-400",B82="10-2570-600",B82="10-2570-800",B82="50-2570-200",B82="10-2610-100",B82="10-2610-200",B82="10-2610-300",B82="10-2610-400",B82="10-2610-600",B82="10-2610-800",B82="50-2610-200",B82="10-2620-100",B82="10-2620-200",B82="10-2620-300",B82="10-2620-400",B82="10-2620-600",B82="10-2620-800",B82="50-2620-200",B82="10-2630-100",B82="10-2630-200",B82="10-2630-300",B82="10-2630-400",B82="10-2630-600",B82="10-2630-800",B82="50-2630-200",B82="10-2640-100",B82="10-2640-200",B82="10-2640-300",B82="10-2640-400",B82="10-2640-600",B82="10-2640-800",B82="50-2640-200",B82="10-2660-100",B82="10-2660-200",B82="10-2660-300",B82="10-2660-400",B82="10-2660-600",B82="10-2660-800",B82="50-2660-200",B82="10-2900-100",B82="10-2900-200",B82="10-2900-300",B82="10-2900-400",B82="10-2900-600",B82="10-2900-800",B82="20-2900-100",B82="20-2900-200",B82="20-2900-300",B82="20-2900-400",B82="20-2900-600",B82="20-2900-800",B82="40-2900-100",B82="40-2900-200",B82="40-2900-300",B82="40-2900-400",B82="40-2900-600",B82="40-2900-800",B82="50-2900-200",B82="10-3000-100",B82="10-3000-200",B82="10-3000-300",B82="10-3000-400",B82="10-3000-600",B82="10-3000-800",B82="20-3000-100",B82="20-3000-200",B82="20-3000-300",B82="20-3000-400",B82="20-3000-600",B82="20-3000-800",B82="40-3000-100",B82="40-3000-200",B82="40-3000-300",B82="40-3000-400",B82="40-3000-600",B82="40-3000-800",B82="50-3000-200"),E82,"Check func/obj # in Colm B"))))</f>
        <v>0</v>
      </c>
      <c r="G82" s="1793">
        <f t="shared" si="4"/>
        <v>0</v>
      </c>
    </row>
    <row r="83" spans="1:7" x14ac:dyDescent="0.25">
      <c r="A83" s="1653"/>
      <c r="B83" s="1667"/>
      <c r="C83" s="1654"/>
      <c r="D83" s="1844"/>
      <c r="E83" s="1540">
        <f t="shared" si="3"/>
        <v>0</v>
      </c>
      <c r="F83" s="1938">
        <f t="shared" si="5"/>
        <v>0</v>
      </c>
      <c r="G83" s="1793">
        <f t="shared" si="4"/>
        <v>0</v>
      </c>
    </row>
    <row r="84" spans="1:7" x14ac:dyDescent="0.25">
      <c r="A84" s="1653"/>
      <c r="B84" s="1667"/>
      <c r="C84" s="1654"/>
      <c r="D84" s="1844"/>
      <c r="E84" s="1540">
        <f t="shared" si="3"/>
        <v>0</v>
      </c>
      <c r="F84" s="1938">
        <f t="shared" si="5"/>
        <v>0</v>
      </c>
      <c r="G84" s="1793">
        <f t="shared" si="4"/>
        <v>0</v>
      </c>
    </row>
    <row r="85" spans="1:7" x14ac:dyDescent="0.25">
      <c r="A85" s="1653"/>
      <c r="B85" s="1667"/>
      <c r="C85" s="1654"/>
      <c r="D85" s="1844"/>
      <c r="E85" s="1540">
        <f t="shared" si="3"/>
        <v>0</v>
      </c>
      <c r="F85" s="1938">
        <f t="shared" si="5"/>
        <v>0</v>
      </c>
      <c r="G85" s="1793">
        <f t="shared" si="4"/>
        <v>0</v>
      </c>
    </row>
    <row r="86" spans="1:7" x14ac:dyDescent="0.25">
      <c r="A86" s="1653"/>
      <c r="B86" s="1667"/>
      <c r="C86" s="1654"/>
      <c r="D86" s="1844"/>
      <c r="E86" s="1540">
        <f t="shared" si="1"/>
        <v>0</v>
      </c>
      <c r="F86" s="1938">
        <f t="shared" si="5"/>
        <v>0</v>
      </c>
      <c r="G86" s="1793">
        <f t="shared" si="2"/>
        <v>0</v>
      </c>
    </row>
    <row r="87" spans="1:7" x14ac:dyDescent="0.25">
      <c r="A87" s="1653"/>
      <c r="B87" s="1667"/>
      <c r="C87" s="1654"/>
      <c r="D87" s="1844"/>
      <c r="E87" s="1540">
        <f t="shared" si="1"/>
        <v>0</v>
      </c>
      <c r="F87" s="1938">
        <f t="shared" si="5"/>
        <v>0</v>
      </c>
      <c r="G87" s="1793">
        <f t="shared" si="2"/>
        <v>0</v>
      </c>
    </row>
    <row r="88" spans="1:7" x14ac:dyDescent="0.25">
      <c r="A88" s="1653"/>
      <c r="B88" s="1667"/>
      <c r="C88" s="1654"/>
      <c r="D88" s="1844"/>
      <c r="E88" s="1540">
        <f t="shared" si="1"/>
        <v>0</v>
      </c>
      <c r="F88" s="1938">
        <f t="shared" si="5"/>
        <v>0</v>
      </c>
      <c r="G88" s="1793">
        <f t="shared" si="2"/>
        <v>0</v>
      </c>
    </row>
    <row r="89" spans="1:7" x14ac:dyDescent="0.25">
      <c r="A89" s="1653"/>
      <c r="B89" s="1667"/>
      <c r="C89" s="1654"/>
      <c r="D89" s="1844"/>
      <c r="E89" s="1540">
        <f t="shared" si="1"/>
        <v>0</v>
      </c>
      <c r="F89" s="1938">
        <f t="shared" si="5"/>
        <v>0</v>
      </c>
      <c r="G89" s="1793">
        <f t="shared" si="2"/>
        <v>0</v>
      </c>
    </row>
    <row r="90" spans="1:7" x14ac:dyDescent="0.25">
      <c r="A90" s="1653"/>
      <c r="B90" s="1667"/>
      <c r="C90" s="1654"/>
      <c r="D90" s="1844"/>
      <c r="E90" s="1540">
        <f t="shared" si="1"/>
        <v>0</v>
      </c>
      <c r="F90" s="1938">
        <f t="shared" si="5"/>
        <v>0</v>
      </c>
      <c r="G90" s="1793">
        <f t="shared" si="2"/>
        <v>0</v>
      </c>
    </row>
    <row r="91" spans="1:7" x14ac:dyDescent="0.25">
      <c r="A91" s="1653"/>
      <c r="B91" s="1667"/>
      <c r="C91" s="1654"/>
      <c r="D91" s="1844"/>
      <c r="E91" s="1540">
        <f t="shared" si="1"/>
        <v>0</v>
      </c>
      <c r="F91" s="1938">
        <f t="shared" si="5"/>
        <v>0</v>
      </c>
      <c r="G91" s="1793">
        <f t="shared" si="2"/>
        <v>0</v>
      </c>
    </row>
    <row r="92" spans="1:7" x14ac:dyDescent="0.25">
      <c r="A92" s="1653"/>
      <c r="B92" s="1667"/>
      <c r="C92" s="1654"/>
      <c r="D92" s="1844"/>
      <c r="E92" s="1540">
        <f t="shared" si="1"/>
        <v>0</v>
      </c>
      <c r="F92" s="1938">
        <f t="shared" si="5"/>
        <v>0</v>
      </c>
      <c r="G92" s="1793">
        <f t="shared" si="2"/>
        <v>0</v>
      </c>
    </row>
    <row r="93" spans="1:7" x14ac:dyDescent="0.25">
      <c r="A93" s="1653"/>
      <c r="B93" s="1667"/>
      <c r="C93" s="1654"/>
      <c r="D93" s="1844"/>
      <c r="E93" s="1540">
        <f t="shared" si="1"/>
        <v>0</v>
      </c>
      <c r="F93" s="1938">
        <f t="shared" si="5"/>
        <v>0</v>
      </c>
      <c r="G93" s="1793">
        <f t="shared" si="2"/>
        <v>0</v>
      </c>
    </row>
    <row r="94" spans="1:7" x14ac:dyDescent="0.25">
      <c r="A94" s="1653"/>
      <c r="B94" s="1667"/>
      <c r="C94" s="1654"/>
      <c r="D94" s="1844"/>
      <c r="E94" s="1540">
        <f>IF(D94&lt;=25000,D94,IF(D94&gt;25000,25000,0))</f>
        <v>0</v>
      </c>
      <c r="F94" s="1938">
        <f t="shared" si="5"/>
        <v>0</v>
      </c>
      <c r="G94" s="1793">
        <f>IF(F94=0,0,D94-F94)</f>
        <v>0</v>
      </c>
    </row>
    <row r="95" spans="1:7" x14ac:dyDescent="0.25">
      <c r="A95" s="1653"/>
      <c r="B95" s="1667"/>
      <c r="C95" s="1654"/>
      <c r="D95" s="1844"/>
      <c r="E95" s="1540">
        <f t="shared" si="1"/>
        <v>0</v>
      </c>
      <c r="F95" s="1938">
        <f t="shared" si="5"/>
        <v>0</v>
      </c>
      <c r="G95" s="1793">
        <f t="shared" si="2"/>
        <v>0</v>
      </c>
    </row>
    <row r="96" spans="1:7" x14ac:dyDescent="0.25">
      <c r="A96" s="1653"/>
      <c r="B96" s="1667"/>
      <c r="C96" s="1654"/>
      <c r="D96" s="1844"/>
      <c r="E96" s="1540">
        <f>IF(D96&lt;=25000,D96,IF(D96&gt;25000,25000,0))</f>
        <v>0</v>
      </c>
      <c r="F96" s="1938">
        <f t="shared" si="5"/>
        <v>0</v>
      </c>
      <c r="G96" s="1793">
        <f>IF(F96=0,0,D96-F96)</f>
        <v>0</v>
      </c>
    </row>
    <row r="97" spans="1:7" x14ac:dyDescent="0.25">
      <c r="A97" s="1653"/>
      <c r="B97" s="1667"/>
      <c r="C97" s="1654"/>
      <c r="D97" s="1844"/>
      <c r="E97" s="1540">
        <f>IF(D97&lt;=25000,D97,IF(D97&gt;25000,25000,0))</f>
        <v>0</v>
      </c>
      <c r="F97" s="1938">
        <f t="shared" si="5"/>
        <v>0</v>
      </c>
      <c r="G97" s="1793">
        <f>IF(F97=0,0,D97-F97)</f>
        <v>0</v>
      </c>
    </row>
    <row r="98" spans="1:7" x14ac:dyDescent="0.25">
      <c r="A98" s="1653"/>
      <c r="B98" s="1667"/>
      <c r="C98" s="1654"/>
      <c r="D98" s="1844"/>
      <c r="E98" s="1540">
        <f>IF(D98&lt;=25000,D98,IF(D98&gt;25000,25000,0))</f>
        <v>0</v>
      </c>
      <c r="F98" s="1938">
        <f t="shared" si="5"/>
        <v>0</v>
      </c>
      <c r="G98" s="1793">
        <f>IF(F98=0,0,D98-F98)</f>
        <v>0</v>
      </c>
    </row>
    <row r="99" spans="1:7" x14ac:dyDescent="0.25">
      <c r="A99" s="1653"/>
      <c r="B99" s="1667"/>
      <c r="C99" s="1654"/>
      <c r="D99" s="1844"/>
      <c r="E99" s="1540">
        <f>IF(D99&lt;=25000,D99,IF(D99&gt;25000,25000,0))</f>
        <v>0</v>
      </c>
      <c r="F99" s="1938">
        <f t="shared" si="5"/>
        <v>0</v>
      </c>
      <c r="G99" s="1793">
        <f>IF(F99=0,0,D99-F99)</f>
        <v>0</v>
      </c>
    </row>
    <row r="100" spans="1:7" x14ac:dyDescent="0.25">
      <c r="A100" s="1653"/>
      <c r="B100" s="1667"/>
      <c r="C100" s="1654"/>
      <c r="D100" s="1844"/>
      <c r="E100" s="1540">
        <f>IF(D100&lt;=25000,D100,IF(D100&gt;25000,25000,0))</f>
        <v>0</v>
      </c>
      <c r="F100" s="1938">
        <f t="shared" si="5"/>
        <v>0</v>
      </c>
      <c r="G100" s="1793">
        <f>IF(F100=0,0,D100-F100)</f>
        <v>0</v>
      </c>
    </row>
    <row r="101" spans="1:7" x14ac:dyDescent="0.25">
      <c r="A101" s="1653"/>
      <c r="B101" s="1667"/>
      <c r="C101" s="1654"/>
      <c r="D101" s="1844"/>
      <c r="E101" s="1540">
        <f t="shared" ref="E101:E113" si="6">IF(D101&lt;=25000,D101,IF(D101&gt;25000,25000,0))</f>
        <v>0</v>
      </c>
      <c r="F101" s="1938">
        <f t="shared" si="5"/>
        <v>0</v>
      </c>
      <c r="G101" s="1793">
        <f t="shared" ref="G101:G113" si="7">IF(F101=0,0,D101-F101)</f>
        <v>0</v>
      </c>
    </row>
    <row r="102" spans="1:7" x14ac:dyDescent="0.25">
      <c r="A102" s="1653"/>
      <c r="B102" s="1667"/>
      <c r="C102" s="1654"/>
      <c r="D102" s="1844"/>
      <c r="E102" s="1540">
        <f t="shared" si="6"/>
        <v>0</v>
      </c>
      <c r="F102" s="1938">
        <f t="shared" si="5"/>
        <v>0</v>
      </c>
      <c r="G102" s="1793">
        <f t="shared" si="7"/>
        <v>0</v>
      </c>
    </row>
    <row r="103" spans="1:7" x14ac:dyDescent="0.25">
      <c r="A103" s="1653"/>
      <c r="B103" s="1667"/>
      <c r="C103" s="1654"/>
      <c r="D103" s="1844"/>
      <c r="E103" s="1540">
        <f t="shared" si="6"/>
        <v>0</v>
      </c>
      <c r="F103" s="1938">
        <f t="shared" si="5"/>
        <v>0</v>
      </c>
      <c r="G103" s="1793">
        <f t="shared" si="7"/>
        <v>0</v>
      </c>
    </row>
    <row r="104" spans="1:7" x14ac:dyDescent="0.25">
      <c r="A104" s="1653"/>
      <c r="B104" s="1667"/>
      <c r="C104" s="1654"/>
      <c r="D104" s="1844"/>
      <c r="E104" s="1540">
        <f t="shared" si="6"/>
        <v>0</v>
      </c>
      <c r="F104" s="1938">
        <f t="shared" si="5"/>
        <v>0</v>
      </c>
      <c r="G104" s="1793">
        <f t="shared" si="7"/>
        <v>0</v>
      </c>
    </row>
    <row r="105" spans="1:7" x14ac:dyDescent="0.25">
      <c r="A105" s="1653"/>
      <c r="B105" s="1667"/>
      <c r="C105" s="1654"/>
      <c r="D105" s="1844"/>
      <c r="E105" s="1540">
        <f t="shared" si="6"/>
        <v>0</v>
      </c>
      <c r="F105" s="1938">
        <f t="shared" si="5"/>
        <v>0</v>
      </c>
      <c r="G105" s="1793">
        <f t="shared" si="7"/>
        <v>0</v>
      </c>
    </row>
    <row r="106" spans="1:7" x14ac:dyDescent="0.25">
      <c r="A106" s="1653"/>
      <c r="B106" s="1667"/>
      <c r="C106" s="1654"/>
      <c r="D106" s="1844"/>
      <c r="E106" s="1540">
        <f t="shared" si="6"/>
        <v>0</v>
      </c>
      <c r="F106" s="1938">
        <f t="shared" si="5"/>
        <v>0</v>
      </c>
      <c r="G106" s="1793">
        <f t="shared" si="7"/>
        <v>0</v>
      </c>
    </row>
    <row r="107" spans="1:7" x14ac:dyDescent="0.25">
      <c r="A107" s="1653"/>
      <c r="B107" s="1667"/>
      <c r="C107" s="1654"/>
      <c r="D107" s="1844"/>
      <c r="E107" s="1540">
        <f t="shared" si="6"/>
        <v>0</v>
      </c>
      <c r="F107" s="1938">
        <f t="shared" si="5"/>
        <v>0</v>
      </c>
      <c r="G107" s="1793">
        <f t="shared" si="7"/>
        <v>0</v>
      </c>
    </row>
    <row r="108" spans="1:7" x14ac:dyDescent="0.25">
      <c r="A108" s="1653"/>
      <c r="B108" s="1667"/>
      <c r="C108" s="1654"/>
      <c r="D108" s="1844"/>
      <c r="E108" s="1540">
        <f t="shared" si="6"/>
        <v>0</v>
      </c>
      <c r="F108" s="1938">
        <f t="shared" si="5"/>
        <v>0</v>
      </c>
      <c r="G108" s="1793">
        <f t="shared" si="7"/>
        <v>0</v>
      </c>
    </row>
    <row r="109" spans="1:7" x14ac:dyDescent="0.25">
      <c r="A109" s="1653"/>
      <c r="B109" s="1667"/>
      <c r="C109" s="1654"/>
      <c r="D109" s="1844"/>
      <c r="E109" s="1540">
        <f t="shared" si="6"/>
        <v>0</v>
      </c>
      <c r="F109" s="1938">
        <f t="shared" si="5"/>
        <v>0</v>
      </c>
      <c r="G109" s="1793">
        <f t="shared" si="7"/>
        <v>0</v>
      </c>
    </row>
    <row r="110" spans="1:7" x14ac:dyDescent="0.25">
      <c r="A110" s="1653"/>
      <c r="B110" s="1667"/>
      <c r="C110" s="1654"/>
      <c r="D110" s="1844"/>
      <c r="E110" s="1540">
        <f t="shared" si="6"/>
        <v>0</v>
      </c>
      <c r="F110" s="1938">
        <f t="shared" si="5"/>
        <v>0</v>
      </c>
      <c r="G110" s="1793">
        <f t="shared" si="7"/>
        <v>0</v>
      </c>
    </row>
    <row r="111" spans="1:7" x14ac:dyDescent="0.25">
      <c r="A111" s="1653"/>
      <c r="B111" s="1667"/>
      <c r="C111" s="1654"/>
      <c r="D111" s="1844"/>
      <c r="E111" s="1540">
        <f t="shared" si="6"/>
        <v>0</v>
      </c>
      <c r="F111" s="1938">
        <f t="shared" si="5"/>
        <v>0</v>
      </c>
      <c r="G111" s="1793">
        <f t="shared" si="7"/>
        <v>0</v>
      </c>
    </row>
    <row r="112" spans="1:7" x14ac:dyDescent="0.25">
      <c r="A112" s="1653"/>
      <c r="B112" s="1667"/>
      <c r="C112" s="1654"/>
      <c r="D112" s="1844"/>
      <c r="E112" s="1540">
        <f t="shared" si="6"/>
        <v>0</v>
      </c>
      <c r="F112" s="1938">
        <f t="shared" si="5"/>
        <v>0</v>
      </c>
      <c r="G112" s="1793">
        <f t="shared" si="7"/>
        <v>0</v>
      </c>
    </row>
    <row r="113" spans="1:7" x14ac:dyDescent="0.25">
      <c r="A113" s="1653"/>
      <c r="B113" s="1667"/>
      <c r="C113" s="1654"/>
      <c r="D113" s="1844"/>
      <c r="E113" s="1540">
        <f t="shared" si="6"/>
        <v>0</v>
      </c>
      <c r="F113" s="1938">
        <f t="shared" si="5"/>
        <v>0</v>
      </c>
      <c r="G113" s="1793">
        <f t="shared" si="7"/>
        <v>0</v>
      </c>
    </row>
    <row r="114" spans="1:7" x14ac:dyDescent="0.25">
      <c r="A114" s="1653"/>
      <c r="B114" s="1667"/>
      <c r="C114" s="1654"/>
      <c r="D114" s="1844"/>
      <c r="E114" s="1540">
        <f t="shared" ref="E114:E126" si="8">IF(D114&lt;=25000,D114,IF(D114&gt;25000,25000,0))</f>
        <v>0</v>
      </c>
      <c r="F114" s="1938">
        <f t="shared" si="5"/>
        <v>0</v>
      </c>
      <c r="G114" s="1793">
        <f t="shared" ref="G114:G126" si="9">IF(F114=0,0,D114-F114)</f>
        <v>0</v>
      </c>
    </row>
    <row r="115" spans="1:7" x14ac:dyDescent="0.25">
      <c r="A115" s="1653"/>
      <c r="B115" s="1667"/>
      <c r="C115" s="1654"/>
      <c r="D115" s="1844"/>
      <c r="E115" s="1540">
        <f t="shared" si="8"/>
        <v>0</v>
      </c>
      <c r="F115" s="1938">
        <f t="shared" si="5"/>
        <v>0</v>
      </c>
      <c r="G115" s="1793">
        <f t="shared" si="9"/>
        <v>0</v>
      </c>
    </row>
    <row r="116" spans="1:7" x14ac:dyDescent="0.25">
      <c r="A116" s="1653"/>
      <c r="B116" s="1667"/>
      <c r="C116" s="1654"/>
      <c r="D116" s="1844"/>
      <c r="E116" s="1540">
        <f t="shared" si="8"/>
        <v>0</v>
      </c>
      <c r="F116" s="1938">
        <f t="shared" si="5"/>
        <v>0</v>
      </c>
      <c r="G116" s="1793">
        <f t="shared" si="9"/>
        <v>0</v>
      </c>
    </row>
    <row r="117" spans="1:7" x14ac:dyDescent="0.25">
      <c r="A117" s="1653"/>
      <c r="B117" s="1667"/>
      <c r="C117" s="1654"/>
      <c r="D117" s="1844"/>
      <c r="E117" s="1540">
        <f t="shared" si="8"/>
        <v>0</v>
      </c>
      <c r="F117" s="1938">
        <f t="shared" si="5"/>
        <v>0</v>
      </c>
      <c r="G117" s="1793">
        <f t="shared" si="9"/>
        <v>0</v>
      </c>
    </row>
    <row r="118" spans="1:7" x14ac:dyDescent="0.25">
      <c r="A118" s="1653"/>
      <c r="B118" s="1667"/>
      <c r="C118" s="1654"/>
      <c r="D118" s="1844"/>
      <c r="E118" s="1540">
        <f t="shared" si="8"/>
        <v>0</v>
      </c>
      <c r="F118" s="1938">
        <f t="shared" si="5"/>
        <v>0</v>
      </c>
      <c r="G118" s="1793">
        <f t="shared" si="9"/>
        <v>0</v>
      </c>
    </row>
    <row r="119" spans="1:7" x14ac:dyDescent="0.25">
      <c r="A119" s="1653"/>
      <c r="B119" s="1667"/>
      <c r="C119" s="1654"/>
      <c r="D119" s="1844"/>
      <c r="E119" s="1540">
        <f t="shared" si="8"/>
        <v>0</v>
      </c>
      <c r="F119" s="1938">
        <f t="shared" si="5"/>
        <v>0</v>
      </c>
      <c r="G119" s="1793">
        <f t="shared" si="9"/>
        <v>0</v>
      </c>
    </row>
    <row r="120" spans="1:7" x14ac:dyDescent="0.25">
      <c r="A120" s="1653"/>
      <c r="B120" s="1667"/>
      <c r="C120" s="1654"/>
      <c r="D120" s="1844"/>
      <c r="E120" s="1540">
        <f t="shared" si="8"/>
        <v>0</v>
      </c>
      <c r="F120" s="1938">
        <f t="shared" si="5"/>
        <v>0</v>
      </c>
      <c r="G120" s="1793">
        <f t="shared" si="9"/>
        <v>0</v>
      </c>
    </row>
    <row r="121" spans="1:7" x14ac:dyDescent="0.25">
      <c r="A121" s="1653"/>
      <c r="B121" s="1667"/>
      <c r="C121" s="1654"/>
      <c r="D121" s="1844"/>
      <c r="E121" s="1540">
        <f t="shared" si="8"/>
        <v>0</v>
      </c>
      <c r="F121" s="1938">
        <f t="shared" si="5"/>
        <v>0</v>
      </c>
      <c r="G121" s="1793">
        <f t="shared" si="9"/>
        <v>0</v>
      </c>
    </row>
    <row r="122" spans="1:7" x14ac:dyDescent="0.25">
      <c r="A122" s="1653"/>
      <c r="B122" s="1667"/>
      <c r="C122" s="1654"/>
      <c r="D122" s="1844"/>
      <c r="E122" s="1540">
        <f t="shared" si="8"/>
        <v>0</v>
      </c>
      <c r="F122" s="1938">
        <f t="shared" si="5"/>
        <v>0</v>
      </c>
      <c r="G122" s="1793">
        <f t="shared" si="9"/>
        <v>0</v>
      </c>
    </row>
    <row r="123" spans="1:7" x14ac:dyDescent="0.25">
      <c r="A123" s="1653"/>
      <c r="B123" s="1667"/>
      <c r="C123" s="1654"/>
      <c r="D123" s="1844"/>
      <c r="E123" s="1540">
        <f t="shared" si="8"/>
        <v>0</v>
      </c>
      <c r="F123" s="1938">
        <f t="shared" si="5"/>
        <v>0</v>
      </c>
      <c r="G123" s="1793">
        <f t="shared" si="9"/>
        <v>0</v>
      </c>
    </row>
    <row r="124" spans="1:7" x14ac:dyDescent="0.25">
      <c r="A124" s="1653"/>
      <c r="B124" s="1667"/>
      <c r="C124" s="1654"/>
      <c r="D124" s="1844"/>
      <c r="E124" s="1540">
        <f t="shared" si="8"/>
        <v>0</v>
      </c>
      <c r="F124" s="1938">
        <f t="shared" si="5"/>
        <v>0</v>
      </c>
      <c r="G124" s="1793">
        <f t="shared" si="9"/>
        <v>0</v>
      </c>
    </row>
    <row r="125" spans="1:7" x14ac:dyDescent="0.25">
      <c r="A125" s="1653"/>
      <c r="B125" s="1667"/>
      <c r="C125" s="1654"/>
      <c r="D125" s="1844"/>
      <c r="E125" s="1540">
        <f t="shared" si="8"/>
        <v>0</v>
      </c>
      <c r="F125" s="1938">
        <f t="shared" si="5"/>
        <v>0</v>
      </c>
      <c r="G125" s="1793">
        <f t="shared" si="9"/>
        <v>0</v>
      </c>
    </row>
    <row r="126" spans="1:7" x14ac:dyDescent="0.25">
      <c r="A126" s="1653"/>
      <c r="B126" s="1667"/>
      <c r="C126" s="1654"/>
      <c r="D126" s="1844"/>
      <c r="E126" s="1540">
        <f t="shared" si="8"/>
        <v>0</v>
      </c>
      <c r="F126" s="1938">
        <f t="shared" si="5"/>
        <v>0</v>
      </c>
      <c r="G126" s="1793">
        <f t="shared" si="9"/>
        <v>0</v>
      </c>
    </row>
    <row r="127" spans="1:7" x14ac:dyDescent="0.25">
      <c r="A127" s="1653"/>
      <c r="B127" s="1667"/>
      <c r="C127" s="1654"/>
      <c r="D127" s="1844"/>
      <c r="E127" s="1540">
        <f t="shared" ref="E127:E135" si="10">IF(D127&lt;=25000,D127,IF(D127&gt;25000,25000,0))</f>
        <v>0</v>
      </c>
      <c r="F127" s="1938">
        <f t="shared" si="5"/>
        <v>0</v>
      </c>
      <c r="G127" s="1793">
        <f t="shared" ref="G127:G135" si="11">IF(F127=0,0,D127-F127)</f>
        <v>0</v>
      </c>
    </row>
    <row r="128" spans="1:7" x14ac:dyDescent="0.25">
      <c r="A128" s="1653"/>
      <c r="B128" s="1667"/>
      <c r="C128" s="1654"/>
      <c r="D128" s="1844"/>
      <c r="E128" s="1540">
        <f t="shared" si="10"/>
        <v>0</v>
      </c>
      <c r="F128" s="1938">
        <f t="shared" si="5"/>
        <v>0</v>
      </c>
      <c r="G128" s="1793">
        <f t="shared" si="11"/>
        <v>0</v>
      </c>
    </row>
    <row r="129" spans="1:7" x14ac:dyDescent="0.25">
      <c r="A129" s="1653"/>
      <c r="B129" s="1667"/>
      <c r="C129" s="1654"/>
      <c r="D129" s="1844"/>
      <c r="E129" s="1540">
        <f t="shared" si="10"/>
        <v>0</v>
      </c>
      <c r="F129" s="1938">
        <f t="shared" si="5"/>
        <v>0</v>
      </c>
      <c r="G129" s="1793">
        <f t="shared" si="11"/>
        <v>0</v>
      </c>
    </row>
    <row r="130" spans="1:7" x14ac:dyDescent="0.25">
      <c r="A130" s="1653"/>
      <c r="B130" s="1667"/>
      <c r="C130" s="1654"/>
      <c r="D130" s="1844"/>
      <c r="E130" s="1540">
        <f t="shared" si="10"/>
        <v>0</v>
      </c>
      <c r="F130" s="1938">
        <f t="shared" si="5"/>
        <v>0</v>
      </c>
      <c r="G130" s="1793">
        <f t="shared" si="11"/>
        <v>0</v>
      </c>
    </row>
    <row r="131" spans="1:7" x14ac:dyDescent="0.25">
      <c r="A131" s="1653"/>
      <c r="B131" s="1667"/>
      <c r="C131" s="1654"/>
      <c r="D131" s="1844"/>
      <c r="E131" s="1540">
        <f t="shared" si="10"/>
        <v>0</v>
      </c>
      <c r="F131" s="1938">
        <f t="shared" si="5"/>
        <v>0</v>
      </c>
      <c r="G131" s="1793">
        <f t="shared" si="11"/>
        <v>0</v>
      </c>
    </row>
    <row r="132" spans="1:7" x14ac:dyDescent="0.25">
      <c r="A132" s="1653"/>
      <c r="B132" s="1837"/>
      <c r="C132" s="1654"/>
      <c r="D132" s="1844"/>
      <c r="E132" s="1540">
        <f t="shared" si="10"/>
        <v>0</v>
      </c>
      <c r="F132" s="1938">
        <f t="shared" si="5"/>
        <v>0</v>
      </c>
      <c r="G132" s="1793">
        <f t="shared" si="11"/>
        <v>0</v>
      </c>
    </row>
    <row r="133" spans="1:7" x14ac:dyDescent="0.25">
      <c r="A133" s="1653"/>
      <c r="B133" s="1837"/>
      <c r="C133" s="1654"/>
      <c r="D133" s="1844"/>
      <c r="E133" s="1540">
        <f t="shared" si="10"/>
        <v>0</v>
      </c>
      <c r="F133" s="1938">
        <f t="shared" si="5"/>
        <v>0</v>
      </c>
      <c r="G133" s="1793">
        <f t="shared" si="11"/>
        <v>0</v>
      </c>
    </row>
    <row r="134" spans="1:7" x14ac:dyDescent="0.25">
      <c r="A134" s="1653"/>
      <c r="B134" s="1667"/>
      <c r="C134" s="1654"/>
      <c r="D134" s="1844"/>
      <c r="E134" s="1540">
        <f t="shared" si="10"/>
        <v>0</v>
      </c>
      <c r="F134" s="1938">
        <f t="shared" si="5"/>
        <v>0</v>
      </c>
      <c r="G134" s="1793">
        <f t="shared" si="11"/>
        <v>0</v>
      </c>
    </row>
    <row r="135" spans="1:7" x14ac:dyDescent="0.25">
      <c r="A135" s="1653"/>
      <c r="B135" s="1667"/>
      <c r="C135" s="1654"/>
      <c r="D135" s="1844"/>
      <c r="E135" s="1540">
        <f t="shared" si="10"/>
        <v>0</v>
      </c>
      <c r="F135" s="1938">
        <f t="shared" si="5"/>
        <v>0</v>
      </c>
      <c r="G135" s="1793">
        <f t="shared" si="11"/>
        <v>0</v>
      </c>
    </row>
    <row r="136" spans="1:7" x14ac:dyDescent="0.25">
      <c r="A136" s="1653"/>
      <c r="B136" s="1667"/>
      <c r="C136" s="1654"/>
      <c r="D136" s="1844"/>
      <c r="E136" s="1540">
        <f>IF(D136&lt;=25000,D136,IF(D136&gt;25000,25000,0))</f>
        <v>0</v>
      </c>
      <c r="F136" s="1938">
        <f t="shared" si="5"/>
        <v>0</v>
      </c>
      <c r="G136" s="1793">
        <f>IF(F136=0,0,D136-F136)</f>
        <v>0</v>
      </c>
    </row>
    <row r="137" spans="1:7" x14ac:dyDescent="0.25">
      <c r="A137" s="1653"/>
      <c r="B137" s="1667"/>
      <c r="C137" s="1654"/>
      <c r="D137" s="1844"/>
      <c r="E137" s="1540">
        <f>IF(D137&lt;=25000,D137,IF(D137&gt;25000,25000,0))</f>
        <v>0</v>
      </c>
      <c r="F137" s="1938">
        <f t="shared" si="5"/>
        <v>0</v>
      </c>
      <c r="G137" s="1793">
        <f>IF(F137=0,0,D137-F137)</f>
        <v>0</v>
      </c>
    </row>
    <row r="138" spans="1:7" x14ac:dyDescent="0.25">
      <c r="A138" s="1653"/>
      <c r="B138" s="1667"/>
      <c r="C138" s="1654"/>
      <c r="D138" s="1844"/>
      <c r="E138" s="1540">
        <f>IF(D138&lt;=25000,D138,IF(D138&gt;25000,25000,0))</f>
        <v>0</v>
      </c>
      <c r="F138" s="1938">
        <f t="shared" si="5"/>
        <v>0</v>
      </c>
      <c r="G138" s="1793">
        <f>IF(F138=0,0,D138-F138)</f>
        <v>0</v>
      </c>
    </row>
    <row r="139" spans="1:7" x14ac:dyDescent="0.25">
      <c r="A139" s="1653"/>
      <c r="B139" s="1667"/>
      <c r="C139" s="1654"/>
      <c r="D139" s="1844"/>
      <c r="E139" s="1540">
        <f>IF(D139&lt;=25000,D139,IF(D139&gt;25000,25000,0))</f>
        <v>0</v>
      </c>
      <c r="F139" s="1938">
        <f t="shared" si="5"/>
        <v>0</v>
      </c>
      <c r="G139" s="1793">
        <f>IF(F139=0,0,D139-F139)</f>
        <v>0</v>
      </c>
    </row>
    <row r="140" spans="1:7" x14ac:dyDescent="0.25">
      <c r="A140" s="1653"/>
      <c r="B140" s="1667"/>
      <c r="C140" s="1654"/>
      <c r="D140" s="1844"/>
      <c r="E140" s="1540">
        <f>IF(D140&lt;=25000,D140,IF(D140&gt;25000,25000,0))</f>
        <v>0</v>
      </c>
      <c r="F140" s="1938">
        <f t="shared" si="5"/>
        <v>0</v>
      </c>
      <c r="G140" s="1793">
        <f>IF(F140=0,0,D140-F140)</f>
        <v>0</v>
      </c>
    </row>
    <row r="141" spans="1:7" x14ac:dyDescent="0.25">
      <c r="A141" s="1653"/>
      <c r="B141" s="1666"/>
      <c r="C141" s="1654"/>
      <c r="D141" s="1844"/>
      <c r="E141" s="1540">
        <f t="shared" si="1"/>
        <v>0</v>
      </c>
      <c r="F141" s="1938">
        <f t="shared" si="5"/>
        <v>0</v>
      </c>
      <c r="G141" s="1793">
        <f t="shared" si="2"/>
        <v>0</v>
      </c>
    </row>
    <row r="142" spans="1:7" x14ac:dyDescent="0.25">
      <c r="A142" s="1796" t="s">
        <v>156</v>
      </c>
      <c r="B142" s="1797"/>
      <c r="C142" s="1798"/>
      <c r="D142" s="1794">
        <f>SUM(D18:D141)</f>
        <v>0</v>
      </c>
      <c r="E142" s="1541">
        <f>IF(D142&lt;=25000,D142,IF(D142&gt;25000,25000,0))</f>
        <v>0</v>
      </c>
      <c r="F142" s="1933">
        <f>SUM(F18:F141)</f>
        <v>0</v>
      </c>
      <c r="G142" s="1795">
        <f>SUM(G18:G141)</f>
        <v>0</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I46"/>
  <sheetViews>
    <sheetView showGridLines="0" defaultGridColor="0" colorId="8" zoomScale="110" zoomScaleNormal="110" workbookViewId="0">
      <selection activeCell="F179" sqref="F179"/>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1114</v>
      </c>
      <c r="B1" s="1635"/>
      <c r="C1" s="1636"/>
    </row>
    <row r="2" spans="1:9" x14ac:dyDescent="0.2">
      <c r="A2" s="952" t="s">
        <v>1115</v>
      </c>
      <c r="B2" s="953"/>
      <c r="C2" s="953"/>
      <c r="D2" s="953"/>
      <c r="E2" s="954"/>
      <c r="F2" s="954"/>
      <c r="G2" s="955"/>
    </row>
    <row r="3" spans="1:9" ht="12" customHeight="1" x14ac:dyDescent="0.2">
      <c r="A3" s="956" t="s">
        <v>1355</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338" t="s">
        <v>1678</v>
      </c>
      <c r="B5" s="2339"/>
      <c r="C5" s="2339"/>
      <c r="D5" s="2339"/>
      <c r="E5" s="2339"/>
      <c r="F5" s="2339"/>
      <c r="G5" s="2340"/>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1928</v>
      </c>
      <c r="B10" s="971"/>
      <c r="C10" s="976"/>
      <c r="D10" s="972"/>
      <c r="E10" s="973"/>
      <c r="F10" s="974"/>
      <c r="G10" s="975"/>
      <c r="H10" s="162"/>
      <c r="I10" s="162"/>
    </row>
    <row r="11" spans="1:9" s="668" customFormat="1" ht="22.5" customHeight="1" x14ac:dyDescent="0.2">
      <c r="A11" s="2343" t="s">
        <v>1971</v>
      </c>
      <c r="B11" s="2344"/>
      <c r="C11" s="2344"/>
      <c r="D11" s="2345"/>
      <c r="E11" s="977">
        <v>379384</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1375</v>
      </c>
      <c r="B16" s="983"/>
      <c r="C16" s="984"/>
      <c r="D16" s="963"/>
      <c r="E16" s="958"/>
      <c r="F16" s="958"/>
      <c r="G16" s="959"/>
      <c r="H16" s="162"/>
      <c r="I16" s="162"/>
    </row>
    <row r="17" spans="1:9" s="668" customFormat="1" ht="12" customHeight="1" x14ac:dyDescent="0.2">
      <c r="A17" s="985"/>
      <c r="B17" s="986"/>
      <c r="C17" s="329"/>
      <c r="D17" s="1638" t="s">
        <v>531</v>
      </c>
      <c r="E17" s="1639"/>
      <c r="F17" s="1638" t="s">
        <v>432</v>
      </c>
      <c r="G17" s="1640"/>
      <c r="H17" s="162"/>
      <c r="I17" s="162"/>
    </row>
    <row r="18" spans="1:9" s="259" customFormat="1" ht="11.25" x14ac:dyDescent="0.2">
      <c r="A18" s="988"/>
      <c r="C18" s="989" t="s">
        <v>433</v>
      </c>
      <c r="D18" s="1641" t="s">
        <v>434</v>
      </c>
      <c r="E18" s="1641" t="s">
        <v>53</v>
      </c>
      <c r="F18" s="1641" t="s">
        <v>434</v>
      </c>
      <c r="G18" s="1641" t="s">
        <v>53</v>
      </c>
      <c r="H18" s="178"/>
      <c r="I18" s="178"/>
    </row>
    <row r="19" spans="1:9" s="668" customFormat="1" ht="12" customHeight="1" x14ac:dyDescent="0.2">
      <c r="A19" s="990" t="s">
        <v>455</v>
      </c>
      <c r="B19" s="991"/>
      <c r="C19" s="992" t="s">
        <v>569</v>
      </c>
      <c r="D19" s="1799"/>
      <c r="E19" s="1800">
        <f>'Expenditures 15-22'!K33-SUM('Expenditures 15-22'!G33,'Expenditures 15-22'!I33)+'Expenditures 15-22'!D229</f>
        <v>87529295</v>
      </c>
      <c r="F19" s="1799"/>
      <c r="G19" s="1801">
        <f>'Expenditures 15-22'!K33-SUM('Expenditures 15-22'!G33,'Expenditures 15-22'!I33)+'Expenditures 15-22'!D229</f>
        <v>87529295</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400</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9929389</v>
      </c>
      <c r="F21" s="1802"/>
      <c r="G21" s="1805">
        <f>'Expenditures 15-22'!K42-SUM('Expenditures 15-22'!G42,'Expenditures 15-22'!I42)+'Expenditures 15-22'!K120-SUM('Expenditures 15-22'!G120,'Expenditures 15-22'!I120)+'Expenditures 15-22'!K180-SUM('Expenditures 15-22'!G180,'Expenditures 15-22'!I180)+'Expenditures 15-22'!D238</f>
        <v>9929389</v>
      </c>
      <c r="H21" s="987"/>
      <c r="I21" s="162"/>
    </row>
    <row r="22" spans="1:9" s="668" customFormat="1" ht="12" customHeight="1" x14ac:dyDescent="0.2">
      <c r="A22" s="994" t="s">
        <v>563</v>
      </c>
      <c r="B22" s="995"/>
      <c r="C22" s="993">
        <v>2200</v>
      </c>
      <c r="D22" s="1802"/>
      <c r="E22" s="1804">
        <f>'Expenditures 15-22'!K47-SUM('Expenditures 15-22'!G47,'Expenditures 15-22'!I47)+'Expenditures 15-22'!D243</f>
        <v>5702935</v>
      </c>
      <c r="F22" s="1802"/>
      <c r="G22" s="1805">
        <f>'Expenditures 15-22'!K47-SUM('Expenditures 15-22'!G47,'Expenditures 15-22'!I47)+'Expenditures 15-22'!D243</f>
        <v>5702935</v>
      </c>
      <c r="H22" s="987"/>
      <c r="I22" s="162"/>
    </row>
    <row r="23" spans="1:9" s="668" customFormat="1" ht="12" customHeight="1" x14ac:dyDescent="0.2">
      <c r="A23" s="994" t="s">
        <v>564</v>
      </c>
      <c r="B23" s="995"/>
      <c r="C23" s="993">
        <v>2300</v>
      </c>
      <c r="D23" s="1802"/>
      <c r="E23" s="1804">
        <f>'Expenditures 15-22'!K53-SUM('Expenditures 15-22'!G53,'Expenditures 15-22'!I53)+'Expenditures 15-22'!D257+'Expenditures 15-22'!K330-SUM('Expenditures 15-22'!G330,'Expenditures 15-22'!I330)</f>
        <v>1132944</v>
      </c>
      <c r="F23" s="1802"/>
      <c r="G23" s="1804">
        <f>'Expenditures 15-22'!K53-SUM('Expenditures 15-22'!G53,'Expenditures 15-22'!I53)+'Expenditures 15-22'!D257+'Expenditures 15-22'!K330-SUM('Expenditures 15-22'!G330,'Expenditures 15-22'!I330)</f>
        <v>1132944</v>
      </c>
      <c r="H23" s="987"/>
      <c r="I23" s="162"/>
    </row>
    <row r="24" spans="1:9" s="668" customFormat="1" ht="12" customHeight="1" x14ac:dyDescent="0.2">
      <c r="A24" s="994" t="s">
        <v>565</v>
      </c>
      <c r="B24" s="995"/>
      <c r="C24" s="993">
        <v>2400</v>
      </c>
      <c r="D24" s="1802"/>
      <c r="E24" s="1804">
        <f>'Expenditures 15-22'!K57-SUM('Expenditures 15-22'!G57,'Expenditures 15-22'!I57)+'Expenditures 15-22'!D261</f>
        <v>6175991</v>
      </c>
      <c r="F24" s="1802"/>
      <c r="G24" s="1805">
        <f>'Expenditures 15-22'!K57-SUM('Expenditures 15-22'!G57,'Expenditures 15-22'!I57)+'Expenditures 15-22'!D261</f>
        <v>6175991</v>
      </c>
      <c r="H24" s="987"/>
      <c r="I24" s="162"/>
    </row>
    <row r="25" spans="1:9" s="668" customFormat="1" ht="12" customHeight="1" x14ac:dyDescent="0.2">
      <c r="A25" s="990" t="s">
        <v>566</v>
      </c>
      <c r="B25" s="996"/>
      <c r="C25" s="993"/>
      <c r="D25" s="1802"/>
      <c r="E25" s="1804"/>
      <c r="F25" s="1802"/>
      <c r="G25" s="1805"/>
      <c r="H25" s="987"/>
      <c r="I25" s="162"/>
    </row>
    <row r="26" spans="1:9" s="668" customFormat="1" ht="12" customHeight="1" x14ac:dyDescent="0.2">
      <c r="A26" s="994" t="s">
        <v>514</v>
      </c>
      <c r="B26" s="997"/>
      <c r="C26" s="993">
        <v>2510</v>
      </c>
      <c r="D26" s="1804">
        <f>'Expenditures 15-22'!K59-SUM('Expenditures 15-22'!G59,'Expenditures 15-22'!I59)+'Expenditures 15-22'!D263-E7</f>
        <v>251222</v>
      </c>
      <c r="E26" s="1804">
        <f>'Expenditures 15-22'!K122-SUM('Expenditures 15-22'!G122,'Expenditures 15-22'!I122)+E7</f>
        <v>1150337</v>
      </c>
      <c r="F26" s="1804">
        <f>'Expenditures 15-22'!K59-SUM('Expenditures 15-22'!G59,'Expenditures 15-22'!I59)+'Expenditures 15-22'!D263-E7</f>
        <v>251222</v>
      </c>
      <c r="G26" s="1805">
        <f>'Expenditures 15-22'!K122-SUM('Expenditures 15-22'!G122,'Expenditures 15-22'!I122)+E7</f>
        <v>1150337</v>
      </c>
      <c r="H26" s="987"/>
      <c r="I26" s="162"/>
    </row>
    <row r="27" spans="1:9" s="668" customFormat="1" ht="12" customHeight="1" x14ac:dyDescent="0.2">
      <c r="A27" s="994" t="s">
        <v>462</v>
      </c>
      <c r="B27" s="997"/>
      <c r="C27" s="993">
        <v>2520</v>
      </c>
      <c r="D27" s="1804">
        <f>'Expenditures 15-22'!K60-SUM('Expenditures 15-22'!G60,'Expenditures 15-22'!I60)+'Expenditures 15-22'!D264-E8</f>
        <v>826552</v>
      </c>
      <c r="E27" s="1804">
        <f>E8</f>
        <v>0</v>
      </c>
      <c r="F27" s="1804">
        <f>'Expenditures 15-22'!K60-SUM('Expenditures 15-22'!G60,'Expenditures 15-22'!I60)+'Expenditures 15-22'!D264-E8</f>
        <v>826552</v>
      </c>
      <c r="G27" s="1805">
        <f>E8</f>
        <v>0</v>
      </c>
      <c r="H27" s="987"/>
      <c r="I27" s="162"/>
    </row>
    <row r="28" spans="1:9" s="668" customFormat="1" ht="12" customHeight="1" x14ac:dyDescent="0.2">
      <c r="A28" s="994" t="s">
        <v>515</v>
      </c>
      <c r="B28" s="997"/>
      <c r="C28" s="993">
        <v>2540</v>
      </c>
      <c r="D28" s="1806"/>
      <c r="E28" s="1804">
        <f>'Expenditures 15-22'!K61-SUM('Expenditures 15-22'!G61,'Expenditures 15-22'!I61)+'Expenditures 15-22'!K124-SUM('Expenditures 15-22'!G124,'Expenditures 15-22'!I124)+'Expenditures 15-22'!D266</f>
        <v>11206782</v>
      </c>
      <c r="F28" s="1806">
        <f>'Expenditures 15-22'!K61-SUM('Expenditures 15-22'!G61,'Expenditures 15-22'!I61)+'Expenditures 15-22'!K124-SUM('Expenditures 15-22'!G124,'Expenditures 15-22'!I124)+'Expenditures 15-22'!D266-E9</f>
        <v>11206782</v>
      </c>
      <c r="G28" s="1805">
        <f>E9</f>
        <v>0</v>
      </c>
      <c r="H28" s="987"/>
      <c r="I28" s="162"/>
    </row>
    <row r="29" spans="1:9" ht="12" customHeight="1" x14ac:dyDescent="0.2">
      <c r="A29" s="994" t="s">
        <v>516</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7798953</v>
      </c>
      <c r="F29" s="1802"/>
      <c r="G29" s="1805">
        <f>'Expenditures 15-22'!K62-SUM('Expenditures 15-22'!G62,'Expenditures 15-22'!I62)+'Expenditures 15-22'!K125-SUM('Expenditures 15-22'!G125,'Expenditures 15-22'!I125)+'Expenditures 15-22'!K182-SUM('Expenditures 15-22'!G182,'Expenditures 15-22'!I182)+'Expenditures 15-22'!D267</f>
        <v>7798953</v>
      </c>
      <c r="H29" s="985"/>
    </row>
    <row r="30" spans="1:9" ht="12" customHeight="1" x14ac:dyDescent="0.2">
      <c r="A30" s="994" t="s">
        <v>100</v>
      </c>
      <c r="B30" s="997"/>
      <c r="C30" s="993">
        <v>2560</v>
      </c>
      <c r="D30" s="1802"/>
      <c r="E30" s="1804">
        <f>'Expenditures 15-22'!K63-SUM('Expenditures 15-22'!G63,'Expenditures 15-22'!I63)+'Expenditures 15-22'!D268-E10</f>
        <v>4703681</v>
      </c>
      <c r="F30" s="1802"/>
      <c r="G30" s="1804">
        <f>'Expenditures 15-22'!K63-SUM('Expenditures 15-22'!G63,'Expenditures 15-22'!I63)+'Expenditures 15-22'!D268-E10</f>
        <v>4703681</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517</v>
      </c>
      <c r="B32" s="996"/>
      <c r="C32" s="993"/>
      <c r="D32" s="1802"/>
      <c r="E32" s="1802"/>
      <c r="F32" s="1802"/>
      <c r="G32" s="1802"/>
    </row>
    <row r="33" spans="1:7" ht="12" customHeight="1" x14ac:dyDescent="0.2">
      <c r="A33" s="994" t="s">
        <v>518</v>
      </c>
      <c r="B33" s="997"/>
      <c r="C33" s="993">
        <v>2610</v>
      </c>
      <c r="D33" s="1802"/>
      <c r="E33" s="1804">
        <f>'Expenditures 15-22'!K67-SUM('Expenditures 15-22'!G67,'Expenditures 15-22'!I67)+'Expenditures 15-22'!D272</f>
        <v>104068</v>
      </c>
      <c r="F33" s="1802"/>
      <c r="G33" s="1804">
        <f>'Expenditures 15-22'!K67-SUM('Expenditures 15-22'!G67,'Expenditures 15-22'!I67)+'Expenditures 15-22'!D272</f>
        <v>104068</v>
      </c>
    </row>
    <row r="34" spans="1:7" ht="12" customHeight="1" x14ac:dyDescent="0.2">
      <c r="A34" s="994" t="s">
        <v>519</v>
      </c>
      <c r="B34" s="997"/>
      <c r="C34" s="993">
        <v>2620</v>
      </c>
      <c r="D34" s="1802"/>
      <c r="E34" s="1804">
        <f>'Expenditures 15-22'!K68-SUM('Expenditures 15-22'!G68,'Expenditures 15-22'!I68)+'Expenditures 15-22'!D273</f>
        <v>103396</v>
      </c>
      <c r="F34" s="1802"/>
      <c r="G34" s="1804">
        <f>'Expenditures 15-22'!K68-SUM('Expenditures 15-22'!G68,'Expenditures 15-22'!I68)+'Expenditures 15-22'!D273</f>
        <v>103396</v>
      </c>
    </row>
    <row r="35" spans="1:7" ht="12" customHeight="1" x14ac:dyDescent="0.2">
      <c r="A35" s="994" t="s">
        <v>1060</v>
      </c>
      <c r="B35" s="997"/>
      <c r="C35" s="993">
        <v>2630</v>
      </c>
      <c r="D35" s="1802"/>
      <c r="E35" s="1804">
        <f>'Expenditures 15-22'!K69-SUM('Expenditures 15-22'!G69,'Expenditures 15-22'!I69)+'Expenditures 15-22'!D274</f>
        <v>389761</v>
      </c>
      <c r="F35" s="1802"/>
      <c r="G35" s="1804">
        <f>'Expenditures 15-22'!K69-SUM('Expenditures 15-22'!G69,'Expenditures 15-22'!I69)+'Expenditures 15-22'!D274</f>
        <v>389761</v>
      </c>
    </row>
    <row r="36" spans="1:7" ht="12" customHeight="1" x14ac:dyDescent="0.2">
      <c r="A36" s="994" t="s">
        <v>402</v>
      </c>
      <c r="B36" s="997"/>
      <c r="C36" s="993">
        <v>2640</v>
      </c>
      <c r="D36" s="1804">
        <f>'Expenditures 15-22'!K70-SUM('Expenditures 15-22'!G70,'Expenditures 15-22'!I70)+'Expenditures 15-22'!D275-E13</f>
        <v>771531</v>
      </c>
      <c r="E36" s="1804">
        <f>E13</f>
        <v>0</v>
      </c>
      <c r="F36" s="1804">
        <f>'Expenditures 15-22'!K70-SUM('Expenditures 15-22'!G70,'Expenditures 15-22'!I70)+'Expenditures 15-22'!D275-E13</f>
        <v>771531</v>
      </c>
      <c r="G36" s="1804">
        <f>E13</f>
        <v>0</v>
      </c>
    </row>
    <row r="37" spans="1:7" ht="12" customHeight="1" x14ac:dyDescent="0.2">
      <c r="A37" s="994" t="s">
        <v>403</v>
      </c>
      <c r="B37" s="997"/>
      <c r="C37" s="993">
        <v>2660</v>
      </c>
      <c r="D37" s="1804">
        <f>'Expenditures 15-22'!K71-SUM('Expenditures 15-22'!G71,'Expenditures 15-22'!I71)+'Expenditures 15-22'!D276-E14</f>
        <v>3618659</v>
      </c>
      <c r="E37" s="1804">
        <f>E14</f>
        <v>0</v>
      </c>
      <c r="F37" s="1804">
        <f>'Expenditures 15-22'!K71-SUM('Expenditures 15-22'!G71,'Expenditures 15-22'!I71)+'Expenditures 15-22'!D276-E14</f>
        <v>3618659</v>
      </c>
      <c r="G37" s="1804">
        <f>E14</f>
        <v>0</v>
      </c>
    </row>
    <row r="38" spans="1:7" ht="12" customHeight="1" x14ac:dyDescent="0.2">
      <c r="A38" s="990" t="s">
        <v>520</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130313</v>
      </c>
      <c r="F38" s="1802"/>
      <c r="G38" s="1804">
        <f>'Expenditures 15-22'!K73-SUM('Expenditures 15-22'!G73,'Expenditures 15-22'!I73)+'Expenditures 15-22'!K128-SUM('Expenditures 15-22'!G128,'Expenditures 15-22'!I128)+'Expenditures 15-22'!K183-SUM('Expenditures 15-22'!G183,'Expenditures 15-22'!I183)+'Expenditures 15-22'!D278</f>
        <v>130313</v>
      </c>
    </row>
    <row r="39" spans="1:7" ht="12" customHeight="1" x14ac:dyDescent="0.2">
      <c r="A39" s="990" t="s">
        <v>448</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1165663</v>
      </c>
      <c r="F39" s="1802"/>
      <c r="G39" s="1804">
        <f>'Expenditures 15-22'!K75-SUM('Expenditures 15-22'!G75,'Expenditures 15-22'!I75)+'Expenditures 15-22'!K130-SUM('Expenditures 15-22'!G130,'Expenditures 15-22'!I130)+'Expenditures 15-22'!K185-SUM('Expenditures 15-22'!G185,'Expenditures 15-22'!I185)+'Expenditures 15-22'!D280</f>
        <v>1165663</v>
      </c>
    </row>
    <row r="40" spans="1:7" ht="12" customHeight="1" x14ac:dyDescent="0.2">
      <c r="A40" s="990" t="s">
        <v>1819</v>
      </c>
      <c r="B40" s="991"/>
      <c r="C40" s="993"/>
      <c r="D40" s="1802"/>
      <c r="E40" s="1806">
        <f>-'Contracts Paid in CY 29'!G142</f>
        <v>0</v>
      </c>
      <c r="F40" s="1802"/>
      <c r="G40" s="1806">
        <f>-'Contracts Paid in CY 29'!G142</f>
        <v>0</v>
      </c>
    </row>
    <row r="41" spans="1:7" ht="12" customHeight="1" x14ac:dyDescent="0.2">
      <c r="A41" s="998" t="s">
        <v>156</v>
      </c>
      <c r="B41" s="999"/>
      <c r="C41" s="1000"/>
      <c r="D41" s="1806">
        <f>SUM(D19:D39)</f>
        <v>5467964</v>
      </c>
      <c r="E41" s="1806">
        <f>SUM(E19:E40)</f>
        <v>137223508</v>
      </c>
      <c r="F41" s="1806">
        <f>SUM(F19:F39)</f>
        <v>16674746</v>
      </c>
      <c r="G41" s="1806">
        <f>SUM(G19:G40)</f>
        <v>126016726</v>
      </c>
    </row>
    <row r="42" spans="1:7" x14ac:dyDescent="0.2">
      <c r="A42" s="987"/>
      <c r="B42" s="162"/>
      <c r="C42" s="1001"/>
      <c r="D42" s="2341" t="s">
        <v>521</v>
      </c>
      <c r="E42" s="2342"/>
      <c r="F42" s="1002" t="s">
        <v>522</v>
      </c>
      <c r="G42" s="1003"/>
    </row>
    <row r="43" spans="1:7" ht="12" customHeight="1" x14ac:dyDescent="0.2">
      <c r="A43" s="987"/>
      <c r="B43" s="162"/>
      <c r="C43" s="1001"/>
      <c r="D43" s="1807" t="s">
        <v>472</v>
      </c>
      <c r="E43" s="1808">
        <f>D41</f>
        <v>5467964</v>
      </c>
      <c r="F43" s="1807" t="s">
        <v>472</v>
      </c>
      <c r="G43" s="1808">
        <f>F41</f>
        <v>16674746</v>
      </c>
    </row>
    <row r="44" spans="1:7" ht="12" customHeight="1" x14ac:dyDescent="0.2">
      <c r="A44" s="987"/>
      <c r="B44" s="162"/>
      <c r="C44" s="1001"/>
      <c r="D44" s="1807" t="s">
        <v>473</v>
      </c>
      <c r="E44" s="1808">
        <f>E41</f>
        <v>137223508</v>
      </c>
      <c r="F44" s="1807" t="s">
        <v>473</v>
      </c>
      <c r="G44" s="1808">
        <f>G41</f>
        <v>126016726</v>
      </c>
    </row>
    <row r="45" spans="1:7" ht="12" customHeight="1" x14ac:dyDescent="0.2">
      <c r="A45" s="987"/>
      <c r="B45" s="162"/>
      <c r="C45" s="162"/>
      <c r="D45" s="1809" t="s">
        <v>1005</v>
      </c>
      <c r="E45" s="1810">
        <f>(E43/E44)</f>
        <v>3.9847137561881893E-2</v>
      </c>
      <c r="F45" s="1809" t="s">
        <v>1005</v>
      </c>
      <c r="G45" s="1810">
        <f>(G43/G44)</f>
        <v>0.13232168878915326</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sheetPr>
  <dimension ref="A1:L97"/>
  <sheetViews>
    <sheetView showGridLines="0" zoomScale="110" zoomScaleNormal="110" workbookViewId="0">
      <pane ySplit="4" topLeftCell="A5" activePane="bottomLeft" state="frozen"/>
      <selection activeCell="A47" sqref="A47"/>
      <selection pane="bottomLeft" activeCell="B9" sqref="B9"/>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49" t="s">
        <v>1378</v>
      </c>
      <c r="B1" s="2349"/>
      <c r="C1" s="2349"/>
      <c r="D1" s="2349"/>
      <c r="E1" s="2349"/>
      <c r="F1" s="2349"/>
    </row>
    <row r="2" spans="1:10" x14ac:dyDescent="0.2">
      <c r="A2" s="1887" t="s">
        <v>1907</v>
      </c>
      <c r="B2" s="1848"/>
      <c r="C2" s="1887"/>
      <c r="D2" s="1848"/>
      <c r="E2" s="1848"/>
      <c r="F2" s="1849"/>
    </row>
    <row r="3" spans="1:10" x14ac:dyDescent="0.2">
      <c r="A3" s="1887" t="s">
        <v>1972</v>
      </c>
      <c r="B3" s="1848"/>
      <c r="C3" s="1887"/>
      <c r="D3" s="1848"/>
      <c r="E3" s="1848"/>
      <c r="F3" s="1849"/>
    </row>
    <row r="4" spans="1:10" ht="3.75" customHeight="1" x14ac:dyDescent="0.2">
      <c r="A4" s="1848"/>
      <c r="B4" s="1848"/>
      <c r="C4" s="1848"/>
      <c r="D4" s="1848"/>
      <c r="E4" s="1848"/>
      <c r="F4" s="1849"/>
    </row>
    <row r="5" spans="1:10" ht="15" x14ac:dyDescent="0.25">
      <c r="A5" s="2350" t="s">
        <v>1545</v>
      </c>
      <c r="B5" s="2351"/>
      <c r="C5" s="2352"/>
      <c r="D5" s="2352"/>
      <c r="E5" s="2352"/>
      <c r="F5" s="2352"/>
    </row>
    <row r="6" spans="1:10" ht="12" customHeight="1" x14ac:dyDescent="0.25">
      <c r="A6" s="1850"/>
      <c r="B6" s="1851"/>
      <c r="C6" s="2353" t="str">
        <f>COVER!A17</f>
        <v>Aurora West USD 129</v>
      </c>
      <c r="D6" s="2353"/>
      <c r="E6" s="2353"/>
      <c r="F6" s="1852"/>
    </row>
    <row r="7" spans="1:10" ht="11.25" customHeight="1" thickBot="1" x14ac:dyDescent="0.3">
      <c r="A7" s="1850"/>
      <c r="B7" s="1851"/>
      <c r="C7" s="2354">
        <f>COVER!A13</f>
        <v>31045129022</v>
      </c>
      <c r="D7" s="2354"/>
      <c r="E7" s="2354"/>
      <c r="F7" s="1852"/>
    </row>
    <row r="8" spans="1:10" ht="25.5" customHeight="1" thickBot="1" x14ac:dyDescent="0.25">
      <c r="A8" s="1893" t="s">
        <v>1903</v>
      </c>
      <c r="B8" s="1853" t="s">
        <v>2061</v>
      </c>
      <c r="C8" s="1889" t="s">
        <v>1680</v>
      </c>
      <c r="D8" s="1888" t="s">
        <v>1681</v>
      </c>
      <c r="E8" s="1890" t="s">
        <v>1379</v>
      </c>
      <c r="F8" s="1888" t="s">
        <v>1682</v>
      </c>
      <c r="H8" s="1854" t="b">
        <v>0</v>
      </c>
    </row>
    <row r="9" spans="1:10" ht="15.75" customHeight="1" x14ac:dyDescent="0.2">
      <c r="A9" s="1855" t="s">
        <v>1541</v>
      </c>
      <c r="B9" s="1856"/>
      <c r="C9" s="1857"/>
      <c r="D9" s="1857"/>
      <c r="E9" s="1858"/>
      <c r="F9" s="1859"/>
    </row>
    <row r="10" spans="1:10" ht="27.75" customHeight="1" x14ac:dyDescent="0.2">
      <c r="A10" s="1860" t="s">
        <v>1679</v>
      </c>
      <c r="B10" s="1861"/>
      <c r="C10" s="1862"/>
      <c r="D10" s="1862"/>
      <c r="E10" s="1891" t="s">
        <v>1380</v>
      </c>
      <c r="F10" s="1892" t="s">
        <v>1381</v>
      </c>
    </row>
    <row r="11" spans="1:10" ht="12" customHeight="1" x14ac:dyDescent="0.2">
      <c r="A11" s="1863" t="s">
        <v>1382</v>
      </c>
      <c r="B11" s="1864"/>
      <c r="C11" s="1865"/>
      <c r="D11" s="1865"/>
      <c r="E11" s="1866"/>
      <c r="F11" s="1867"/>
      <c r="H11" s="1878">
        <f>IF(C11="X",5,0)</f>
        <v>0</v>
      </c>
      <c r="I11" s="1878">
        <f>IF(D11="X",5,0)</f>
        <v>0</v>
      </c>
      <c r="J11" s="1878">
        <f>IF(E11="X",5,0)</f>
        <v>0</v>
      </c>
    </row>
    <row r="12" spans="1:10" ht="12" customHeight="1" x14ac:dyDescent="0.2">
      <c r="A12" s="1863" t="s">
        <v>1383</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1384</v>
      </c>
      <c r="B13" s="1864"/>
      <c r="C13" s="1865"/>
      <c r="D13" s="1865"/>
      <c r="E13" s="1868"/>
      <c r="F13" s="1867"/>
      <c r="H13" s="1878">
        <f t="shared" si="0"/>
        <v>0</v>
      </c>
      <c r="I13" s="1878">
        <f t="shared" si="1"/>
        <v>0</v>
      </c>
      <c r="J13" s="1878">
        <f t="shared" si="2"/>
        <v>0</v>
      </c>
    </row>
    <row r="14" spans="1:10" ht="12" customHeight="1" x14ac:dyDescent="0.2">
      <c r="A14" s="1863" t="s">
        <v>1385</v>
      </c>
      <c r="B14" s="1864"/>
      <c r="C14" s="1865"/>
      <c r="D14" s="1865"/>
      <c r="E14" s="1868"/>
      <c r="F14" s="1867"/>
      <c r="H14" s="1878">
        <f t="shared" si="0"/>
        <v>0</v>
      </c>
      <c r="I14" s="1878">
        <f t="shared" si="1"/>
        <v>0</v>
      </c>
      <c r="J14" s="1878">
        <f t="shared" si="2"/>
        <v>0</v>
      </c>
    </row>
    <row r="15" spans="1:10" ht="12" customHeight="1" x14ac:dyDescent="0.2">
      <c r="A15" s="1863" t="s">
        <v>1386</v>
      </c>
      <c r="B15" s="1864"/>
      <c r="C15" s="1865"/>
      <c r="D15" s="1865"/>
      <c r="E15" s="1868"/>
      <c r="F15" s="1867"/>
      <c r="H15" s="1878">
        <f t="shared" si="0"/>
        <v>0</v>
      </c>
      <c r="I15" s="1878">
        <f t="shared" si="1"/>
        <v>0</v>
      </c>
      <c r="J15" s="1878">
        <f t="shared" si="2"/>
        <v>0</v>
      </c>
    </row>
    <row r="16" spans="1:10" ht="12" customHeight="1" x14ac:dyDescent="0.2">
      <c r="A16" s="1863" t="s">
        <v>1387</v>
      </c>
      <c r="B16" s="1864"/>
      <c r="C16" s="1865"/>
      <c r="D16" s="1865"/>
      <c r="E16" s="1868"/>
      <c r="F16" s="1867"/>
      <c r="H16" s="1878">
        <f t="shared" si="0"/>
        <v>0</v>
      </c>
      <c r="I16" s="1878">
        <f t="shared" si="1"/>
        <v>0</v>
      </c>
      <c r="J16" s="1878">
        <f t="shared" si="2"/>
        <v>0</v>
      </c>
    </row>
    <row r="17" spans="1:12" ht="12" customHeight="1" x14ac:dyDescent="0.2">
      <c r="A17" s="1863" t="s">
        <v>1388</v>
      </c>
      <c r="B17" s="1864"/>
      <c r="C17" s="1865"/>
      <c r="D17" s="1865"/>
      <c r="E17" s="1868"/>
      <c r="F17" s="1867"/>
      <c r="H17" s="1878">
        <f t="shared" si="0"/>
        <v>0</v>
      </c>
      <c r="I17" s="1878">
        <f t="shared" si="1"/>
        <v>0</v>
      </c>
      <c r="J17" s="1878">
        <f t="shared" si="2"/>
        <v>0</v>
      </c>
    </row>
    <row r="18" spans="1:12" ht="12" customHeight="1" x14ac:dyDescent="0.2">
      <c r="A18" s="1863" t="s">
        <v>1389</v>
      </c>
      <c r="B18" s="1864"/>
      <c r="C18" s="1865"/>
      <c r="D18" s="1865"/>
      <c r="E18" s="1868"/>
      <c r="F18" s="1867"/>
      <c r="H18" s="1878">
        <f t="shared" si="0"/>
        <v>0</v>
      </c>
      <c r="I18" s="1878">
        <f t="shared" si="1"/>
        <v>0</v>
      </c>
      <c r="J18" s="1878">
        <f t="shared" si="2"/>
        <v>0</v>
      </c>
    </row>
    <row r="19" spans="1:12" ht="12" customHeight="1" x14ac:dyDescent="0.2">
      <c r="A19" s="1863" t="s">
        <v>1526</v>
      </c>
      <c r="B19" s="1864"/>
      <c r="C19" s="1865"/>
      <c r="D19" s="1865"/>
      <c r="E19" s="1868"/>
      <c r="F19" s="1867"/>
      <c r="H19" s="1878">
        <f t="shared" si="0"/>
        <v>0</v>
      </c>
      <c r="I19" s="1878">
        <f t="shared" si="1"/>
        <v>0</v>
      </c>
      <c r="J19" s="1878">
        <f t="shared" si="2"/>
        <v>0</v>
      </c>
    </row>
    <row r="20" spans="1:12" ht="12" customHeight="1" x14ac:dyDescent="0.2">
      <c r="A20" s="1863" t="s">
        <v>1527</v>
      </c>
      <c r="B20" s="1864"/>
      <c r="C20" s="1865"/>
      <c r="D20" s="1865"/>
      <c r="E20" s="1868"/>
      <c r="F20" s="1867"/>
      <c r="H20" s="1878">
        <f t="shared" si="0"/>
        <v>0</v>
      </c>
      <c r="I20" s="1878">
        <f t="shared" si="1"/>
        <v>0</v>
      </c>
      <c r="J20" s="1878">
        <f t="shared" si="2"/>
        <v>0</v>
      </c>
    </row>
    <row r="21" spans="1:12" ht="12" customHeight="1" x14ac:dyDescent="0.2">
      <c r="A21" s="1863" t="s">
        <v>1528</v>
      </c>
      <c r="B21" s="1864"/>
      <c r="C21" s="1865"/>
      <c r="D21" s="1865"/>
      <c r="E21" s="1868"/>
      <c r="F21" s="1867"/>
      <c r="H21" s="1878">
        <f t="shared" si="0"/>
        <v>0</v>
      </c>
      <c r="I21" s="1878">
        <f t="shared" si="1"/>
        <v>0</v>
      </c>
      <c r="J21" s="1878">
        <f t="shared" si="2"/>
        <v>0</v>
      </c>
    </row>
    <row r="22" spans="1:12" ht="12" customHeight="1" x14ac:dyDescent="0.2">
      <c r="A22" s="1863" t="s">
        <v>1529</v>
      </c>
      <c r="B22" s="1864"/>
      <c r="C22" s="1865"/>
      <c r="D22" s="1865"/>
      <c r="E22" s="1868"/>
      <c r="F22" s="1867"/>
      <c r="H22" s="1878">
        <f t="shared" si="0"/>
        <v>0</v>
      </c>
      <c r="I22" s="1878">
        <f t="shared" si="1"/>
        <v>0</v>
      </c>
      <c r="J22" s="1878">
        <f t="shared" si="2"/>
        <v>0</v>
      </c>
    </row>
    <row r="23" spans="1:12" ht="12" customHeight="1" x14ac:dyDescent="0.2">
      <c r="A23" s="1863" t="s">
        <v>1530</v>
      </c>
      <c r="B23" s="1864"/>
      <c r="C23" s="1865"/>
      <c r="D23" s="1865"/>
      <c r="E23" s="1868"/>
      <c r="F23" s="1867"/>
      <c r="H23" s="1878">
        <f t="shared" si="0"/>
        <v>0</v>
      </c>
      <c r="I23" s="1878">
        <f t="shared" si="1"/>
        <v>0</v>
      </c>
      <c r="J23" s="1878">
        <f t="shared" si="2"/>
        <v>0</v>
      </c>
    </row>
    <row r="24" spans="1:12" ht="12" customHeight="1" x14ac:dyDescent="0.2">
      <c r="A24" s="1863" t="s">
        <v>1531</v>
      </c>
      <c r="B24" s="1864"/>
      <c r="C24" s="1865"/>
      <c r="D24" s="1865"/>
      <c r="E24" s="1868"/>
      <c r="F24" s="1867"/>
      <c r="H24" s="1878">
        <f t="shared" si="0"/>
        <v>0</v>
      </c>
      <c r="I24" s="1878">
        <f t="shared" si="1"/>
        <v>0</v>
      </c>
      <c r="J24" s="1878">
        <f t="shared" si="2"/>
        <v>0</v>
      </c>
    </row>
    <row r="25" spans="1:12" ht="12" customHeight="1" x14ac:dyDescent="0.2">
      <c r="A25" s="1863" t="s">
        <v>1532</v>
      </c>
      <c r="B25" s="1864"/>
      <c r="C25" s="1865"/>
      <c r="D25" s="1865"/>
      <c r="E25" s="1868"/>
      <c r="F25" s="1867"/>
      <c r="H25" s="1878">
        <f t="shared" si="0"/>
        <v>0</v>
      </c>
      <c r="I25" s="1878">
        <f t="shared" si="1"/>
        <v>0</v>
      </c>
      <c r="J25" s="1878">
        <f t="shared" si="2"/>
        <v>0</v>
      </c>
    </row>
    <row r="26" spans="1:12" ht="12" customHeight="1" x14ac:dyDescent="0.2">
      <c r="A26" s="1863" t="s">
        <v>1533</v>
      </c>
      <c r="B26" s="1864"/>
      <c r="C26" s="1865"/>
      <c r="D26" s="1865"/>
      <c r="E26" s="1868"/>
      <c r="F26" s="1867"/>
      <c r="H26" s="1878">
        <f t="shared" si="0"/>
        <v>0</v>
      </c>
      <c r="I26" s="1878">
        <f t="shared" si="1"/>
        <v>0</v>
      </c>
      <c r="J26" s="1878">
        <f t="shared" si="2"/>
        <v>0</v>
      </c>
    </row>
    <row r="27" spans="1:12" ht="18.75" x14ac:dyDescent="0.2">
      <c r="A27" s="1863" t="s">
        <v>1534</v>
      </c>
      <c r="B27" s="1864"/>
      <c r="C27" s="1865"/>
      <c r="D27" s="1865"/>
      <c r="E27" s="1868"/>
      <c r="F27" s="1867"/>
      <c r="H27" s="1878">
        <f t="shared" si="0"/>
        <v>0</v>
      </c>
      <c r="I27" s="1878">
        <f t="shared" si="1"/>
        <v>0</v>
      </c>
      <c r="J27" s="1878">
        <f t="shared" si="2"/>
        <v>0</v>
      </c>
    </row>
    <row r="28" spans="1:12" ht="12" customHeight="1" x14ac:dyDescent="0.2">
      <c r="A28" s="1863" t="s">
        <v>1535</v>
      </c>
      <c r="B28" s="1864"/>
      <c r="C28" s="1865"/>
      <c r="D28" s="1865"/>
      <c r="E28" s="1868"/>
      <c r="F28" s="1867"/>
      <c r="H28" s="1878">
        <f t="shared" si="0"/>
        <v>0</v>
      </c>
      <c r="I28" s="1878">
        <f t="shared" si="1"/>
        <v>0</v>
      </c>
      <c r="J28" s="1878">
        <f t="shared" si="2"/>
        <v>0</v>
      </c>
    </row>
    <row r="29" spans="1:12" ht="12" customHeight="1" x14ac:dyDescent="0.2">
      <c r="A29" s="1863" t="s">
        <v>1536</v>
      </c>
      <c r="B29" s="1864"/>
      <c r="C29" s="1865"/>
      <c r="D29" s="1865"/>
      <c r="E29" s="1868"/>
      <c r="F29" s="1867"/>
      <c r="H29" s="1878">
        <f t="shared" si="0"/>
        <v>0</v>
      </c>
      <c r="I29" s="1878">
        <f t="shared" si="1"/>
        <v>0</v>
      </c>
      <c r="J29" s="1878">
        <f t="shared" si="2"/>
        <v>0</v>
      </c>
    </row>
    <row r="30" spans="1:12" ht="12" customHeight="1" x14ac:dyDescent="0.2">
      <c r="A30" s="1863" t="s">
        <v>1537</v>
      </c>
      <c r="B30" s="1864"/>
      <c r="C30" s="1865"/>
      <c r="D30" s="1865"/>
      <c r="E30" s="1868"/>
      <c r="F30" s="1867"/>
      <c r="H30" s="1878">
        <f t="shared" si="0"/>
        <v>0</v>
      </c>
      <c r="I30" s="1878">
        <f t="shared" si="1"/>
        <v>0</v>
      </c>
      <c r="J30" s="1878">
        <f t="shared" si="2"/>
        <v>0</v>
      </c>
    </row>
    <row r="31" spans="1:12" ht="12" customHeight="1" x14ac:dyDescent="0.2">
      <c r="A31" s="1863" t="s">
        <v>1538</v>
      </c>
      <c r="B31" s="1864"/>
      <c r="C31" s="1865"/>
      <c r="D31" s="1865"/>
      <c r="E31" s="1868"/>
      <c r="F31" s="1867"/>
      <c r="H31" s="1878">
        <f t="shared" si="0"/>
        <v>0</v>
      </c>
      <c r="I31" s="1878">
        <f t="shared" si="1"/>
        <v>0</v>
      </c>
      <c r="J31" s="1878">
        <f t="shared" si="2"/>
        <v>0</v>
      </c>
      <c r="L31" s="1869"/>
    </row>
    <row r="32" spans="1:12" ht="12" customHeight="1" x14ac:dyDescent="0.2">
      <c r="A32" s="1863" t="s">
        <v>1539</v>
      </c>
      <c r="B32" s="1864"/>
      <c r="C32" s="1865"/>
      <c r="D32" s="1865"/>
      <c r="E32" s="1868"/>
      <c r="F32" s="1867"/>
      <c r="H32" s="1878">
        <f t="shared" si="0"/>
        <v>0</v>
      </c>
      <c r="I32" s="1878">
        <f t="shared" si="1"/>
        <v>0</v>
      </c>
      <c r="J32" s="1878">
        <f t="shared" si="2"/>
        <v>0</v>
      </c>
    </row>
    <row r="33" spans="1:11" ht="12" customHeight="1" x14ac:dyDescent="0.2">
      <c r="A33" s="1863" t="s">
        <v>1540</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0</v>
      </c>
      <c r="I34" s="1878">
        <f>SUM(I11:I32)</f>
        <v>0</v>
      </c>
      <c r="J34" s="1878">
        <f>SUM(J11:J32)</f>
        <v>0</v>
      </c>
      <c r="K34" s="1878">
        <f>SUM(H34:J34)</f>
        <v>0</v>
      </c>
    </row>
    <row r="35" spans="1:11" ht="12" customHeight="1" x14ac:dyDescent="0.2">
      <c r="A35" s="1871" t="s">
        <v>1391</v>
      </c>
      <c r="B35" s="1872"/>
      <c r="C35" s="2355"/>
      <c r="D35" s="2355"/>
      <c r="E35" s="2355"/>
      <c r="F35" s="2356"/>
    </row>
    <row r="36" spans="1:11" ht="12" customHeight="1" x14ac:dyDescent="0.2">
      <c r="A36" s="2346"/>
      <c r="B36" s="2347"/>
      <c r="C36" s="2347"/>
      <c r="D36" s="2347"/>
      <c r="E36" s="2347"/>
      <c r="F36" s="2348"/>
    </row>
    <row r="37" spans="1:11" ht="12" customHeight="1" x14ac:dyDescent="0.2">
      <c r="A37" s="2346"/>
      <c r="B37" s="2347"/>
      <c r="C37" s="2347"/>
      <c r="D37" s="2347"/>
      <c r="E37" s="2347"/>
      <c r="F37" s="2348"/>
    </row>
    <row r="38" spans="1:11" ht="12" customHeight="1" x14ac:dyDescent="0.2">
      <c r="A38" s="2360"/>
      <c r="B38" s="2361"/>
      <c r="C38" s="2361"/>
      <c r="D38" s="2361"/>
      <c r="E38" s="2361"/>
      <c r="F38" s="2362"/>
    </row>
    <row r="39" spans="1:11" ht="4.5" hidden="1" customHeight="1" x14ac:dyDescent="0.2">
      <c r="A39" s="1873"/>
      <c r="B39" s="1873"/>
      <c r="C39" s="1873"/>
      <c r="D39" s="1873"/>
      <c r="E39" s="1873"/>
      <c r="F39" s="1873"/>
    </row>
    <row r="40" spans="1:11" s="1870" customFormat="1" ht="12" customHeight="1" x14ac:dyDescent="0.25">
      <c r="A40" s="1874" t="s">
        <v>1390</v>
      </c>
      <c r="B40" s="1875"/>
      <c r="C40" s="2363"/>
      <c r="D40" s="2363"/>
      <c r="E40" s="2363"/>
      <c r="F40" s="2364"/>
      <c r="H40" s="1879"/>
      <c r="I40" s="1879"/>
      <c r="J40" s="1879"/>
      <c r="K40" s="1879"/>
    </row>
    <row r="41" spans="1:11" s="1870" customFormat="1" ht="12" customHeight="1" x14ac:dyDescent="0.25">
      <c r="A41" s="2365"/>
      <c r="B41" s="2366"/>
      <c r="C41" s="2366"/>
      <c r="D41" s="2366"/>
      <c r="E41" s="2366"/>
      <c r="F41" s="2367"/>
      <c r="H41" s="1879"/>
      <c r="I41" s="1879"/>
      <c r="J41" s="1879"/>
      <c r="K41" s="1879"/>
    </row>
    <row r="42" spans="1:11" s="1870" customFormat="1" ht="12" customHeight="1" x14ac:dyDescent="0.25">
      <c r="A42" s="2365"/>
      <c r="B42" s="2366"/>
      <c r="C42" s="2366"/>
      <c r="D42" s="2366"/>
      <c r="E42" s="2366"/>
      <c r="F42" s="2367"/>
      <c r="H42" s="1879"/>
      <c r="I42" s="1879"/>
      <c r="J42" s="1879"/>
      <c r="K42" s="1879"/>
    </row>
    <row r="43" spans="1:11" s="1870" customFormat="1" ht="15" x14ac:dyDescent="0.25">
      <c r="A43" s="2357"/>
      <c r="B43" s="2358"/>
      <c r="C43" s="2358"/>
      <c r="D43" s="2358"/>
      <c r="E43" s="2358"/>
      <c r="F43" s="2359"/>
      <c r="H43" s="1879"/>
      <c r="I43" s="1879"/>
      <c r="J43" s="1879"/>
      <c r="K43" s="1879"/>
    </row>
    <row r="44" spans="1:11" s="1870" customFormat="1" ht="12" hidden="1" customHeight="1" x14ac:dyDescent="0.25">
      <c r="A44" s="2357"/>
      <c r="B44" s="2358"/>
      <c r="C44" s="2358"/>
      <c r="D44" s="2358"/>
      <c r="E44" s="2358"/>
      <c r="F44" s="2359"/>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92D050"/>
  </sheetPr>
  <dimension ref="A1:Q40"/>
  <sheetViews>
    <sheetView showGridLines="0" defaultGridColor="0" colorId="8" zoomScale="110" zoomScaleNormal="110" workbookViewId="0">
      <selection activeCell="I16" sqref="I16"/>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94" t="s">
        <v>671</v>
      </c>
      <c r="B6" s="1642"/>
      <c r="C6" s="1642"/>
      <c r="D6" s="1642"/>
      <c r="E6" s="1643"/>
      <c r="F6" s="1015"/>
      <c r="G6" s="1009"/>
      <c r="H6" s="1016" t="s">
        <v>1027</v>
      </c>
      <c r="I6" s="2373" t="str">
        <f>COVER!A17</f>
        <v>Aurora West USD 129</v>
      </c>
      <c r="J6" s="2374"/>
      <c r="Q6" s="1664"/>
    </row>
    <row r="7" spans="1:17" x14ac:dyDescent="0.2">
      <c r="A7" s="2375" t="s">
        <v>868</v>
      </c>
      <c r="B7" s="2376"/>
      <c r="C7" s="2376"/>
      <c r="D7" s="2376"/>
      <c r="E7" s="2377"/>
      <c r="F7" s="1017"/>
      <c r="G7" s="1009"/>
      <c r="H7" s="1016" t="s">
        <v>371</v>
      </c>
      <c r="I7" s="2378">
        <f>COVER!A13</f>
        <v>31045129022</v>
      </c>
      <c r="J7" s="2378"/>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1973</v>
      </c>
      <c r="F9" s="1023"/>
      <c r="G9" s="1023"/>
      <c r="H9" s="1896" t="s">
        <v>1974</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79" t="s">
        <v>480</v>
      </c>
      <c r="B11" s="2380"/>
      <c r="C11" s="2381"/>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811">
        <f>'Expenditures 15-22'!K50</f>
        <v>423342</v>
      </c>
      <c r="F12" s="1039"/>
      <c r="G12" s="1811">
        <f t="shared" ref="G12:G18" si="0">SUM(E12:F12)</f>
        <v>423342</v>
      </c>
      <c r="H12" s="1040">
        <v>473768</v>
      </c>
      <c r="I12" s="1039"/>
      <c r="J12" s="1811">
        <f t="shared" ref="J12:J18" si="1">SUM(H12:I12)</f>
        <v>473768</v>
      </c>
    </row>
    <row r="13" spans="1:17" ht="15" customHeight="1" x14ac:dyDescent="0.2">
      <c r="A13" s="1035">
        <v>2</v>
      </c>
      <c r="B13" s="1036" t="s">
        <v>42</v>
      </c>
      <c r="C13" s="1037"/>
      <c r="D13" s="1038">
        <v>2330</v>
      </c>
      <c r="E13" s="1811">
        <f>'Expenditures 15-22'!K51</f>
        <v>200157</v>
      </c>
      <c r="F13" s="1039"/>
      <c r="G13" s="1811">
        <f t="shared" si="0"/>
        <v>200157</v>
      </c>
      <c r="H13" s="1040">
        <v>249066</v>
      </c>
      <c r="I13" s="1039"/>
      <c r="J13" s="1811">
        <f t="shared" si="1"/>
        <v>249066</v>
      </c>
    </row>
    <row r="14" spans="1:17" ht="15" customHeight="1" x14ac:dyDescent="0.2">
      <c r="A14" s="1035">
        <v>3</v>
      </c>
      <c r="B14" s="1036" t="s">
        <v>43</v>
      </c>
      <c r="C14" s="1037"/>
      <c r="D14" s="1041">
        <v>2490</v>
      </c>
      <c r="E14" s="1811">
        <f>'Expenditures 15-22'!K56</f>
        <v>4691</v>
      </c>
      <c r="F14" s="1039"/>
      <c r="G14" s="1811">
        <f t="shared" si="0"/>
        <v>4691</v>
      </c>
      <c r="H14" s="1040">
        <v>1100</v>
      </c>
      <c r="I14" s="1039"/>
      <c r="J14" s="1811">
        <f t="shared" si="1"/>
        <v>1100</v>
      </c>
    </row>
    <row r="15" spans="1:17" ht="15" customHeight="1" x14ac:dyDescent="0.2">
      <c r="A15" s="1035">
        <v>4</v>
      </c>
      <c r="B15" s="1036" t="s">
        <v>1067</v>
      </c>
      <c r="C15" s="1037"/>
      <c r="D15" s="1038">
        <v>2510</v>
      </c>
      <c r="E15" s="1811">
        <f>'Expenditures 15-22'!K59</f>
        <v>292051</v>
      </c>
      <c r="F15" s="1811">
        <f>'Expenditures 15-22'!K122</f>
        <v>1150337</v>
      </c>
      <c r="G15" s="1811">
        <f t="shared" si="0"/>
        <v>1442388</v>
      </c>
      <c r="H15" s="1040">
        <v>343745</v>
      </c>
      <c r="I15" s="1040">
        <v>1019398</v>
      </c>
      <c r="J15" s="1811">
        <f t="shared" si="1"/>
        <v>1363143</v>
      </c>
    </row>
    <row r="16" spans="1:17" ht="15" customHeight="1" x14ac:dyDescent="0.2">
      <c r="A16" s="1035">
        <v>5</v>
      </c>
      <c r="B16" s="1036" t="s">
        <v>101</v>
      </c>
      <c r="C16" s="1037"/>
      <c r="D16" s="1038">
        <v>2570</v>
      </c>
      <c r="E16" s="1811">
        <f>'Expenditures 15-22'!K64</f>
        <v>0</v>
      </c>
      <c r="F16" s="1039"/>
      <c r="G16" s="1811">
        <f t="shared" si="0"/>
        <v>0</v>
      </c>
      <c r="H16" s="1040">
        <v>0</v>
      </c>
      <c r="I16" s="1039"/>
      <c r="J16" s="1811">
        <f t="shared" si="1"/>
        <v>0</v>
      </c>
    </row>
    <row r="17" spans="1:10" ht="15" customHeight="1" x14ac:dyDescent="0.2">
      <c r="A17" s="1035">
        <v>6</v>
      </c>
      <c r="B17" s="1036" t="s">
        <v>1059</v>
      </c>
      <c r="C17" s="1037"/>
      <c r="D17" s="1038">
        <v>2610</v>
      </c>
      <c r="E17" s="1811">
        <f>'Expenditures 15-22'!K67</f>
        <v>93757</v>
      </c>
      <c r="F17" s="1039"/>
      <c r="G17" s="1811">
        <f t="shared" si="0"/>
        <v>93757</v>
      </c>
      <c r="H17" s="1040">
        <v>82890</v>
      </c>
      <c r="I17" s="1039"/>
      <c r="J17" s="1811">
        <f t="shared" si="1"/>
        <v>82890</v>
      </c>
    </row>
    <row r="18" spans="1:10" ht="22.5" customHeight="1" x14ac:dyDescent="0.2">
      <c r="A18" s="1042">
        <v>7</v>
      </c>
      <c r="B18" s="2382" t="s">
        <v>7</v>
      </c>
      <c r="C18" s="2383"/>
      <c r="D18" s="2384"/>
      <c r="E18" s="1043"/>
      <c r="F18" s="1043"/>
      <c r="G18" s="1812">
        <f t="shared" si="0"/>
        <v>0</v>
      </c>
      <c r="H18" s="1040"/>
      <c r="I18" s="1040"/>
      <c r="J18" s="1811">
        <f t="shared" si="1"/>
        <v>0</v>
      </c>
    </row>
    <row r="19" spans="1:10" ht="12.75" customHeight="1" thickBot="1" x14ac:dyDescent="0.25">
      <c r="A19" s="1035">
        <v>8</v>
      </c>
      <c r="B19" s="1044" t="s">
        <v>1160</v>
      </c>
      <c r="D19" s="1045"/>
      <c r="E19" s="1813">
        <f t="shared" ref="E19:J19" si="2">SUM(E12:E17)-E18</f>
        <v>1013998</v>
      </c>
      <c r="F19" s="1813">
        <f t="shared" si="2"/>
        <v>1150337</v>
      </c>
      <c r="G19" s="1813">
        <f t="shared" si="2"/>
        <v>2164335</v>
      </c>
      <c r="H19" s="1813">
        <f t="shared" si="2"/>
        <v>1150569</v>
      </c>
      <c r="I19" s="1813">
        <f t="shared" si="2"/>
        <v>1019398</v>
      </c>
      <c r="J19" s="1813">
        <f t="shared" si="2"/>
        <v>2169967</v>
      </c>
    </row>
    <row r="20" spans="1:10" ht="13.5" thickTop="1" x14ac:dyDescent="0.2">
      <c r="A20" s="1035">
        <v>9</v>
      </c>
      <c r="B20" s="2385" t="s">
        <v>1975</v>
      </c>
      <c r="C20" s="2385"/>
      <c r="D20" s="2386"/>
      <c r="E20" s="1046"/>
      <c r="F20" s="1046"/>
      <c r="G20" s="1046"/>
      <c r="H20" s="1046"/>
      <c r="I20" s="1046"/>
      <c r="J20" s="1814">
        <f>IF(AND(G19&gt;0,J19&gt;0),(((J19-G19)/G19)),"Enter Budget Data")</f>
        <v>2.6021849667449818E-3</v>
      </c>
    </row>
    <row r="21" spans="1:10" ht="9" customHeight="1" x14ac:dyDescent="0.2">
      <c r="B21" s="1047"/>
    </row>
    <row r="22" spans="1:10" x14ac:dyDescent="0.2">
      <c r="A22" s="1048" t="s">
        <v>133</v>
      </c>
      <c r="B22" s="1047"/>
    </row>
    <row r="23" spans="1:10" x14ac:dyDescent="0.2">
      <c r="A23" s="1011" t="s">
        <v>1976</v>
      </c>
      <c r="B23" s="1047"/>
    </row>
    <row r="24" spans="1:10" x14ac:dyDescent="0.2">
      <c r="A24" s="1011" t="s">
        <v>1989</v>
      </c>
      <c r="B24" s="1047"/>
    </row>
    <row r="25" spans="1:10" x14ac:dyDescent="0.2">
      <c r="A25" s="1049"/>
      <c r="B25" s="1047"/>
    </row>
    <row r="26" spans="1:10" ht="20.100000000000001" customHeight="1" x14ac:dyDescent="0.2">
      <c r="B26" s="1047"/>
      <c r="C26" s="2391"/>
      <c r="D26" s="2391"/>
      <c r="E26" s="1050"/>
      <c r="F26" s="2390"/>
      <c r="G26" s="2390"/>
    </row>
    <row r="27" spans="1:10" x14ac:dyDescent="0.2">
      <c r="B27" s="1047"/>
      <c r="C27" s="1051" t="s">
        <v>1032</v>
      </c>
      <c r="D27" s="1052"/>
      <c r="E27" s="1053"/>
      <c r="F27" s="2387" t="s">
        <v>1508</v>
      </c>
      <c r="G27" s="2387"/>
    </row>
    <row r="28" spans="1:10" ht="28.5" customHeight="1" x14ac:dyDescent="0.2">
      <c r="B28" s="1047"/>
      <c r="C28" s="2389"/>
      <c r="D28" s="2389"/>
      <c r="E28" s="1054"/>
      <c r="F28" s="2389"/>
      <c r="G28" s="2389"/>
    </row>
    <row r="29" spans="1:10" x14ac:dyDescent="0.2">
      <c r="B29" s="1047"/>
      <c r="C29" s="1055" t="s">
        <v>1560</v>
      </c>
      <c r="E29" s="1056"/>
      <c r="F29" s="2388" t="s">
        <v>1509</v>
      </c>
      <c r="G29" s="2388"/>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70" t="s">
        <v>132</v>
      </c>
      <c r="D33" s="2371"/>
      <c r="E33" s="2371"/>
      <c r="F33" s="2371"/>
      <c r="G33" s="2371"/>
      <c r="H33" s="2371"/>
      <c r="I33" s="2371"/>
    </row>
    <row r="34" spans="1:10" ht="10.35" customHeight="1" x14ac:dyDescent="0.2">
      <c r="C34" s="2371"/>
      <c r="D34" s="2371"/>
      <c r="E34" s="2371"/>
      <c r="F34" s="2371"/>
      <c r="G34" s="2371"/>
      <c r="H34" s="2371"/>
      <c r="I34" s="2371"/>
    </row>
    <row r="35" spans="1:10" ht="7.5" customHeight="1" x14ac:dyDescent="0.2">
      <c r="C35" s="1062"/>
    </row>
    <row r="36" spans="1:10" ht="13.5" customHeight="1" x14ac:dyDescent="0.2">
      <c r="B36" s="1061"/>
      <c r="C36" s="2372" t="s">
        <v>1977</v>
      </c>
      <c r="D36" s="2371"/>
      <c r="E36" s="2371"/>
      <c r="F36" s="2371"/>
      <c r="G36" s="2371"/>
      <c r="H36" s="2371"/>
      <c r="I36" s="2371"/>
      <c r="J36" s="1063"/>
    </row>
    <row r="37" spans="1:10" ht="22.5" customHeight="1" x14ac:dyDescent="0.2">
      <c r="C37" s="2371"/>
      <c r="D37" s="2371"/>
      <c r="E37" s="2371"/>
      <c r="F37" s="2371"/>
      <c r="G37" s="2371"/>
      <c r="H37" s="2371"/>
      <c r="I37" s="2371"/>
      <c r="J37" s="1063"/>
    </row>
    <row r="38" spans="1:10" ht="7.5" customHeight="1" x14ac:dyDescent="0.2">
      <c r="C38" s="1062"/>
      <c r="D38" s="1064"/>
      <c r="E38" s="1065"/>
      <c r="F38" s="1066"/>
      <c r="G38" s="1065"/>
    </row>
    <row r="39" spans="1:10" ht="13.5" customHeight="1" x14ac:dyDescent="0.2">
      <c r="B39" s="1061"/>
      <c r="C39" s="2368" t="s">
        <v>881</v>
      </c>
      <c r="D39" s="2369"/>
      <c r="E39" s="2369"/>
      <c r="F39" s="2369"/>
      <c r="G39" s="2369"/>
      <c r="H39" s="2369"/>
      <c r="I39" s="2369"/>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2:B65"/>
  <sheetViews>
    <sheetView showGridLines="0" zoomScale="110" zoomScaleNormal="110" workbookViewId="0">
      <selection activeCell="B5" sqref="B5"/>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2268</v>
      </c>
    </row>
    <row r="6" spans="1:2" x14ac:dyDescent="0.2">
      <c r="A6" s="1068">
        <v>2</v>
      </c>
    </row>
    <row r="7" spans="1:2" x14ac:dyDescent="0.2">
      <c r="A7" s="1068">
        <v>3</v>
      </c>
    </row>
    <row r="8" spans="1:2" x14ac:dyDescent="0.2">
      <c r="A8" s="1068">
        <v>4</v>
      </c>
    </row>
    <row r="9" spans="1:2" x14ac:dyDescent="0.2">
      <c r="A9" s="1069"/>
    </row>
    <row r="10" spans="1:2" x14ac:dyDescent="0.2">
      <c r="A10" s="1069"/>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Aurora West USD 129</v>
      </c>
    </row>
    <row r="65" spans="2:2" x14ac:dyDescent="0.2">
      <c r="B65" s="1070">
        <f>COVER!A13</f>
        <v>31045129022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84"/>
  <sheetViews>
    <sheetView showGridLines="0" topLeftCell="A40" zoomScale="110" zoomScaleNormal="110" workbookViewId="0">
      <selection activeCell="K26" sqref="K26"/>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1854</v>
      </c>
      <c r="C4" s="162" t="s">
        <v>1168</v>
      </c>
      <c r="D4" s="169" t="s">
        <v>10</v>
      </c>
      <c r="E4" s="170" t="s">
        <v>22</v>
      </c>
    </row>
    <row r="5" spans="1:5" x14ac:dyDescent="0.2">
      <c r="A5" s="168" t="s">
        <v>1856</v>
      </c>
      <c r="C5" s="162" t="s">
        <v>1168</v>
      </c>
      <c r="D5" s="169" t="s">
        <v>10</v>
      </c>
      <c r="E5" s="170" t="s">
        <v>22</v>
      </c>
    </row>
    <row r="6" spans="1:5" x14ac:dyDescent="0.2">
      <c r="A6" s="168" t="s">
        <v>1855</v>
      </c>
      <c r="C6" s="162" t="s">
        <v>1168</v>
      </c>
      <c r="D6" s="167" t="s">
        <v>11</v>
      </c>
      <c r="E6" s="170" t="s">
        <v>940</v>
      </c>
    </row>
    <row r="7" spans="1:5" x14ac:dyDescent="0.2">
      <c r="A7" s="168" t="s">
        <v>1857</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1858</v>
      </c>
      <c r="C11" s="162" t="s">
        <v>1168</v>
      </c>
      <c r="D11" s="169" t="s">
        <v>14</v>
      </c>
      <c r="E11" s="170" t="s">
        <v>1155</v>
      </c>
    </row>
    <row r="12" spans="1:5" x14ac:dyDescent="0.2">
      <c r="B12" s="169" t="s">
        <v>1859</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1860</v>
      </c>
      <c r="C15" s="162" t="s">
        <v>1168</v>
      </c>
      <c r="D15" s="169" t="s">
        <v>17</v>
      </c>
      <c r="E15" s="170" t="s">
        <v>635</v>
      </c>
    </row>
    <row r="16" spans="1:5" x14ac:dyDescent="0.2">
      <c r="A16" s="172"/>
      <c r="B16" s="162" t="s">
        <v>1861</v>
      </c>
      <c r="C16" s="162" t="s">
        <v>1168</v>
      </c>
      <c r="D16" s="169" t="s">
        <v>680</v>
      </c>
      <c r="E16" s="170" t="s">
        <v>1039</v>
      </c>
    </row>
    <row r="17" spans="1:5" x14ac:dyDescent="0.2">
      <c r="B17" s="167" t="s">
        <v>987</v>
      </c>
      <c r="C17" s="162" t="s">
        <v>1168</v>
      </c>
    </row>
    <row r="18" spans="1:5" x14ac:dyDescent="0.2">
      <c r="B18" s="167" t="s">
        <v>1867</v>
      </c>
      <c r="D18" s="169" t="s">
        <v>18</v>
      </c>
      <c r="E18" s="170" t="s">
        <v>1040</v>
      </c>
    </row>
    <row r="19" spans="1:5" x14ac:dyDescent="0.2">
      <c r="A19" s="168" t="s">
        <v>1098</v>
      </c>
      <c r="C19" s="162" t="s">
        <v>1168</v>
      </c>
      <c r="D19" s="169"/>
      <c r="E19" s="171"/>
    </row>
    <row r="20" spans="1:5" x14ac:dyDescent="0.2">
      <c r="B20" s="167" t="s">
        <v>1862</v>
      </c>
      <c r="C20" s="162" t="s">
        <v>1168</v>
      </c>
      <c r="D20" s="169" t="s">
        <v>19</v>
      </c>
      <c r="E20" s="170" t="s">
        <v>51</v>
      </c>
    </row>
    <row r="21" spans="1:5" x14ac:dyDescent="0.2">
      <c r="B21" s="167" t="s">
        <v>1863</v>
      </c>
      <c r="C21" s="162" t="s">
        <v>1168</v>
      </c>
      <c r="D21" s="169" t="s">
        <v>20</v>
      </c>
      <c r="E21" s="170" t="s">
        <v>1609</v>
      </c>
    </row>
    <row r="22" spans="1:5" x14ac:dyDescent="0.2">
      <c r="A22" s="168"/>
      <c r="B22" s="162" t="s">
        <v>1851</v>
      </c>
      <c r="C22" s="162" t="s">
        <v>1168</v>
      </c>
      <c r="D22" s="167" t="s">
        <v>1853</v>
      </c>
      <c r="E22" s="1836" t="s">
        <v>1610</v>
      </c>
    </row>
    <row r="23" spans="1:5" x14ac:dyDescent="0.2">
      <c r="A23" s="168"/>
      <c r="B23" s="162" t="s">
        <v>1852</v>
      </c>
      <c r="D23" s="167" t="s">
        <v>636</v>
      </c>
      <c r="E23" s="1836" t="s">
        <v>958</v>
      </c>
    </row>
    <row r="24" spans="1:5" x14ac:dyDescent="0.2">
      <c r="A24" s="168" t="s">
        <v>1608</v>
      </c>
      <c r="C24" s="162" t="s">
        <v>1168</v>
      </c>
      <c r="D24" s="167" t="s">
        <v>1392</v>
      </c>
      <c r="E24" s="170" t="s">
        <v>959</v>
      </c>
    </row>
    <row r="25" spans="1:5" x14ac:dyDescent="0.2">
      <c r="A25" s="168" t="s">
        <v>1864</v>
      </c>
      <c r="C25" s="162" t="s">
        <v>1168</v>
      </c>
      <c r="D25" s="169" t="s">
        <v>21</v>
      </c>
      <c r="E25" s="170" t="s">
        <v>1041</v>
      </c>
    </row>
    <row r="26" spans="1:5" x14ac:dyDescent="0.2">
      <c r="A26" s="168" t="s">
        <v>1865</v>
      </c>
      <c r="C26" s="162" t="s">
        <v>1168</v>
      </c>
      <c r="D26" s="169" t="s">
        <v>562</v>
      </c>
      <c r="E26" s="170" t="s">
        <v>1042</v>
      </c>
    </row>
    <row r="27" spans="1:5" x14ac:dyDescent="0.2">
      <c r="A27" s="168" t="s">
        <v>1866</v>
      </c>
      <c r="C27" s="162" t="s">
        <v>1168</v>
      </c>
      <c r="D27" s="169" t="s">
        <v>556</v>
      </c>
      <c r="E27" s="170" t="s">
        <v>682</v>
      </c>
    </row>
    <row r="28" spans="1:5" x14ac:dyDescent="0.2">
      <c r="A28" s="168" t="s">
        <v>1868</v>
      </c>
      <c r="D28" s="169" t="s">
        <v>683</v>
      </c>
      <c r="E28" s="170" t="s">
        <v>1365</v>
      </c>
    </row>
    <row r="29" spans="1:5" x14ac:dyDescent="0.2">
      <c r="A29" s="168" t="s">
        <v>1869</v>
      </c>
      <c r="D29" s="169" t="s">
        <v>1393</v>
      </c>
      <c r="E29" s="170" t="s">
        <v>1374</v>
      </c>
    </row>
    <row r="30" spans="1:5" x14ac:dyDescent="0.2">
      <c r="A30" s="173" t="s">
        <v>1870</v>
      </c>
      <c r="C30" s="162" t="s">
        <v>1168</v>
      </c>
      <c r="D30" s="169" t="s">
        <v>40</v>
      </c>
      <c r="E30" s="170" t="s">
        <v>981</v>
      </c>
    </row>
    <row r="31" spans="1:5" x14ac:dyDescent="0.2">
      <c r="A31" s="168" t="s">
        <v>1520</v>
      </c>
      <c r="C31" s="162" t="s">
        <v>1168</v>
      </c>
      <c r="D31" s="167"/>
      <c r="E31" s="171"/>
    </row>
    <row r="32" spans="1:5" x14ac:dyDescent="0.2">
      <c r="B32" s="167" t="s">
        <v>1871</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109" t="s">
        <v>1064</v>
      </c>
      <c r="B35" s="2109"/>
      <c r="C35" s="2109"/>
      <c r="D35" s="2109"/>
      <c r="E35" s="210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06" t="s">
        <v>690</v>
      </c>
      <c r="B40" s="2106"/>
      <c r="C40" s="2106"/>
      <c r="D40" s="2106"/>
      <c r="E40" s="2106"/>
    </row>
    <row r="41" spans="1:5" x14ac:dyDescent="0.2">
      <c r="A41" s="2107" t="s">
        <v>1607</v>
      </c>
      <c r="B41" s="2107"/>
      <c r="C41" s="2107"/>
      <c r="D41" s="2107"/>
      <c r="E41" s="2107"/>
    </row>
    <row r="42" spans="1:5" ht="12.75" customHeight="1" x14ac:dyDescent="0.2">
      <c r="A42" s="2108" t="s">
        <v>1021</v>
      </c>
      <c r="B42" s="2108"/>
      <c r="C42" s="2108"/>
      <c r="D42" s="2108"/>
      <c r="E42" s="2108"/>
    </row>
    <row r="43" spans="1:5" ht="6.75" customHeight="1" x14ac:dyDescent="0.2">
      <c r="A43" s="167"/>
      <c r="B43" s="176"/>
    </row>
    <row r="44" spans="1:5" x14ac:dyDescent="0.2">
      <c r="A44" s="185" t="s">
        <v>982</v>
      </c>
      <c r="B44" s="186" t="s">
        <v>1897</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1767</v>
      </c>
    </row>
    <row r="52" spans="1:3" x14ac:dyDescent="0.2">
      <c r="A52" s="190"/>
      <c r="B52" s="188" t="s">
        <v>1787</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1768</v>
      </c>
    </row>
    <row r="57" spans="1:3" x14ac:dyDescent="0.2">
      <c r="A57" s="193"/>
      <c r="B57" s="190" t="s">
        <v>1770</v>
      </c>
    </row>
    <row r="58" spans="1:3" x14ac:dyDescent="0.2">
      <c r="A58" s="194"/>
      <c r="B58" s="190" t="s">
        <v>1771</v>
      </c>
    </row>
    <row r="59" spans="1:3" x14ac:dyDescent="0.2">
      <c r="A59" s="195"/>
      <c r="B59" s="1485" t="s">
        <v>1772</v>
      </c>
    </row>
    <row r="60" spans="1:3" x14ac:dyDescent="0.2">
      <c r="A60" s="196"/>
      <c r="B60" s="1485" t="s">
        <v>1773</v>
      </c>
    </row>
    <row r="61" spans="1:3" ht="6" customHeight="1" x14ac:dyDescent="0.2">
      <c r="A61" s="197"/>
      <c r="B61" s="189"/>
    </row>
    <row r="62" spans="1:3" x14ac:dyDescent="0.2">
      <c r="A62" s="169" t="s">
        <v>1615</v>
      </c>
      <c r="B62" s="198" t="s">
        <v>1769</v>
      </c>
    </row>
    <row r="63" spans="1:3" x14ac:dyDescent="0.2">
      <c r="A63" s="188"/>
      <c r="B63" s="169" t="s">
        <v>1784</v>
      </c>
    </row>
    <row r="64" spans="1:3" x14ac:dyDescent="0.2">
      <c r="A64" s="195"/>
      <c r="B64" s="1487" t="s">
        <v>1774</v>
      </c>
    </row>
    <row r="65" spans="1:9" x14ac:dyDescent="0.2">
      <c r="A65" s="188"/>
      <c r="B65" s="169" t="s">
        <v>1785</v>
      </c>
    </row>
    <row r="66" spans="1:9" x14ac:dyDescent="0.2">
      <c r="A66" s="190"/>
      <c r="B66" s="190" t="s">
        <v>1775</v>
      </c>
    </row>
    <row r="67" spans="1:9" ht="12" customHeight="1" x14ac:dyDescent="0.2">
      <c r="A67" s="188"/>
      <c r="B67" s="169" t="s">
        <v>1786</v>
      </c>
    </row>
    <row r="68" spans="1:9" x14ac:dyDescent="0.2">
      <c r="A68" s="189"/>
      <c r="B68" s="190" t="s">
        <v>1776</v>
      </c>
    </row>
    <row r="69" spans="1:9" x14ac:dyDescent="0.2">
      <c r="A69" s="190"/>
      <c r="B69" s="188" t="s">
        <v>1777</v>
      </c>
    </row>
    <row r="70" spans="1:9" ht="13.5" customHeight="1" x14ac:dyDescent="0.2">
      <c r="A70" s="190"/>
      <c r="B70" s="188" t="s">
        <v>1778</v>
      </c>
    </row>
    <row r="71" spans="1:9" ht="12" customHeight="1" x14ac:dyDescent="0.2">
      <c r="A71" s="192"/>
      <c r="B71" s="1486" t="s">
        <v>1618</v>
      </c>
    </row>
    <row r="72" spans="1:9" ht="9" customHeight="1" x14ac:dyDescent="0.2">
      <c r="A72" s="192"/>
      <c r="B72" s="199"/>
    </row>
    <row r="73" spans="1:9" x14ac:dyDescent="0.2">
      <c r="A73" s="189" t="s">
        <v>1619</v>
      </c>
      <c r="B73" s="169" t="s">
        <v>1780</v>
      </c>
    </row>
    <row r="74" spans="1:9" x14ac:dyDescent="0.2">
      <c r="A74" s="189"/>
      <c r="B74" s="169" t="s">
        <v>1779</v>
      </c>
    </row>
    <row r="75" spans="1:9" ht="8.25" customHeight="1" x14ac:dyDescent="0.2">
      <c r="A75" s="189"/>
      <c r="B75" s="189"/>
    </row>
    <row r="76" spans="1:9" ht="12.2" customHeight="1" x14ac:dyDescent="0.2">
      <c r="A76" s="189" t="s">
        <v>1620</v>
      </c>
      <c r="B76" s="198" t="s">
        <v>1781</v>
      </c>
    </row>
    <row r="77" spans="1:9" ht="12.2" customHeight="1" x14ac:dyDescent="0.2">
      <c r="A77" s="190"/>
      <c r="B77" s="169" t="s">
        <v>1621</v>
      </c>
      <c r="C77" s="179"/>
      <c r="D77" s="180"/>
      <c r="E77" s="181"/>
      <c r="F77" s="181"/>
      <c r="G77" s="181"/>
      <c r="H77" s="181"/>
      <c r="I77" s="181"/>
    </row>
    <row r="78" spans="1:9" ht="11.25" customHeight="1" x14ac:dyDescent="0.2">
      <c r="A78" s="190"/>
      <c r="B78" s="190" t="s">
        <v>1783</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1782</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2D050"/>
  </sheetPr>
  <dimension ref="A1:D19"/>
  <sheetViews>
    <sheetView showGridLines="0" defaultGridColor="0" colorId="8" zoomScale="110" zoomScaleNormal="110" workbookViewId="0">
      <selection activeCell="I41" sqref="I41"/>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92D050"/>
  </sheetPr>
  <dimension ref="A1:F18"/>
  <sheetViews>
    <sheetView showGridLines="0" zoomScale="110" zoomScaleNormal="110" workbookViewId="0">
      <selection activeCell="H25" sqref="H25"/>
    </sheetView>
  </sheetViews>
  <sheetFormatPr defaultRowHeight="12.75" x14ac:dyDescent="0.2"/>
  <cols>
    <col min="1" max="1" width="1.85546875" style="329" customWidth="1"/>
    <col min="2" max="2" width="59.7109375" style="329" customWidth="1"/>
    <col min="3" max="16384" width="9.140625" style="329"/>
  </cols>
  <sheetData>
    <row r="1" spans="1:6" x14ac:dyDescent="0.2">
      <c r="B1" s="674"/>
      <c r="C1" s="674"/>
    </row>
    <row r="2" spans="1:6" x14ac:dyDescent="0.2">
      <c r="B2" s="674"/>
      <c r="C2" s="674"/>
    </row>
    <row r="3" spans="1:6" x14ac:dyDescent="0.2">
      <c r="B3" s="674"/>
      <c r="C3" s="674"/>
    </row>
    <row r="4" spans="1:6" x14ac:dyDescent="0.2">
      <c r="B4" s="674"/>
      <c r="C4" s="674"/>
    </row>
    <row r="5" spans="1:6" x14ac:dyDescent="0.2">
      <c r="B5" s="674"/>
      <c r="C5" s="674"/>
    </row>
    <row r="6" spans="1:6" x14ac:dyDescent="0.2">
      <c r="B6" s="674"/>
      <c r="C6" s="674"/>
    </row>
    <row r="7" spans="1:6" x14ac:dyDescent="0.2">
      <c r="B7" s="674"/>
      <c r="C7" s="674"/>
    </row>
    <row r="8" spans="1:6" x14ac:dyDescent="0.2">
      <c r="B8" s="674"/>
      <c r="C8" s="674"/>
    </row>
    <row r="9" spans="1:6" x14ac:dyDescent="0.2">
      <c r="B9" s="674"/>
      <c r="C9" s="674"/>
    </row>
    <row r="10" spans="1:6" x14ac:dyDescent="0.2">
      <c r="B10" s="674"/>
      <c r="C10" s="674"/>
    </row>
    <row r="11" spans="1:6" x14ac:dyDescent="0.2">
      <c r="B11" s="1996"/>
      <c r="C11" s="1996"/>
      <c r="D11" s="1071"/>
      <c r="E11" s="1071"/>
      <c r="F11" s="1071"/>
    </row>
    <row r="12" spans="1:6" x14ac:dyDescent="0.2">
      <c r="B12" s="674"/>
      <c r="C12" s="674"/>
    </row>
    <row r="13" spans="1:6" x14ac:dyDescent="0.2">
      <c r="A13" s="1072" t="s">
        <v>1492</v>
      </c>
    </row>
    <row r="15" spans="1:6" x14ac:dyDescent="0.2">
      <c r="A15" s="389" t="s">
        <v>856</v>
      </c>
    </row>
    <row r="16" spans="1:6" s="1071" customFormat="1" ht="45" customHeight="1" x14ac:dyDescent="0.2">
      <c r="A16" s="1073"/>
      <c r="B16" s="1073" t="s">
        <v>1683</v>
      </c>
    </row>
    <row r="17" spans="1:2" ht="6" customHeight="1" x14ac:dyDescent="0.2"/>
    <row r="18" spans="1:2" ht="24.75" customHeight="1" x14ac:dyDescent="0.2">
      <c r="A18" s="2392" t="s">
        <v>1684</v>
      </c>
      <c r="B18" s="2392"/>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70657" r:id="rId4">
          <objectPr defaultSize="0" r:id="rId5">
            <anchor moveWithCells="1">
              <from>
                <xdr:col>1</xdr:col>
                <xdr:colOff>238125</xdr:colOff>
                <xdr:row>0</xdr:row>
                <xdr:rowOff>142875</xdr:rowOff>
              </from>
              <to>
                <xdr:col>1</xdr:col>
                <xdr:colOff>1152525</xdr:colOff>
                <xdr:row>5</xdr:row>
                <xdr:rowOff>19050</xdr:rowOff>
              </to>
            </anchor>
          </objectPr>
        </oleObject>
      </mc:Choice>
      <mc:Fallback>
        <oleObject progId="Acrobat Document" dvAspect="DVASPECT_ICON" shapeId="70657" r:id="rId4"/>
      </mc:Fallback>
    </mc:AlternateContent>
    <mc:AlternateContent xmlns:mc="http://schemas.openxmlformats.org/markup-compatibility/2006">
      <mc:Choice Requires="x14">
        <oleObject progId="Acrobat Document" dvAspect="DVASPECT_ICON" shapeId="70658" r:id="rId6">
          <objectPr defaultSize="0" r:id="rId7">
            <anchor moveWithCells="1">
              <from>
                <xdr:col>1</xdr:col>
                <xdr:colOff>1495425</xdr:colOff>
                <xdr:row>1</xdr:row>
                <xdr:rowOff>0</xdr:rowOff>
              </from>
              <to>
                <xdr:col>1</xdr:col>
                <xdr:colOff>2409825</xdr:colOff>
                <xdr:row>5</xdr:row>
                <xdr:rowOff>38100</xdr:rowOff>
              </to>
            </anchor>
          </objectPr>
        </oleObject>
      </mc:Choice>
      <mc:Fallback>
        <oleObject progId="Acrobat Document" dvAspect="DVASPECT_ICON" shapeId="70658" r:id="rId6"/>
      </mc:Fallback>
    </mc:AlternateContent>
    <mc:AlternateContent xmlns:mc="http://schemas.openxmlformats.org/markup-compatibility/2006">
      <mc:Choice Requires="x14">
        <oleObject progId="Acrobat Document" dvAspect="DVASPECT_ICON" shapeId="70659" r:id="rId8">
          <objectPr defaultSize="0" r:id="rId9">
            <anchor moveWithCells="1">
              <from>
                <xdr:col>1</xdr:col>
                <xdr:colOff>2752725</xdr:colOff>
                <xdr:row>1</xdr:row>
                <xdr:rowOff>0</xdr:rowOff>
              </from>
              <to>
                <xdr:col>1</xdr:col>
                <xdr:colOff>3667125</xdr:colOff>
                <xdr:row>5</xdr:row>
                <xdr:rowOff>38100</xdr:rowOff>
              </to>
            </anchor>
          </objectPr>
        </oleObject>
      </mc:Choice>
      <mc:Fallback>
        <oleObject progId="Acrobat Document" dvAspect="DVASPECT_ICON" shapeId="70659" r:id="rId8"/>
      </mc:Fallback>
    </mc:AlternateContent>
    <mc:AlternateContent xmlns:mc="http://schemas.openxmlformats.org/markup-compatibility/2006">
      <mc:Choice Requires="x14">
        <oleObject progId="Acrobat Document" dvAspect="DVASPECT_ICON" shapeId="70661" r:id="rId10">
          <objectPr defaultSize="0" r:id="rId11">
            <anchor moveWithCells="1">
              <from>
                <xdr:col>1</xdr:col>
                <xdr:colOff>180975</xdr:colOff>
                <xdr:row>6</xdr:row>
                <xdr:rowOff>47625</xdr:rowOff>
              </from>
              <to>
                <xdr:col>1</xdr:col>
                <xdr:colOff>1095375</xdr:colOff>
                <xdr:row>10</xdr:row>
                <xdr:rowOff>85725</xdr:rowOff>
              </to>
            </anchor>
          </objectPr>
        </oleObject>
      </mc:Choice>
      <mc:Fallback>
        <oleObject progId="Acrobat Document" dvAspect="DVASPECT_ICON" shapeId="70661" r:id="rId10"/>
      </mc:Fallback>
    </mc:AlternateContent>
    <mc:AlternateContent xmlns:mc="http://schemas.openxmlformats.org/markup-compatibility/2006">
      <mc:Choice Requires="x14">
        <oleObject progId="Document" dvAspect="DVASPECT_ICON" shapeId="70662" r:id="rId12">
          <objectPr defaultSize="0" r:id="rId13">
            <anchor moveWithCells="1">
              <from>
                <xdr:col>1</xdr:col>
                <xdr:colOff>1409700</xdr:colOff>
                <xdr:row>6</xdr:row>
                <xdr:rowOff>47625</xdr:rowOff>
              </from>
              <to>
                <xdr:col>1</xdr:col>
                <xdr:colOff>2324100</xdr:colOff>
                <xdr:row>10</xdr:row>
                <xdr:rowOff>85725</xdr:rowOff>
              </to>
            </anchor>
          </objectPr>
        </oleObject>
      </mc:Choice>
      <mc:Fallback>
        <oleObject progId="Document" dvAspect="DVASPECT_ICON" shapeId="70662" r:id="rId12"/>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2D050"/>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93" t="s">
        <v>1689</v>
      </c>
      <c r="B1" s="2394"/>
      <c r="C1" s="2394"/>
      <c r="D1" s="2394"/>
      <c r="E1" s="2394"/>
      <c r="F1" s="2395"/>
    </row>
    <row r="2" spans="1:8" ht="45" customHeight="1" x14ac:dyDescent="0.2">
      <c r="A2" s="2403" t="s">
        <v>1981</v>
      </c>
      <c r="B2" s="2404"/>
      <c r="C2" s="2404"/>
      <c r="D2" s="2404"/>
      <c r="E2" s="2404"/>
      <c r="F2" s="2405"/>
      <c r="G2" s="1074"/>
      <c r="H2" s="1074"/>
    </row>
    <row r="3" spans="1:8" ht="57" customHeight="1" x14ac:dyDescent="0.2">
      <c r="A3" s="2406" t="s">
        <v>1685</v>
      </c>
      <c r="B3" s="2407"/>
      <c r="C3" s="2407"/>
      <c r="D3" s="2407"/>
      <c r="E3" s="2407"/>
      <c r="F3" s="2408"/>
      <c r="G3" s="1074"/>
      <c r="H3" s="1074"/>
    </row>
    <row r="4" spans="1:8" ht="14.25" customHeight="1" x14ac:dyDescent="0.2">
      <c r="A4" s="2412" t="s">
        <v>1982</v>
      </c>
      <c r="B4" s="2413"/>
      <c r="C4" s="2413"/>
      <c r="D4" s="2413"/>
      <c r="E4" s="2413"/>
      <c r="F4" s="2414"/>
      <c r="G4" s="1074"/>
      <c r="H4" s="1074"/>
    </row>
    <row r="5" spans="1:8" ht="14.25" customHeight="1" x14ac:dyDescent="0.2">
      <c r="A5" s="2415" t="s">
        <v>1978</v>
      </c>
      <c r="B5" s="2416"/>
      <c r="C5" s="2416"/>
      <c r="D5" s="2416"/>
      <c r="E5" s="2416"/>
      <c r="F5" s="2417"/>
      <c r="G5" s="1074"/>
      <c r="H5" s="1074"/>
    </row>
    <row r="6" spans="1:8" s="1075" customFormat="1" ht="41.25" customHeight="1" x14ac:dyDescent="0.2">
      <c r="A6" s="2409" t="s">
        <v>1690</v>
      </c>
      <c r="B6" s="2410"/>
      <c r="C6" s="2410"/>
      <c r="D6" s="2410"/>
      <c r="E6" s="2410"/>
      <c r="F6" s="2411"/>
    </row>
    <row r="7" spans="1:8" ht="42" customHeight="1" x14ac:dyDescent="0.2">
      <c r="A7" s="1076" t="s">
        <v>480</v>
      </c>
      <c r="B7" s="1077" t="s">
        <v>1495</v>
      </c>
      <c r="C7" s="1077" t="s">
        <v>1496</v>
      </c>
      <c r="D7" s="1077" t="s">
        <v>1494</v>
      </c>
      <c r="E7" s="1077" t="s">
        <v>1497</v>
      </c>
      <c r="F7" s="1077" t="s">
        <v>1366</v>
      </c>
    </row>
    <row r="8" spans="1:8" s="1079" customFormat="1" ht="14.25" customHeight="1" x14ac:dyDescent="0.2">
      <c r="A8" s="1078" t="s">
        <v>1367</v>
      </c>
      <c r="B8" s="1815">
        <f>'Acct Summary 7-8'!C8</f>
        <v>140134521</v>
      </c>
      <c r="C8" s="1815">
        <f>'Acct Summary 7-8'!D8</f>
        <v>15657898</v>
      </c>
      <c r="D8" s="1815">
        <f>'Acct Summary 7-8'!F8</f>
        <v>10389820</v>
      </c>
      <c r="E8" s="1815">
        <f>'Acct Summary 7-8'!I8</f>
        <v>0</v>
      </c>
      <c r="F8" s="1815">
        <f>SUM(B8:E8)</f>
        <v>166182239</v>
      </c>
    </row>
    <row r="9" spans="1:8" s="1079" customFormat="1" ht="14.25" customHeight="1" thickBot="1" x14ac:dyDescent="0.25">
      <c r="A9" s="1078" t="s">
        <v>1368</v>
      </c>
      <c r="B9" s="1816">
        <f>'Acct Summary 7-8'!C17</f>
        <v>128559459</v>
      </c>
      <c r="C9" s="1816">
        <f>'Acct Summary 7-8'!D17</f>
        <v>14922023</v>
      </c>
      <c r="D9" s="1816">
        <f>'Acct Summary 7-8'!F17</f>
        <v>8371850</v>
      </c>
      <c r="E9" s="1815"/>
      <c r="F9" s="1815">
        <f>SUM(B9:E9)</f>
        <v>151853332</v>
      </c>
    </row>
    <row r="10" spans="1:8" s="1079" customFormat="1" ht="14.25" thickTop="1" thickBot="1" x14ac:dyDescent="0.25">
      <c r="A10" s="1080" t="s">
        <v>1369</v>
      </c>
      <c r="B10" s="1817">
        <f>(B8-B9)</f>
        <v>11575062</v>
      </c>
      <c r="C10" s="1817">
        <f>(C8-C9)</f>
        <v>735875</v>
      </c>
      <c r="D10" s="1817">
        <f>(D8-D9)</f>
        <v>2017970</v>
      </c>
      <c r="E10" s="1816">
        <f>(E8-E9)</f>
        <v>0</v>
      </c>
      <c r="F10" s="1818">
        <f>SUM(F8-F9)</f>
        <v>14328907</v>
      </c>
    </row>
    <row r="11" spans="1:8" s="1079" customFormat="1" ht="14.25" thickTop="1" thickBot="1" x14ac:dyDescent="0.25">
      <c r="A11" s="1081" t="s">
        <v>1979</v>
      </c>
      <c r="B11" s="1819">
        <f>'Acct Summary 7-8'!C81</f>
        <v>32906196</v>
      </c>
      <c r="C11" s="1819">
        <f>'Acct Summary 7-8'!D81</f>
        <v>2230213</v>
      </c>
      <c r="D11" s="1819">
        <f>'Acct Summary 7-8'!F81</f>
        <v>2628741</v>
      </c>
      <c r="E11" s="1819">
        <f>'Acct Summary 7-8'!I81</f>
        <v>14253044</v>
      </c>
      <c r="F11" s="1820">
        <f>SUM(B11:E11)</f>
        <v>52018194</v>
      </c>
    </row>
    <row r="12" spans="1:8" ht="16.5" customHeight="1" thickTop="1" x14ac:dyDescent="0.2">
      <c r="A12" s="1082"/>
      <c r="B12" s="1083"/>
      <c r="C12" s="2397" t="str">
        <f>IF(AND(F10&lt;0,F11&gt;=0,ABS(F10*3)&gt;ABS(F11)),A16,IF(AND(F10&lt;0,F11&gt;0,ABS(F10*3)&lt;=ABS(F11)),A17,IF(AND(F10&lt;0,F11&lt;0),A16,IF(F11=0,A19,A18))))</f>
        <v>Balanced - no deficit reduction plan is required.</v>
      </c>
      <c r="D12" s="2398"/>
      <c r="E12" s="2398"/>
      <c r="F12" s="2399"/>
    </row>
    <row r="13" spans="1:8" ht="19.5" customHeight="1" x14ac:dyDescent="0.2">
      <c r="A13" s="1084"/>
      <c r="B13" s="1085"/>
      <c r="C13" s="2397"/>
      <c r="D13" s="2398"/>
      <c r="E13" s="2398"/>
      <c r="F13" s="2399"/>
      <c r="H13" s="1074"/>
    </row>
    <row r="14" spans="1:8" ht="19.5" customHeight="1" x14ac:dyDescent="0.2">
      <c r="A14" s="1084"/>
      <c r="B14" s="1085"/>
      <c r="C14" s="2397"/>
      <c r="D14" s="2398"/>
      <c r="E14" s="2398"/>
      <c r="F14" s="2399"/>
      <c r="H14" s="1074"/>
    </row>
    <row r="15" spans="1:8" ht="17.25" customHeight="1" x14ac:dyDescent="0.2">
      <c r="A15" s="1084"/>
      <c r="B15" s="1085"/>
      <c r="C15" s="2400"/>
      <c r="D15" s="2401"/>
      <c r="E15" s="2401"/>
      <c r="F15" s="2402"/>
      <c r="H15" s="1074"/>
    </row>
    <row r="16" spans="1:8" s="310" customFormat="1" ht="51.75" hidden="1" customHeight="1" x14ac:dyDescent="0.2">
      <c r="A16" s="2396" t="s">
        <v>1686</v>
      </c>
      <c r="B16" s="2396"/>
      <c r="C16" s="2396"/>
      <c r="D16" s="2396"/>
      <c r="E16" s="2396"/>
      <c r="F16" s="310" t="s">
        <v>1370</v>
      </c>
    </row>
    <row r="17" spans="1:6" hidden="1" x14ac:dyDescent="0.2">
      <c r="A17" s="316" t="s">
        <v>1687</v>
      </c>
      <c r="F17" s="1086"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9" colorId="8" zoomScale="110" zoomScaleNormal="110" workbookViewId="0">
      <selection activeCell="D24" sqref="D24"/>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418" t="s">
        <v>664</v>
      </c>
      <c r="B3" s="2419"/>
      <c r="C3" s="2419"/>
      <c r="D3" s="2420"/>
    </row>
    <row r="4" spans="1:4" x14ac:dyDescent="0.2">
      <c r="A4" s="1152" t="s">
        <v>1691</v>
      </c>
      <c r="B4" s="1153"/>
      <c r="C4" s="1154"/>
      <c r="D4" s="1155"/>
    </row>
    <row r="5" spans="1:4" ht="21" customHeight="1" x14ac:dyDescent="0.2">
      <c r="A5" s="1148"/>
      <c r="B5" s="1149">
        <v>1</v>
      </c>
      <c r="C5" s="1150" t="s">
        <v>1831</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429" t="s">
        <v>1503</v>
      </c>
      <c r="D7" s="2430"/>
    </row>
    <row r="8" spans="1:4" s="668" customFormat="1" ht="12.75" x14ac:dyDescent="0.2">
      <c r="A8" s="1138"/>
      <c r="B8" s="1093"/>
      <c r="C8" s="1096" t="s">
        <v>1502</v>
      </c>
      <c r="D8" s="1097"/>
    </row>
    <row r="9" spans="1:4" s="668" customFormat="1" ht="14.25" customHeight="1" x14ac:dyDescent="0.2">
      <c r="A9" s="1138"/>
      <c r="B9" s="1093">
        <f>B7+1</f>
        <v>4</v>
      </c>
      <c r="C9" s="1094" t="s">
        <v>1908</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1504</v>
      </c>
      <c r="D14" s="1137"/>
    </row>
    <row r="15" spans="1:4" s="668" customFormat="1" ht="21.75" customHeight="1" x14ac:dyDescent="0.2">
      <c r="A15" s="2421" t="s">
        <v>1007</v>
      </c>
      <c r="B15" s="2422"/>
      <c r="C15" s="2422"/>
      <c r="D15" s="2423"/>
    </row>
    <row r="16" spans="1:4" s="668" customFormat="1" ht="24" customHeight="1" x14ac:dyDescent="0.2">
      <c r="A16" s="2424" t="s">
        <v>662</v>
      </c>
      <c r="B16" s="2425"/>
      <c r="C16" s="2425"/>
      <c r="D16" s="2426"/>
    </row>
    <row r="17" spans="1:10" s="668" customFormat="1" ht="12.75" customHeight="1" x14ac:dyDescent="0.2">
      <c r="A17" s="1156" t="s">
        <v>1692</v>
      </c>
      <c r="B17" s="1157"/>
      <c r="C17" s="1158"/>
      <c r="D17" s="1159"/>
    </row>
    <row r="18" spans="1:10" s="668" customFormat="1" ht="12.75" customHeight="1" x14ac:dyDescent="0.2">
      <c r="A18" s="1160" t="s">
        <v>1693</v>
      </c>
      <c r="B18" s="1161"/>
      <c r="C18" s="1162"/>
      <c r="D18" s="1163"/>
    </row>
    <row r="19" spans="1:10" ht="6.75" customHeight="1" thickBot="1" x14ac:dyDescent="0.25">
      <c r="A19" s="1164"/>
      <c r="B19" s="1165"/>
      <c r="C19" s="1166"/>
      <c r="D19" s="1167"/>
    </row>
    <row r="20" spans="1:10" s="1171" customFormat="1" ht="12.75" thickTop="1" x14ac:dyDescent="0.2">
      <c r="A20" s="1168"/>
      <c r="B20" s="1169" t="s">
        <v>1694</v>
      </c>
      <c r="C20" s="1170"/>
      <c r="D20" s="1173" t="s">
        <v>709</v>
      </c>
    </row>
    <row r="21" spans="1:10" x14ac:dyDescent="0.2">
      <c r="A21" s="1098"/>
      <c r="B21" s="1099">
        <v>1</v>
      </c>
      <c r="C21" s="2433" t="s">
        <v>313</v>
      </c>
      <c r="D21" s="2434"/>
    </row>
    <row r="22" spans="1:10" ht="12.75" x14ac:dyDescent="0.2">
      <c r="A22" s="1139"/>
      <c r="B22" s="1140">
        <v>2</v>
      </c>
      <c r="C22" s="2431" t="s">
        <v>1523</v>
      </c>
      <c r="D22" s="2432"/>
    </row>
    <row r="23" spans="1:10" ht="12.2" customHeight="1" x14ac:dyDescent="0.2">
      <c r="A23" s="1139"/>
      <c r="B23" s="1140"/>
      <c r="C23" s="1141" t="s">
        <v>953</v>
      </c>
      <c r="D23" s="1142" t="str">
        <f>IF(COVER!O11="X","CASH",IF(COVER!O12="X","ACCRUAL ","PLEASE CHECK AN ACCOUNTING BASIS."))</f>
        <v xml:space="preserve">ACCRUAL </v>
      </c>
    </row>
    <row r="24" spans="1:10" ht="12.2" customHeight="1" x14ac:dyDescent="0.2">
      <c r="A24" s="1139"/>
      <c r="B24" s="1140"/>
      <c r="C24" s="1141" t="s">
        <v>1331</v>
      </c>
      <c r="D24" s="1142" t="str">
        <f>IF(COVER!O11="X","OK",IF(AND('Aud Quest 2'!J90=0,'Aud Quest 2'!I77&lt;DATE(2017,12,31)),"ENTER ACCOUNTING INFO",IF(AND('Aud Quest 2'!J90&gt;0,'Aud Quest 2'!I77&lt;DATE(2017,12,31)),"OK")))</f>
        <v>ENTER ACCOUNTING INFO</v>
      </c>
    </row>
    <row r="25" spans="1:10" x14ac:dyDescent="0.2">
      <c r="A25" s="1100"/>
      <c r="B25" s="1101"/>
      <c r="C25" s="1102" t="s">
        <v>1525</v>
      </c>
      <c r="D25" s="1103" t="str">
        <f>IF(AND(COVER!J29="X",COVER!J30="X",COVER!L30&lt;&gt;"X"),"OK",IF(AND(COVER!J29="X",COVER!J30&lt;&gt;"X",COVER!L30="X"),"OK",IF(AND(COVER!L29="X",COVER!J30&lt;&gt;"X"),"OK","PLEASE CHECK YES or NO.")))</f>
        <v>OK</v>
      </c>
    </row>
    <row r="26" spans="1:10" x14ac:dyDescent="0.2">
      <c r="A26" s="1100"/>
      <c r="B26" s="1143"/>
      <c r="C26" s="1104" t="s">
        <v>1524</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841</v>
      </c>
      <c r="D28" s="1107" t="str">
        <f>IF('Aud Quest 2'!B53="X",IF('Aud Quest 2'!F53&gt;"00/00/00 ","Enter Effective Date","ok"))</f>
        <v>ok</v>
      </c>
    </row>
    <row r="29" spans="1:10" x14ac:dyDescent="0.2">
      <c r="A29" s="1100"/>
      <c r="B29" s="1143"/>
      <c r="C29" s="1104" t="s">
        <v>1372</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435" t="s">
        <v>535</v>
      </c>
      <c r="D43" s="2436"/>
    </row>
    <row r="44" spans="1:12" x14ac:dyDescent="0.2">
      <c r="A44" s="1119"/>
      <c r="B44" s="1121"/>
      <c r="C44" s="1122" t="s">
        <v>1334</v>
      </c>
      <c r="D44" s="1123" t="str">
        <f>IF(SUM('Assets-Liab 5-6'!C13)&lt;&gt;SUM('Assets-Liab 5-6'!C41),"ERROR!","OK")</f>
        <v>OK</v>
      </c>
    </row>
    <row r="45" spans="1:12" x14ac:dyDescent="0.2">
      <c r="A45" s="1119"/>
      <c r="B45" s="1121"/>
      <c r="C45" s="1122" t="s">
        <v>1335</v>
      </c>
      <c r="D45" s="1123" t="str">
        <f>IF(SUM('Assets-Liab 5-6'!D13)&lt;&gt;SUM('Assets-Liab 5-6'!D41),"ERROR!","OK")</f>
        <v>OK</v>
      </c>
    </row>
    <row r="46" spans="1:12" x14ac:dyDescent="0.2">
      <c r="A46" s="1119"/>
      <c r="B46" s="1121"/>
      <c r="C46" s="1122" t="s">
        <v>1336</v>
      </c>
      <c r="D46" s="1123" t="str">
        <f>IF(SUM('Assets-Liab 5-6'!E13)&lt;&gt;SUM('Assets-Liab 5-6'!E41),"ERROR!","OK")</f>
        <v>OK</v>
      </c>
    </row>
    <row r="47" spans="1:12" x14ac:dyDescent="0.2">
      <c r="A47" s="1119"/>
      <c r="B47" s="1121"/>
      <c r="C47" s="1122" t="s">
        <v>1337</v>
      </c>
      <c r="D47" s="1123" t="str">
        <f>IF(SUM('Assets-Liab 5-6'!F13)&lt;&gt;SUM('Assets-Liab 5-6'!F41),"ERROR!","OK")</f>
        <v>OK</v>
      </c>
    </row>
    <row r="48" spans="1:12" x14ac:dyDescent="0.2">
      <c r="A48" s="1119"/>
      <c r="B48" s="1121"/>
      <c r="C48" s="1122" t="s">
        <v>1338</v>
      </c>
      <c r="D48" s="1123" t="str">
        <f>IF(SUM('Assets-Liab 5-6'!G13)&lt;&gt;SUM('Assets-Liab 5-6'!G41),"ERROR!","OK")</f>
        <v>OK</v>
      </c>
    </row>
    <row r="49" spans="1:4" x14ac:dyDescent="0.2">
      <c r="A49" s="1119"/>
      <c r="B49" s="1121"/>
      <c r="C49" s="1122" t="s">
        <v>1339</v>
      </c>
      <c r="D49" s="1123" t="str">
        <f>IF(SUM('Assets-Liab 5-6'!H13)&lt;&gt;SUM('Assets-Liab 5-6'!H41),"ERROR!","OK")</f>
        <v>OK</v>
      </c>
    </row>
    <row r="50" spans="1:4" x14ac:dyDescent="0.2">
      <c r="A50" s="1119"/>
      <c r="B50" s="1121"/>
      <c r="C50" s="1122" t="s">
        <v>1340</v>
      </c>
      <c r="D50" s="1123" t="str">
        <f>IF(SUM('Assets-Liab 5-6'!I13)&lt;&gt;SUM('Assets-Liab 5-6'!I41),"ERROR!","OK")</f>
        <v>OK</v>
      </c>
    </row>
    <row r="51" spans="1:4" x14ac:dyDescent="0.2">
      <c r="A51" s="1119"/>
      <c r="B51" s="1121"/>
      <c r="C51" s="1122" t="s">
        <v>1341</v>
      </c>
      <c r="D51" s="1123" t="str">
        <f>IF(SUM('Assets-Liab 5-6'!J13)&lt;&gt;SUM('Assets-Liab 5-6'!J41),"ERROR!","OK")</f>
        <v>OK</v>
      </c>
    </row>
    <row r="52" spans="1:4" x14ac:dyDescent="0.2">
      <c r="A52" s="1119"/>
      <c r="B52" s="1121"/>
      <c r="C52" s="1122" t="s">
        <v>1342</v>
      </c>
      <c r="D52" s="1123" t="str">
        <f>IF(SUM('Assets-Liab 5-6'!K13)&lt;&gt;SUM('Assets-Liab 5-6'!K41),"ERROR!","OK")</f>
        <v>OK</v>
      </c>
    </row>
    <row r="53" spans="1:4" x14ac:dyDescent="0.2">
      <c r="A53" s="1119"/>
      <c r="B53" s="1121"/>
      <c r="C53" s="1122" t="s">
        <v>1343</v>
      </c>
      <c r="D53" s="1123" t="str">
        <f>IF(SUM('Assets-Liab 5-6'!L13)&lt;&gt;('Assets-Liab 5-6'!L41),"ERROR!","OK")</f>
        <v>OK</v>
      </c>
    </row>
    <row r="54" spans="1:4" x14ac:dyDescent="0.2">
      <c r="A54" s="1119"/>
      <c r="B54" s="1121"/>
      <c r="C54" s="1122" t="s">
        <v>1344</v>
      </c>
      <c r="D54" s="1123" t="str">
        <f>IF(SUM('Assets-Liab 5-6'!M23)&lt;&gt;('Assets-Liab 5-6'!M41),"ERROR!","OK")</f>
        <v>OK</v>
      </c>
    </row>
    <row r="55" spans="1:4" x14ac:dyDescent="0.2">
      <c r="A55" s="1119"/>
      <c r="B55" s="1121"/>
      <c r="C55" s="1122" t="s">
        <v>1345</v>
      </c>
      <c r="D55" s="1123" t="str">
        <f>IF(SUM('Assets-Liab 5-6'!N23)&lt;&gt;('Assets-Liab 5-6'!N41),"ERROR!","OK")</f>
        <v>OK</v>
      </c>
    </row>
    <row r="56" spans="1:4" x14ac:dyDescent="0.2">
      <c r="A56" s="1100"/>
      <c r="B56" s="1120">
        <f>B43+1</f>
        <v>6</v>
      </c>
      <c r="C56" s="2427" t="s">
        <v>783</v>
      </c>
      <c r="D56" s="2428"/>
    </row>
    <row r="57" spans="1:4" s="1116" customFormat="1" x14ac:dyDescent="0.2">
      <c r="A57" s="1100"/>
      <c r="B57" s="1110"/>
      <c r="C57" s="1118" t="s">
        <v>1346</v>
      </c>
      <c r="D57" s="1124" t="str">
        <f>IF('Assets-Liab 5-6'!C38+'Assets-Liab 5-6'!C39='Acct Summary 7-8'!C81,"OK","ERROR!")</f>
        <v>OK</v>
      </c>
    </row>
    <row r="58" spans="1:4" x14ac:dyDescent="0.2">
      <c r="A58" s="1100"/>
      <c r="B58" s="1110"/>
      <c r="C58" s="1118" t="s">
        <v>1347</v>
      </c>
      <c r="D58" s="1124" t="str">
        <f>IF((('Assets-Liab 5-6'!D38+'Assets-Liab 5-6'!D39) ='Acct Summary 7-8'!D81), "OK", "ERROR!" )</f>
        <v>OK</v>
      </c>
    </row>
    <row r="59" spans="1:4" s="1116" customFormat="1" x14ac:dyDescent="0.2">
      <c r="A59" s="1100"/>
      <c r="B59" s="1110"/>
      <c r="C59" s="1118" t="s">
        <v>1348</v>
      </c>
      <c r="D59" s="1124" t="str">
        <f>IF((('Assets-Liab 5-6'!E38 + 'Assets-Liab 5-6'!E39) ='Acct Summary 7-8'!E81), "OK", "ERROR!" )</f>
        <v>OK</v>
      </c>
    </row>
    <row r="60" spans="1:4" x14ac:dyDescent="0.2">
      <c r="A60" s="1100"/>
      <c r="B60" s="1110"/>
      <c r="C60" s="1118" t="s">
        <v>1349</v>
      </c>
      <c r="D60" s="1124" t="str">
        <f>IF((('Assets-Liab 5-6'!F38 + 'Assets-Liab 5-6'!F39) ='Acct Summary 7-8'!F81), "OK", "ERROR!" )</f>
        <v>OK</v>
      </c>
    </row>
    <row r="61" spans="1:4" ht="12.75" customHeight="1" x14ac:dyDescent="0.2">
      <c r="A61" s="1100"/>
      <c r="B61" s="1110"/>
      <c r="C61" s="1118" t="s">
        <v>1362</v>
      </c>
      <c r="D61" s="1124" t="str">
        <f>IF((('Assets-Liab 5-6'!G38 + 'Assets-Liab 5-6'!G39) ='Acct Summary 7-8'!G81), "OK", "ERROR!" )</f>
        <v>OK</v>
      </c>
    </row>
    <row r="62" spans="1:4" x14ac:dyDescent="0.2">
      <c r="A62" s="1100"/>
      <c r="B62" s="1110"/>
      <c r="C62" s="1118" t="s">
        <v>1350</v>
      </c>
      <c r="D62" s="1124" t="str">
        <f>IF((('Assets-Liab 5-6'!H38 + 'Assets-Liab 5-6'!H39) ='Acct Summary 7-8'!H81), "OK", "ERROR!" )</f>
        <v>OK</v>
      </c>
    </row>
    <row r="63" spans="1:4" ht="12.75" customHeight="1" x14ac:dyDescent="0.2">
      <c r="A63" s="1100"/>
      <c r="B63" s="1110"/>
      <c r="C63" s="1118" t="s">
        <v>1351</v>
      </c>
      <c r="D63" s="1124" t="str">
        <f>IF((('Assets-Liab 5-6'!I38 + 'Assets-Liab 5-6'!I39) ='Acct Summary 7-8'!I81), "OK", "ERROR!" )</f>
        <v>OK</v>
      </c>
    </row>
    <row r="64" spans="1:4" x14ac:dyDescent="0.2">
      <c r="A64" s="1100"/>
      <c r="B64" s="1110"/>
      <c r="C64" s="1118" t="s">
        <v>1352</v>
      </c>
      <c r="D64" s="1124" t="str">
        <f>IF((('Assets-Liab 5-6'!J38 + 'Assets-Liab 5-6'!J39) ='Acct Summary 7-8'!J81), "OK", "ERROR!" )</f>
        <v>OK</v>
      </c>
    </row>
    <row r="65" spans="1:4" x14ac:dyDescent="0.2">
      <c r="A65" s="1117"/>
      <c r="B65" s="1110"/>
      <c r="C65" s="1118" t="s">
        <v>1363</v>
      </c>
      <c r="D65" s="1124" t="str">
        <f>IF((('Assets-Liab 5-6'!K38 + 'Assets-Liab 5-6'!K39) ='Acct Summary 7-8'!K81), "OK", "ERROR!" )</f>
        <v>OK</v>
      </c>
    </row>
    <row r="66" spans="1:4" x14ac:dyDescent="0.2">
      <c r="A66" s="1098"/>
      <c r="B66" s="1140">
        <f>B56+1+1</f>
        <v>8</v>
      </c>
      <c r="C66" s="1146" t="s">
        <v>1909</v>
      </c>
      <c r="D66" s="1125"/>
    </row>
    <row r="67" spans="1:4" x14ac:dyDescent="0.2">
      <c r="A67" s="1119"/>
      <c r="B67" s="1140"/>
      <c r="C67" s="1147" t="s">
        <v>1020</v>
      </c>
      <c r="D67" s="1125"/>
    </row>
    <row r="68" spans="1:4" x14ac:dyDescent="0.2">
      <c r="A68" s="1100"/>
      <c r="B68" s="1110"/>
      <c r="C68" s="1102" t="s">
        <v>1910</v>
      </c>
      <c r="D68" s="1124" t="str">
        <f>IF('Short-Term Long-Term Debt 24'!F49=SUM(,'Acct Summary 7-8'!C33:K33),"OK","ERROR!")</f>
        <v>OK</v>
      </c>
    </row>
    <row r="69" spans="1:4" x14ac:dyDescent="0.2">
      <c r="A69" s="1100"/>
      <c r="B69" s="1110"/>
      <c r="C69" s="1102" t="s">
        <v>1911</v>
      </c>
      <c r="D69" s="1124" t="str">
        <f>IF('Expenditures 15-22'!H170&lt;&gt;'Short-Term Long-Term Debt 24'!H49,"ERROR!","OK")</f>
        <v>OK</v>
      </c>
    </row>
    <row r="70" spans="1:4" x14ac:dyDescent="0.2">
      <c r="A70" s="1098"/>
      <c r="B70" s="1120">
        <f>B66+1</f>
        <v>9</v>
      </c>
      <c r="C70" s="2427" t="s">
        <v>1695</v>
      </c>
      <c r="D70" s="2428"/>
    </row>
    <row r="71" spans="1:4" x14ac:dyDescent="0.2">
      <c r="A71" s="1098"/>
      <c r="B71" s="1120"/>
      <c r="C71" s="1102" t="s">
        <v>1353</v>
      </c>
      <c r="D71" s="1126" t="str">
        <f>IF(SUM('Acct Summary 7-8'!C27:K27) =SUM( 'Acct Summary 7-8'!C49:K49),"OK", "ERROR")</f>
        <v>OK</v>
      </c>
    </row>
    <row r="72" spans="1:4" x14ac:dyDescent="0.2">
      <c r="A72" s="1100"/>
      <c r="B72" s="1110"/>
      <c r="C72" s="1118" t="s">
        <v>1354</v>
      </c>
      <c r="D72" s="1124" t="str">
        <f>IF(SUM('Acct Summary 7-8'!C28:K28)=SUM('Acct Summary 7-8'!C50:K50),"OK","ERROR!")</f>
        <v>OK</v>
      </c>
    </row>
    <row r="73" spans="1:4" ht="24" x14ac:dyDescent="0.2">
      <c r="A73" s="1127"/>
      <c r="B73" s="1110"/>
      <c r="C73" s="1118" t="s">
        <v>1696</v>
      </c>
      <c r="D73" s="1126" t="str">
        <f>IF(SUM('Acct Summary 7-8'!C42:K42)&gt;=SUM( 'Acct Summary 7-8'!C74:K74),"OK", "ERROR")</f>
        <v>OK</v>
      </c>
    </row>
    <row r="74" spans="1:4" x14ac:dyDescent="0.2">
      <c r="A74" s="1098"/>
      <c r="B74" s="1120">
        <f>B70+1</f>
        <v>10</v>
      </c>
      <c r="C74" s="1114" t="s">
        <v>1912</v>
      </c>
      <c r="D74" s="1128"/>
    </row>
    <row r="75" spans="1:4" x14ac:dyDescent="0.2">
      <c r="A75" s="1100"/>
      <c r="B75" s="1110"/>
      <c r="C75" s="1118" t="s">
        <v>1376</v>
      </c>
      <c r="D75" s="1124" t="str">
        <f>IF(SUM('Assets-Liab 5-6'!C38:H38)&gt;=SUM('Rest Tax Levies-Tort Im 25'!G25:K25),"OK","ERROR")</f>
        <v>OK</v>
      </c>
    </row>
    <row r="76" spans="1:4" x14ac:dyDescent="0.2">
      <c r="A76" s="1100"/>
      <c r="B76" s="1110"/>
      <c r="C76" s="1118" t="s">
        <v>1417</v>
      </c>
      <c r="D76" s="1124" t="str">
        <f>IF(SUM('Assets-Liab 5-6'!C39:K39)&gt;0,"OK","ENTRY IS REQUIRED!")</f>
        <v>OK</v>
      </c>
    </row>
    <row r="77" spans="1:4" x14ac:dyDescent="0.2">
      <c r="A77" s="1100"/>
      <c r="B77" s="1129">
        <f>B74+1</f>
        <v>11</v>
      </c>
      <c r="C77" s="1174" t="s">
        <v>1377</v>
      </c>
      <c r="D77" s="1124"/>
    </row>
    <row r="78" spans="1:4" x14ac:dyDescent="0.2">
      <c r="A78" s="1100"/>
      <c r="B78" s="1110"/>
      <c r="C78" s="1118" t="s">
        <v>1913</v>
      </c>
      <c r="D78" s="1124" t="str">
        <f>IF(ISNUMBER('Acct Summary 7-8'!C9),"OK","ENTRY IS REQUIRED!")</f>
        <v>OK</v>
      </c>
    </row>
    <row r="79" spans="1:4" x14ac:dyDescent="0.2">
      <c r="A79" s="1119"/>
      <c r="B79" s="1120">
        <f>B74+1+1</f>
        <v>12</v>
      </c>
      <c r="C79" s="1130" t="s">
        <v>1898</v>
      </c>
      <c r="D79" s="1131" t="str">
        <f>IF(OR(COVER!$B$6="X",'PCTC-OEPP 27-28'!F78&gt;0),"OK","PLEASE ENTER 9 MO ADA.")</f>
        <v>OK</v>
      </c>
    </row>
    <row r="80" spans="1:4" x14ac:dyDescent="0.2">
      <c r="A80" s="1098"/>
      <c r="B80" s="1120">
        <v>13</v>
      </c>
      <c r="C80" s="1130" t="s">
        <v>1914</v>
      </c>
      <c r="D80" s="1131" t="str">
        <f>IF('Contracts Paid in CY 29'!D142&gt;0,"OK","PLEASE ENTER CONTRACTS PAID IN CURRENT YEAR.")</f>
        <v>PLEASE ENTER CONTRACTS PAID IN CURRENT YEAR.</v>
      </c>
    </row>
    <row r="81" spans="1:4" x14ac:dyDescent="0.2">
      <c r="A81" s="1098"/>
      <c r="B81" s="1120">
        <v>14</v>
      </c>
      <c r="C81" s="1130" t="s">
        <v>1423</v>
      </c>
      <c r="D81" s="1123" t="str">
        <f>IF('Shared Outsourced Services 31'!B8="X","OK",IF('Shared Outsourced Services 31'!K34&gt;0,"OK","ENTRY REQUIRED!"))</f>
        <v>OK</v>
      </c>
    </row>
    <row r="82" spans="1:4" x14ac:dyDescent="0.2">
      <c r="A82" s="1119"/>
      <c r="B82" s="1120">
        <v>15</v>
      </c>
      <c r="C82" s="1130" t="s">
        <v>1422</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31045129022</v>
      </c>
    </row>
    <row r="3" spans="1:2" x14ac:dyDescent="0.2">
      <c r="A3" t="s">
        <v>955</v>
      </c>
      <c r="B3" s="138" t="str">
        <f>COVER!A15</f>
        <v>Kane</v>
      </c>
    </row>
    <row r="4" spans="1:2" x14ac:dyDescent="0.2">
      <c r="A4" t="s">
        <v>1006</v>
      </c>
      <c r="B4" s="138" t="str">
        <f>COVER!A17</f>
        <v>Aurora West USD 129</v>
      </c>
    </row>
    <row r="5" spans="1:2" x14ac:dyDescent="0.2">
      <c r="A5" t="s">
        <v>703</v>
      </c>
      <c r="B5" s="138" t="str">
        <f>COVER!A38</f>
        <v>Dr. Jeff Criag</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Yes</v>
      </c>
    </row>
    <row r="13" spans="1:2" x14ac:dyDescent="0.2">
      <c r="A13" s="1" t="s">
        <v>1543</v>
      </c>
      <c r="B13" s="138" t="str">
        <f>IF(COVER!J30="x","Yes",IF(COVER!L30="x","No",0))</f>
        <v>Yes</v>
      </c>
    </row>
    <row r="14" spans="1:2" x14ac:dyDescent="0.2">
      <c r="A14" t="s">
        <v>475</v>
      </c>
      <c r="B14" s="138" t="str">
        <f>IF(COVER!J31="x","Yes",IF(COVER!L31="x","No",0))</f>
        <v>Yes</v>
      </c>
    </row>
    <row r="15" spans="1:2" x14ac:dyDescent="0.2">
      <c r="A15" t="s">
        <v>576</v>
      </c>
      <c r="B15" s="138" t="str">
        <f>COVER!T23</f>
        <v>066-004207</v>
      </c>
    </row>
    <row r="16" spans="1:2" x14ac:dyDescent="0.2">
      <c r="A16" t="s">
        <v>421</v>
      </c>
      <c r="B16" s="138" t="str">
        <f>COVER!T13</f>
        <v>Crowe LLP</v>
      </c>
    </row>
    <row r="17" spans="1:2" x14ac:dyDescent="0.2">
      <c r="A17" t="s">
        <v>883</v>
      </c>
      <c r="B17" s="138" t="str">
        <f>COVER!T15</f>
        <v>Christine Torres</v>
      </c>
    </row>
    <row r="18" spans="1:2" x14ac:dyDescent="0.2">
      <c r="A18" t="s">
        <v>1149</v>
      </c>
      <c r="B18" s="138" t="str">
        <f>COVER!T17</f>
        <v>One Mid America Plaza</v>
      </c>
    </row>
    <row r="19" spans="1:2" x14ac:dyDescent="0.2">
      <c r="A19" t="s">
        <v>885</v>
      </c>
      <c r="B19" s="138" t="str">
        <f>COVER!T25</f>
        <v>christine.torres@crowe.com</v>
      </c>
    </row>
    <row r="20" spans="1:2" x14ac:dyDescent="0.2">
      <c r="A20" t="s">
        <v>886</v>
      </c>
      <c r="B20" s="138" t="str">
        <f>COVER!T19</f>
        <v>Oak Brook</v>
      </c>
    </row>
    <row r="21" spans="1:2" x14ac:dyDescent="0.2">
      <c r="A21" t="s">
        <v>478</v>
      </c>
      <c r="B21" s="138" t="str">
        <f>COVER!X19</f>
        <v>IL</v>
      </c>
    </row>
    <row r="22" spans="1:2" x14ac:dyDescent="0.2">
      <c r="A22" t="s">
        <v>887</v>
      </c>
      <c r="B22" s="138" t="str">
        <f>COVER!Z19</f>
        <v>60522-3697</v>
      </c>
    </row>
    <row r="23" spans="1:2" x14ac:dyDescent="0.2">
      <c r="A23" t="s">
        <v>1151</v>
      </c>
      <c r="B23" s="138" t="str">
        <f>COVER!T21</f>
        <v>630-574-7878</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Yes</v>
      </c>
    </row>
    <row r="48" spans="1:2" x14ac:dyDescent="0.2">
      <c r="A48" t="s">
        <v>482</v>
      </c>
      <c r="B48" s="138" t="str">
        <f>IF('Aud Quest 2'!B51="x","Yes",IF('Aud Quest 2'!B51&lt;&gt;"x","0"))</f>
        <v>0</v>
      </c>
    </row>
    <row r="49" spans="1:4" x14ac:dyDescent="0.2">
      <c r="A49" s="1" t="s">
        <v>1480</v>
      </c>
      <c r="B49" s="138" t="str">
        <f>IF('Aud Quest 2'!B53="x","Yes",IF('Aud Quest 2'!B53&lt;&gt;"x","0"))</f>
        <v>Yes</v>
      </c>
    </row>
    <row r="50" spans="1:4" x14ac:dyDescent="0.2">
      <c r="A50" s="1" t="s">
        <v>1479</v>
      </c>
      <c r="B50" s="150">
        <f>'Aud Quest 2'!H53</f>
        <v>33420</v>
      </c>
    </row>
    <row r="51" spans="1:4" x14ac:dyDescent="0.2">
      <c r="A51" s="1" t="s">
        <v>1481</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34861998</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30778123</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77591276</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32584816</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44685080</v>
      </c>
      <c r="C91" s="2" t="s">
        <v>572</v>
      </c>
      <c r="D91" s="2" t="str">
        <f t="shared" si="0"/>
        <v>Error?</v>
      </c>
    </row>
    <row r="92" spans="1:4" x14ac:dyDescent="0.2">
      <c r="A92" s="5">
        <v>31</v>
      </c>
      <c r="B92" s="138">
        <f>'Assets-Liab 5-6'!C39</f>
        <v>32906196</v>
      </c>
      <c r="D92" s="2" t="str">
        <f t="shared" si="0"/>
        <v>Error?</v>
      </c>
    </row>
    <row r="93" spans="1:4" x14ac:dyDescent="0.2">
      <c r="A93" s="5">
        <v>32</v>
      </c>
      <c r="B93" s="138">
        <f>'Assets-Liab 5-6'!C41</f>
        <v>77591276</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6836796</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1188547</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9461029</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6320824</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7230816</v>
      </c>
      <c r="C122" s="2" t="s">
        <v>572</v>
      </c>
      <c r="D122" s="2" t="str">
        <f t="shared" si="0"/>
        <v>Error?</v>
      </c>
    </row>
    <row r="123" spans="1:4" x14ac:dyDescent="0.2">
      <c r="A123" s="5">
        <v>62</v>
      </c>
      <c r="B123" s="138">
        <f>'Assets-Liab 5-6'!D39</f>
        <v>-465384</v>
      </c>
      <c r="D123" s="2" t="str">
        <f t="shared" si="0"/>
        <v>Error?</v>
      </c>
    </row>
    <row r="124" spans="1:4" x14ac:dyDescent="0.2">
      <c r="A124" s="5">
        <v>63</v>
      </c>
      <c r="B124" s="138">
        <f>'Assets-Liab 5-6'!D41</f>
        <v>9461029</v>
      </c>
      <c r="C124" s="2" t="s">
        <v>572</v>
      </c>
      <c r="D124" s="2" t="str">
        <f t="shared" si="0"/>
        <v>Error?</v>
      </c>
    </row>
    <row r="125" spans="1:4" x14ac:dyDescent="0.2">
      <c r="A125" s="10">
        <v>64</v>
      </c>
      <c r="D125" s="2" t="str">
        <f t="shared" si="0"/>
        <v>OK</v>
      </c>
    </row>
    <row r="126" spans="1:4" x14ac:dyDescent="0.2">
      <c r="A126" s="5">
        <v>65</v>
      </c>
      <c r="B126" s="138">
        <f>'Assets-Liab 5-6'!E6</f>
        <v>8039874</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6969861</v>
      </c>
      <c r="D129" s="2" t="str">
        <f t="shared" si="1"/>
        <v>Error?</v>
      </c>
    </row>
    <row r="130" spans="1:4" x14ac:dyDescent="0.2">
      <c r="A130" s="5">
        <v>69</v>
      </c>
      <c r="B130" s="138">
        <f>'Assets-Liab 5-6'!E12</f>
        <v>0</v>
      </c>
      <c r="D130" s="2" t="str">
        <f t="shared" si="1"/>
        <v>Error?</v>
      </c>
    </row>
    <row r="131" spans="1:4" x14ac:dyDescent="0.2">
      <c r="A131" s="5">
        <v>70</v>
      </c>
      <c r="B131" s="138">
        <f>'Assets-Liab 5-6'!E13</f>
        <v>16816523</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6974091</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6974091</v>
      </c>
      <c r="C139" s="2" t="s">
        <v>572</v>
      </c>
      <c r="D139" s="2" t="str">
        <f t="shared" si="1"/>
        <v>Error?</v>
      </c>
    </row>
    <row r="140" spans="1:4" x14ac:dyDescent="0.2">
      <c r="A140" s="5">
        <v>79</v>
      </c>
      <c r="B140" s="138">
        <f>'Assets-Liab 5-6'!E39</f>
        <v>0</v>
      </c>
      <c r="D140" s="2" t="str">
        <f t="shared" si="1"/>
        <v>Error?</v>
      </c>
    </row>
    <row r="141" spans="1:4" x14ac:dyDescent="0.2">
      <c r="A141" s="5">
        <v>80</v>
      </c>
      <c r="B141" s="138">
        <f>'Assets-Liab 5-6'!E41</f>
        <v>16816523</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2316597</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1403657</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9696601</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6543953</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7067860</v>
      </c>
      <c r="C169" s="2" t="s">
        <v>572</v>
      </c>
      <c r="D169" s="2" t="str">
        <f t="shared" si="1"/>
        <v>Error?</v>
      </c>
    </row>
    <row r="170" spans="1:4" x14ac:dyDescent="0.2">
      <c r="A170" s="5">
        <v>109</v>
      </c>
      <c r="B170" s="138">
        <f>'Assets-Liab 5-6'!F39</f>
        <v>2628741</v>
      </c>
      <c r="D170" s="2" t="str">
        <f t="shared" si="1"/>
        <v>Error?</v>
      </c>
    </row>
    <row r="171" spans="1:4" x14ac:dyDescent="0.2">
      <c r="A171" s="5">
        <v>110</v>
      </c>
      <c r="B171" s="138">
        <f>'Assets-Liab 5-6'!F41</f>
        <v>9696601</v>
      </c>
      <c r="C171" s="2" t="s">
        <v>572</v>
      </c>
      <c r="D171" s="2" t="str">
        <f t="shared" si="1"/>
        <v>Error?</v>
      </c>
    </row>
    <row r="172" spans="1:4" x14ac:dyDescent="0.2">
      <c r="A172" s="10">
        <v>111</v>
      </c>
      <c r="D172" s="2" t="str">
        <f t="shared" si="1"/>
        <v>OK</v>
      </c>
    </row>
    <row r="173" spans="1:4" x14ac:dyDescent="0.2">
      <c r="A173" s="5">
        <v>112</v>
      </c>
      <c r="B173" s="138">
        <f>'Assets-Liab 5-6'!G6</f>
        <v>2339204</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3175545</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2029114</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3151984</v>
      </c>
      <c r="C188" s="2" t="s">
        <v>572</v>
      </c>
      <c r="D188" s="2" t="str">
        <f t="shared" si="1"/>
        <v>Error?</v>
      </c>
    </row>
    <row r="189" spans="1:4" x14ac:dyDescent="0.2">
      <c r="A189" s="5">
        <v>128</v>
      </c>
      <c r="B189" s="138">
        <f>'Assets-Liab 5-6'!G39</f>
        <v>0</v>
      </c>
      <c r="D189" s="2" t="str">
        <f t="shared" si="1"/>
        <v>Error?</v>
      </c>
    </row>
    <row r="190" spans="1:4" x14ac:dyDescent="0.2">
      <c r="A190" s="5">
        <v>129</v>
      </c>
      <c r="B190" s="138">
        <f>'Assets-Liab 5-6'!G41</f>
        <v>3175545</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5118591</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2003729</v>
      </c>
      <c r="C211" s="2" t="s">
        <v>572</v>
      </c>
      <c r="D211" s="2" t="str">
        <f t="shared" si="2"/>
        <v>Error?</v>
      </c>
    </row>
    <row r="212" spans="1:4" x14ac:dyDescent="0.2">
      <c r="A212" s="5">
        <v>151</v>
      </c>
      <c r="B212" s="138">
        <f>'Assets-Liab 5-6'!H39</f>
        <v>3114862</v>
      </c>
      <c r="D212" s="2" t="str">
        <f t="shared" si="2"/>
        <v>Error?</v>
      </c>
    </row>
    <row r="213" spans="1:4" x14ac:dyDescent="0.2">
      <c r="A213" s="12">
        <v>152</v>
      </c>
      <c r="B213" s="138">
        <f>'Assets-Liab 5-6'!H41</f>
        <v>5118591</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11292685</v>
      </c>
      <c r="D273" s="2" t="str">
        <f t="shared" si="3"/>
        <v>Error?</v>
      </c>
    </row>
    <row r="274" spans="1:4" x14ac:dyDescent="0.2">
      <c r="A274" s="5">
        <v>213</v>
      </c>
      <c r="B274" s="138">
        <f>'Assets-Liab 5-6'!M17</f>
        <v>166747400</v>
      </c>
      <c r="D274" s="2" t="str">
        <f t="shared" si="3"/>
        <v>Error?</v>
      </c>
    </row>
    <row r="275" spans="1:4" x14ac:dyDescent="0.2">
      <c r="A275" s="5">
        <v>214</v>
      </c>
      <c r="B275" s="138">
        <f>'Assets-Liab 5-6'!M18</f>
        <v>23690970</v>
      </c>
      <c r="D275" s="2" t="str">
        <f t="shared" si="3"/>
        <v>Error?</v>
      </c>
    </row>
    <row r="276" spans="1:4" x14ac:dyDescent="0.2">
      <c r="A276" s="5">
        <v>215</v>
      </c>
      <c r="B276" s="138">
        <f>'Assets-Liab 5-6'!M19</f>
        <v>17534911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235691117</v>
      </c>
      <c r="C279" s="2" t="s">
        <v>572</v>
      </c>
      <c r="D279" s="2" t="str">
        <f t="shared" si="3"/>
        <v>Error?</v>
      </c>
    </row>
    <row r="280" spans="1:4" x14ac:dyDescent="0.2">
      <c r="A280" s="5">
        <v>219</v>
      </c>
      <c r="B280" s="138">
        <f>'Assets-Liab 5-6'!M40</f>
        <v>235691117</v>
      </c>
      <c r="D280" s="2" t="str">
        <f t="shared" si="3"/>
        <v>Error?</v>
      </c>
    </row>
    <row r="281" spans="1:4" x14ac:dyDescent="0.2">
      <c r="A281" s="5">
        <v>220</v>
      </c>
      <c r="B281" s="138">
        <f>'Assets-Liab 5-6'!M41</f>
        <v>235691117</v>
      </c>
      <c r="C281" s="2" t="s">
        <v>572</v>
      </c>
      <c r="D281" s="2" t="str">
        <f t="shared" si="3"/>
        <v>Error?</v>
      </c>
    </row>
    <row r="282" spans="1:4" x14ac:dyDescent="0.2">
      <c r="A282" s="5">
        <v>221</v>
      </c>
      <c r="B282" s="138">
        <f>'Assets-Liab 5-6'!N21</f>
        <v>9842432</v>
      </c>
      <c r="D282" s="2" t="str">
        <f t="shared" si="3"/>
        <v>Error?</v>
      </c>
    </row>
    <row r="283" spans="1:4" x14ac:dyDescent="0.2">
      <c r="A283" s="5">
        <v>222</v>
      </c>
      <c r="B283" s="138">
        <f>'Assets-Liab 5-6'!N22</f>
        <v>125615568</v>
      </c>
      <c r="D283" s="2" t="str">
        <f t="shared" si="3"/>
        <v>Error?</v>
      </c>
    </row>
    <row r="284" spans="1:4" x14ac:dyDescent="0.2">
      <c r="A284" s="5">
        <v>223</v>
      </c>
      <c r="B284" s="138">
        <f>'Assets-Liab 5-6'!N23</f>
        <v>135458000</v>
      </c>
      <c r="C284" s="2" t="s">
        <v>572</v>
      </c>
      <c r="D284" s="2" t="str">
        <f t="shared" si="3"/>
        <v>Error?</v>
      </c>
    </row>
    <row r="285" spans="1:4" x14ac:dyDescent="0.2">
      <c r="A285" s="5">
        <v>224</v>
      </c>
      <c r="B285" s="138">
        <f>'Assets-Liab 5-6'!N36</f>
        <v>135458000</v>
      </c>
      <c r="D285" s="2" t="str">
        <f t="shared" si="3"/>
        <v>Error?</v>
      </c>
    </row>
    <row r="286" spans="1:4" x14ac:dyDescent="0.2">
      <c r="A286" s="10">
        <v>225</v>
      </c>
      <c r="D286" s="2" t="str">
        <f t="shared" si="3"/>
        <v>OK</v>
      </c>
    </row>
    <row r="287" spans="1:4" x14ac:dyDescent="0.2">
      <c r="A287" s="5">
        <v>226</v>
      </c>
      <c r="B287" s="138">
        <f>'Assets-Liab 5-6'!N37</f>
        <v>135458000</v>
      </c>
      <c r="C287" s="2" t="s">
        <v>572</v>
      </c>
      <c r="D287" s="2" t="str">
        <f t="shared" si="3"/>
        <v>Error?</v>
      </c>
    </row>
    <row r="288" spans="1:4" x14ac:dyDescent="0.2">
      <c r="A288" s="5">
        <v>227</v>
      </c>
      <c r="B288" s="138">
        <f>'Assets-Liab 5-6'!N41</f>
        <v>135458000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388591</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38122015</v>
      </c>
      <c r="D705" s="2" t="str">
        <f t="shared" si="10"/>
        <v>Error?</v>
      </c>
    </row>
    <row r="706" spans="1:4" x14ac:dyDescent="0.2">
      <c r="A706" s="5">
        <v>645</v>
      </c>
      <c r="B706" s="138">
        <f>'Expenditures 15-22'!C16</f>
        <v>289412</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6038730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33987</v>
      </c>
      <c r="D717" s="2" t="str">
        <f t="shared" si="10"/>
        <v>Error?</v>
      </c>
    </row>
    <row r="718" spans="1:4" x14ac:dyDescent="0.2">
      <c r="A718" s="5">
        <v>657</v>
      </c>
      <c r="B718" s="138">
        <f>'Expenditures 15-22'!C14</f>
        <v>2267116</v>
      </c>
      <c r="D718" s="2" t="str">
        <f t="shared" si="10"/>
        <v>Error?</v>
      </c>
    </row>
    <row r="719" spans="1:4" x14ac:dyDescent="0.2">
      <c r="A719" s="5">
        <v>658</v>
      </c>
      <c r="B719" s="138">
        <f>'Expenditures 15-22'!C15</f>
        <v>228538</v>
      </c>
      <c r="D719" s="2" t="str">
        <f t="shared" si="10"/>
        <v>Error?</v>
      </c>
    </row>
    <row r="720" spans="1:4" x14ac:dyDescent="0.2">
      <c r="A720" s="5">
        <v>659</v>
      </c>
      <c r="B720" s="138">
        <f>'Expenditures 15-22'!C33</f>
        <v>60899607</v>
      </c>
      <c r="C720" s="2" t="s">
        <v>572</v>
      </c>
      <c r="D720" s="2" t="str">
        <f t="shared" si="10"/>
        <v>Error?</v>
      </c>
    </row>
    <row r="721" spans="1:4" x14ac:dyDescent="0.2">
      <c r="A721" s="5">
        <v>660</v>
      </c>
      <c r="B721" s="138">
        <f>'Expenditures 15-22'!C36</f>
        <v>2688437</v>
      </c>
      <c r="D721" s="2" t="str">
        <f t="shared" si="10"/>
        <v>Error?</v>
      </c>
    </row>
    <row r="722" spans="1:4" x14ac:dyDescent="0.2">
      <c r="A722" s="5">
        <v>661</v>
      </c>
      <c r="B722" s="138">
        <f>'Expenditures 15-22'!C37</f>
        <v>1137076</v>
      </c>
      <c r="D722" s="2" t="str">
        <f t="shared" si="10"/>
        <v>Error?</v>
      </c>
    </row>
    <row r="723" spans="1:4" x14ac:dyDescent="0.2">
      <c r="A723" s="5">
        <v>662</v>
      </c>
      <c r="B723" s="138">
        <f>'Expenditures 15-22'!C38</f>
        <v>970208</v>
      </c>
      <c r="D723" s="2" t="str">
        <f t="shared" si="10"/>
        <v>Error?</v>
      </c>
    </row>
    <row r="724" spans="1:4" x14ac:dyDescent="0.2">
      <c r="A724" s="5">
        <v>663</v>
      </c>
      <c r="B724" s="138">
        <f>'Expenditures 15-22'!C39</f>
        <v>999882</v>
      </c>
      <c r="D724" s="2" t="str">
        <f t="shared" si="10"/>
        <v>Error?</v>
      </c>
    </row>
    <row r="725" spans="1:4" x14ac:dyDescent="0.2">
      <c r="A725" s="5">
        <v>664</v>
      </c>
      <c r="B725" s="138">
        <f>'Expenditures 15-22'!C40</f>
        <v>1422582</v>
      </c>
      <c r="D725" s="2" t="str">
        <f t="shared" si="10"/>
        <v>Error?</v>
      </c>
    </row>
    <row r="726" spans="1:4" x14ac:dyDescent="0.2">
      <c r="A726" s="5">
        <v>665</v>
      </c>
      <c r="B726" s="138">
        <f>'Expenditures 15-22'!C41</f>
        <v>182366</v>
      </c>
      <c r="D726" s="2" t="str">
        <f t="shared" si="10"/>
        <v>Error?</v>
      </c>
    </row>
    <row r="727" spans="1:4" x14ac:dyDescent="0.2">
      <c r="A727" s="5">
        <v>666</v>
      </c>
      <c r="B727" s="138">
        <f>'Expenditures 15-22'!C42</f>
        <v>7400551</v>
      </c>
      <c r="C727" s="2" t="s">
        <v>572</v>
      </c>
      <c r="D727" s="2" t="str">
        <f t="shared" si="10"/>
        <v>Error?</v>
      </c>
    </row>
    <row r="728" spans="1:4" x14ac:dyDescent="0.2">
      <c r="A728" s="5">
        <v>667</v>
      </c>
      <c r="B728" s="138">
        <f>'Expenditures 15-22'!C44</f>
        <v>3383751</v>
      </c>
      <c r="D728" s="2" t="str">
        <f t="shared" si="10"/>
        <v>Error?</v>
      </c>
    </row>
    <row r="729" spans="1:4" x14ac:dyDescent="0.2">
      <c r="A729" s="5">
        <v>668</v>
      </c>
      <c r="B729" s="138">
        <f>'Expenditures 15-22'!C45</f>
        <v>0</v>
      </c>
      <c r="D729" s="2" t="str">
        <f t="shared" si="10"/>
        <v>Error?</v>
      </c>
    </row>
    <row r="730" spans="1:4" x14ac:dyDescent="0.2">
      <c r="A730" s="5">
        <v>669</v>
      </c>
      <c r="B730" s="138">
        <f>'Expenditures 15-22'!C46</f>
        <v>204397</v>
      </c>
      <c r="D730" s="2" t="str">
        <f t="shared" si="10"/>
        <v>Error?</v>
      </c>
    </row>
    <row r="731" spans="1:4" x14ac:dyDescent="0.2">
      <c r="A731" s="5">
        <v>670</v>
      </c>
      <c r="B731" s="138">
        <f>'Expenditures 15-22'!C47</f>
        <v>3588148</v>
      </c>
      <c r="C731" s="2" t="s">
        <v>572</v>
      </c>
      <c r="D731" s="2" t="str">
        <f t="shared" si="10"/>
        <v>Error?</v>
      </c>
    </row>
    <row r="732" spans="1:4" x14ac:dyDescent="0.2">
      <c r="A732" s="5">
        <v>671</v>
      </c>
      <c r="B732" s="138">
        <f>'Expenditures 15-22'!C49</f>
        <v>62733</v>
      </c>
      <c r="D732" s="2" t="str">
        <f t="shared" si="10"/>
        <v>Error?</v>
      </c>
    </row>
    <row r="733" spans="1:4" x14ac:dyDescent="0.2">
      <c r="A733" s="5">
        <v>672</v>
      </c>
      <c r="B733" s="138">
        <f>'Expenditures 15-22'!C50</f>
        <v>219536</v>
      </c>
      <c r="D733" s="2" t="str">
        <f t="shared" si="10"/>
        <v>Error?</v>
      </c>
    </row>
    <row r="734" spans="1:4" x14ac:dyDescent="0.2">
      <c r="A734" s="5">
        <v>673</v>
      </c>
      <c r="B734" s="138">
        <f>'Expenditures 15-22'!C53</f>
        <v>422071</v>
      </c>
      <c r="C734" s="2" t="s">
        <v>572</v>
      </c>
      <c r="D734" s="2" t="str">
        <f t="shared" si="10"/>
        <v>Error?</v>
      </c>
    </row>
    <row r="735" spans="1:4" x14ac:dyDescent="0.2">
      <c r="A735" s="5">
        <v>674</v>
      </c>
      <c r="B735" s="138">
        <f>'Expenditures 15-22'!C55</f>
        <v>4628392</v>
      </c>
      <c r="D735" s="2" t="str">
        <f t="shared" si="10"/>
        <v>Error?</v>
      </c>
    </row>
    <row r="736" spans="1:4" x14ac:dyDescent="0.2">
      <c r="A736" s="5">
        <v>675</v>
      </c>
      <c r="B736" s="138">
        <f>'Expenditures 15-22'!C56</f>
        <v>0</v>
      </c>
      <c r="D736" s="2" t="str">
        <f t="shared" si="10"/>
        <v>Error?</v>
      </c>
    </row>
    <row r="737" spans="1:4" x14ac:dyDescent="0.2">
      <c r="A737" s="5">
        <v>676</v>
      </c>
      <c r="B737" s="138">
        <f>'Expenditures 15-22'!C57</f>
        <v>4628392</v>
      </c>
      <c r="C737" s="2" t="s">
        <v>572</v>
      </c>
      <c r="D737" s="2" t="str">
        <f t="shared" si="10"/>
        <v>Error?</v>
      </c>
    </row>
    <row r="738" spans="1:4" x14ac:dyDescent="0.2">
      <c r="A738" s="5">
        <v>677</v>
      </c>
      <c r="B738" s="138">
        <f>'Expenditures 15-22'!C59</f>
        <v>119432</v>
      </c>
      <c r="D738" s="2" t="str">
        <f t="shared" si="10"/>
        <v>Error?</v>
      </c>
    </row>
    <row r="739" spans="1:4" x14ac:dyDescent="0.2">
      <c r="A739" s="5">
        <v>678</v>
      </c>
      <c r="B739" s="138">
        <f>'Expenditures 15-22'!C60</f>
        <v>382655</v>
      </c>
      <c r="D739" s="2" t="str">
        <f t="shared" si="10"/>
        <v>Error?</v>
      </c>
    </row>
    <row r="740" spans="1:4" x14ac:dyDescent="0.2">
      <c r="A740" s="5">
        <v>679</v>
      </c>
      <c r="B740" s="138">
        <f>'Expenditures 15-22'!C61</f>
        <v>624435</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262597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1389119</v>
      </c>
      <c r="C745" s="2" t="s">
        <v>572</v>
      </c>
      <c r="D745" s="2" t="str">
        <f t="shared" si="10"/>
        <v>Error?</v>
      </c>
    </row>
    <row r="746" spans="1:4" x14ac:dyDescent="0.2">
      <c r="A746" s="5">
        <v>685</v>
      </c>
      <c r="B746" s="138">
        <f>'Expenditures 15-22'!C67</f>
        <v>51263</v>
      </c>
      <c r="D746" s="2" t="str">
        <f t="shared" si="10"/>
        <v>Error?</v>
      </c>
    </row>
    <row r="747" spans="1:4" x14ac:dyDescent="0.2">
      <c r="A747" s="5">
        <v>686</v>
      </c>
      <c r="B747" s="138">
        <f>'Expenditures 15-22'!C68</f>
        <v>70961</v>
      </c>
      <c r="D747" s="2" t="str">
        <f t="shared" si="10"/>
        <v>Error?</v>
      </c>
    </row>
    <row r="748" spans="1:4" x14ac:dyDescent="0.2">
      <c r="A748" s="5">
        <v>687</v>
      </c>
      <c r="B748" s="138">
        <f>'Expenditures 15-22'!C69</f>
        <v>205994</v>
      </c>
      <c r="D748" s="2" t="str">
        <f t="shared" si="10"/>
        <v>Error?</v>
      </c>
    </row>
    <row r="749" spans="1:4" x14ac:dyDescent="0.2">
      <c r="A749" s="5">
        <v>688</v>
      </c>
      <c r="B749" s="138">
        <f>'Expenditures 15-22'!C70</f>
        <v>420836</v>
      </c>
      <c r="D749" s="2" t="str">
        <f t="shared" si="10"/>
        <v>Error?</v>
      </c>
    </row>
    <row r="750" spans="1:4" x14ac:dyDescent="0.2">
      <c r="A750" s="10">
        <v>689</v>
      </c>
      <c r="D750" s="2" t="str">
        <f t="shared" si="10"/>
        <v>OK</v>
      </c>
    </row>
    <row r="751" spans="1:4" x14ac:dyDescent="0.2">
      <c r="A751" s="5">
        <v>690</v>
      </c>
      <c r="B751" s="138">
        <f>'Expenditures 15-22'!C71</f>
        <v>1051018</v>
      </c>
      <c r="D751" s="2" t="str">
        <f t="shared" si="10"/>
        <v>Error?</v>
      </c>
    </row>
    <row r="752" spans="1:4" x14ac:dyDescent="0.2">
      <c r="A752" s="10">
        <v>691</v>
      </c>
      <c r="D752" s="2" t="str">
        <f t="shared" si="10"/>
        <v>OK</v>
      </c>
    </row>
    <row r="753" spans="1:4" x14ac:dyDescent="0.2">
      <c r="A753" s="5">
        <v>692</v>
      </c>
      <c r="B753" s="138">
        <f>'Expenditures 15-22'!C72</f>
        <v>1800072</v>
      </c>
      <c r="C753" s="2" t="s">
        <v>572</v>
      </c>
      <c r="D753" s="2" t="str">
        <f t="shared" si="10"/>
        <v>Error?</v>
      </c>
    </row>
    <row r="754" spans="1:4" x14ac:dyDescent="0.2">
      <c r="A754" s="5">
        <v>693</v>
      </c>
      <c r="B754" s="138">
        <f>'Expenditures 15-22'!C73</f>
        <v>39967</v>
      </c>
      <c r="D754" s="2" t="str">
        <f t="shared" si="10"/>
        <v>Error?</v>
      </c>
    </row>
    <row r="755" spans="1:4" x14ac:dyDescent="0.2">
      <c r="A755" s="5">
        <v>694</v>
      </c>
      <c r="B755" s="138">
        <f>'Expenditures 15-22'!C74</f>
        <v>19268320</v>
      </c>
      <c r="C755" s="2" t="s">
        <v>572</v>
      </c>
      <c r="D755" s="2" t="str">
        <f t="shared" si="10"/>
        <v>Error?</v>
      </c>
    </row>
    <row r="756" spans="1:4" x14ac:dyDescent="0.2">
      <c r="A756" s="5">
        <v>695</v>
      </c>
      <c r="B756" s="138">
        <f>'Expenditures 15-22'!C75</f>
        <v>650891</v>
      </c>
      <c r="D756" s="2" t="str">
        <f t="shared" si="10"/>
        <v>Error?</v>
      </c>
    </row>
    <row r="757" spans="1:4" x14ac:dyDescent="0.2">
      <c r="A757" s="5">
        <v>696</v>
      </c>
      <c r="B757" s="138">
        <f>'Expenditures 15-22'!C114</f>
        <v>80818818</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9662799</v>
      </c>
      <c r="D763" s="2" t="str">
        <f t="shared" si="10"/>
        <v>Error?</v>
      </c>
    </row>
    <row r="764" spans="1:4" x14ac:dyDescent="0.2">
      <c r="A764" s="5">
        <v>703</v>
      </c>
      <c r="B764" s="138">
        <f>'Expenditures 15-22'!D16</f>
        <v>67246</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1495534</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841</v>
      </c>
      <c r="D775" s="2" t="str">
        <f t="shared" si="11"/>
        <v>Error?</v>
      </c>
    </row>
    <row r="776" spans="1:4" x14ac:dyDescent="0.2">
      <c r="A776" s="5">
        <v>715</v>
      </c>
      <c r="B776" s="138">
        <f>'Expenditures 15-22'!D14</f>
        <v>329645</v>
      </c>
      <c r="D776" s="2" t="str">
        <f t="shared" si="11"/>
        <v>Error?</v>
      </c>
    </row>
    <row r="777" spans="1:4" x14ac:dyDescent="0.2">
      <c r="A777" s="5">
        <v>716</v>
      </c>
      <c r="B777" s="138">
        <f>'Expenditures 15-22'!D15</f>
        <v>21956</v>
      </c>
      <c r="D777" s="2" t="str">
        <f t="shared" si="11"/>
        <v>Error?</v>
      </c>
    </row>
    <row r="778" spans="1:4" x14ac:dyDescent="0.2">
      <c r="A778" s="5">
        <v>717</v>
      </c>
      <c r="B778" s="138">
        <f>'Expenditures 15-22'!D33</f>
        <v>15509183</v>
      </c>
      <c r="C778" s="2" t="s">
        <v>572</v>
      </c>
      <c r="D778" s="2" t="str">
        <f t="shared" si="11"/>
        <v>Error?</v>
      </c>
    </row>
    <row r="779" spans="1:4" x14ac:dyDescent="0.2">
      <c r="A779" s="5">
        <v>718</v>
      </c>
      <c r="B779" s="138">
        <f>'Expenditures 15-22'!D36</f>
        <v>692600</v>
      </c>
      <c r="D779" s="2" t="str">
        <f t="shared" si="11"/>
        <v>Error?</v>
      </c>
    </row>
    <row r="780" spans="1:4" x14ac:dyDescent="0.2">
      <c r="A780" s="5">
        <v>719</v>
      </c>
      <c r="B780" s="138">
        <f>'Expenditures 15-22'!D37</f>
        <v>253950</v>
      </c>
      <c r="D780" s="2" t="str">
        <f t="shared" si="11"/>
        <v>Error?</v>
      </c>
    </row>
    <row r="781" spans="1:4" x14ac:dyDescent="0.2">
      <c r="A781" s="5">
        <v>720</v>
      </c>
      <c r="B781" s="138">
        <f>'Expenditures 15-22'!D38</f>
        <v>278875</v>
      </c>
      <c r="D781" s="2" t="str">
        <f t="shared" si="11"/>
        <v>Error?</v>
      </c>
    </row>
    <row r="782" spans="1:4" x14ac:dyDescent="0.2">
      <c r="A782" s="5">
        <v>721</v>
      </c>
      <c r="B782" s="138">
        <f>'Expenditures 15-22'!D39</f>
        <v>244769</v>
      </c>
      <c r="D782" s="2" t="str">
        <f t="shared" si="11"/>
        <v>Error?</v>
      </c>
    </row>
    <row r="783" spans="1:4" x14ac:dyDescent="0.2">
      <c r="A783" s="5">
        <v>722</v>
      </c>
      <c r="B783" s="138">
        <f>'Expenditures 15-22'!D40</f>
        <v>428887</v>
      </c>
      <c r="D783" s="2" t="str">
        <f t="shared" si="11"/>
        <v>Error?</v>
      </c>
    </row>
    <row r="784" spans="1:4" x14ac:dyDescent="0.2">
      <c r="A784" s="5">
        <v>723</v>
      </c>
      <c r="B784" s="138">
        <f>'Expenditures 15-22'!D41</f>
        <v>257</v>
      </c>
      <c r="D784" s="2" t="str">
        <f t="shared" si="11"/>
        <v>Error?</v>
      </c>
    </row>
    <row r="785" spans="1:4" x14ac:dyDescent="0.2">
      <c r="A785" s="5">
        <v>724</v>
      </c>
      <c r="B785" s="138">
        <f>'Expenditures 15-22'!D42</f>
        <v>1899338</v>
      </c>
      <c r="C785" s="2" t="s">
        <v>572</v>
      </c>
      <c r="D785" s="2" t="str">
        <f t="shared" si="11"/>
        <v>Error?</v>
      </c>
    </row>
    <row r="786" spans="1:4" x14ac:dyDescent="0.2">
      <c r="A786" s="5">
        <v>725</v>
      </c>
      <c r="B786" s="138">
        <f>'Expenditures 15-22'!D44</f>
        <v>833603</v>
      </c>
      <c r="D786" s="2" t="str">
        <f t="shared" si="11"/>
        <v>Error?</v>
      </c>
    </row>
    <row r="787" spans="1:4" x14ac:dyDescent="0.2">
      <c r="A787" s="5">
        <v>726</v>
      </c>
      <c r="B787" s="138">
        <f>'Expenditures 15-22'!D45</f>
        <v>0</v>
      </c>
      <c r="D787" s="2" t="str">
        <f t="shared" si="11"/>
        <v>Error?</v>
      </c>
    </row>
    <row r="788" spans="1:4" x14ac:dyDescent="0.2">
      <c r="A788" s="5">
        <v>727</v>
      </c>
      <c r="B788" s="138">
        <f>'Expenditures 15-22'!D46</f>
        <v>55109</v>
      </c>
      <c r="D788" s="2" t="str">
        <f t="shared" si="11"/>
        <v>Error?</v>
      </c>
    </row>
    <row r="789" spans="1:4" x14ac:dyDescent="0.2">
      <c r="A789" s="5">
        <v>728</v>
      </c>
      <c r="B789" s="138">
        <f>'Expenditures 15-22'!D47</f>
        <v>888712</v>
      </c>
      <c r="C789" s="2" t="s">
        <v>572</v>
      </c>
      <c r="D789" s="2" t="str">
        <f t="shared" si="11"/>
        <v>Error?</v>
      </c>
    </row>
    <row r="790" spans="1:4" x14ac:dyDescent="0.2">
      <c r="A790" s="5">
        <v>729</v>
      </c>
      <c r="B790" s="138">
        <f>'Expenditures 15-22'!D49</f>
        <v>19455</v>
      </c>
      <c r="D790" s="2" t="str">
        <f t="shared" si="11"/>
        <v>Error?</v>
      </c>
    </row>
    <row r="791" spans="1:4" x14ac:dyDescent="0.2">
      <c r="A791" s="5">
        <v>730</v>
      </c>
      <c r="B791" s="138">
        <f>'Expenditures 15-22'!D50</f>
        <v>52128</v>
      </c>
      <c r="D791" s="2" t="str">
        <f t="shared" si="11"/>
        <v>Error?</v>
      </c>
    </row>
    <row r="792" spans="1:4" x14ac:dyDescent="0.2">
      <c r="A792" s="5">
        <v>731</v>
      </c>
      <c r="B792" s="138">
        <f>'Expenditures 15-22'!D53</f>
        <v>93153</v>
      </c>
      <c r="C792" s="2" t="s">
        <v>572</v>
      </c>
      <c r="D792" s="2" t="str">
        <f t="shared" si="11"/>
        <v>Error?</v>
      </c>
    </row>
    <row r="793" spans="1:4" x14ac:dyDescent="0.2">
      <c r="A793" s="5">
        <v>732</v>
      </c>
      <c r="B793" s="138">
        <f>'Expenditures 15-22'!D55</f>
        <v>1110036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1110036</v>
      </c>
      <c r="C795" s="2" t="s">
        <v>572</v>
      </c>
      <c r="D795" s="2" t="str">
        <f t="shared" si="11"/>
        <v>Error?</v>
      </c>
    </row>
    <row r="796" spans="1:4" x14ac:dyDescent="0.2">
      <c r="A796" s="5">
        <v>735</v>
      </c>
      <c r="B796" s="138">
        <f>'Expenditures 15-22'!D59</f>
        <v>17317</v>
      </c>
      <c r="D796" s="2" t="str">
        <f t="shared" si="11"/>
        <v>Error?</v>
      </c>
    </row>
    <row r="797" spans="1:4" x14ac:dyDescent="0.2">
      <c r="A797" s="5">
        <v>736</v>
      </c>
      <c r="B797" s="138">
        <f>'Expenditures 15-22'!D60</f>
        <v>103095</v>
      </c>
      <c r="D797" s="2" t="str">
        <f t="shared" si="11"/>
        <v>Error?</v>
      </c>
    </row>
    <row r="798" spans="1:4" x14ac:dyDescent="0.2">
      <c r="A798" s="5">
        <v>737</v>
      </c>
      <c r="B798" s="138">
        <f>'Expenditures 15-22'!D61</f>
        <v>145113</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13253</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278778</v>
      </c>
      <c r="C803" s="2" t="s">
        <v>572</v>
      </c>
      <c r="D803" s="2" t="str">
        <f t="shared" si="11"/>
        <v>Error?</v>
      </c>
    </row>
    <row r="804" spans="1:4" x14ac:dyDescent="0.2">
      <c r="A804" s="5">
        <v>743</v>
      </c>
      <c r="B804" s="138">
        <f>'Expenditures 15-22'!D67</f>
        <v>9952</v>
      </c>
      <c r="D804" s="2" t="str">
        <f t="shared" si="11"/>
        <v>Error?</v>
      </c>
    </row>
    <row r="805" spans="1:4" x14ac:dyDescent="0.2">
      <c r="A805" s="5">
        <v>744</v>
      </c>
      <c r="B805" s="138">
        <f>'Expenditures 15-22'!D68</f>
        <v>12935</v>
      </c>
      <c r="D805" s="2" t="str">
        <f t="shared" si="11"/>
        <v>Error?</v>
      </c>
    </row>
    <row r="806" spans="1:4" x14ac:dyDescent="0.2">
      <c r="A806" s="5">
        <v>745</v>
      </c>
      <c r="B806" s="138">
        <f>'Expenditures 15-22'!D69</f>
        <v>22929</v>
      </c>
      <c r="D806" s="2" t="str">
        <f t="shared" si="11"/>
        <v>Error?</v>
      </c>
    </row>
    <row r="807" spans="1:4" x14ac:dyDescent="0.2">
      <c r="A807" s="5">
        <v>746</v>
      </c>
      <c r="B807" s="138">
        <f>'Expenditures 15-22'!D70</f>
        <v>148377</v>
      </c>
      <c r="D807" s="2" t="str">
        <f t="shared" si="11"/>
        <v>Error?</v>
      </c>
    </row>
    <row r="808" spans="1:4" x14ac:dyDescent="0.2">
      <c r="A808" s="10">
        <v>747</v>
      </c>
      <c r="D808" s="2" t="str">
        <f t="shared" si="11"/>
        <v>OK</v>
      </c>
    </row>
    <row r="809" spans="1:4" x14ac:dyDescent="0.2">
      <c r="A809" s="5">
        <v>748</v>
      </c>
      <c r="B809" s="138">
        <f>'Expenditures 15-22'!D71</f>
        <v>196229</v>
      </c>
      <c r="D809" s="2" t="str">
        <f t="shared" si="11"/>
        <v>Error?</v>
      </c>
    </row>
    <row r="810" spans="1:4" x14ac:dyDescent="0.2">
      <c r="A810" s="10">
        <v>749</v>
      </c>
      <c r="D810" s="2" t="str">
        <f t="shared" si="11"/>
        <v>OK</v>
      </c>
    </row>
    <row r="811" spans="1:4" x14ac:dyDescent="0.2">
      <c r="A811" s="5">
        <v>750</v>
      </c>
      <c r="B811" s="138">
        <f>'Expenditures 15-22'!D72</f>
        <v>390422</v>
      </c>
      <c r="C811" s="2" t="s">
        <v>572</v>
      </c>
      <c r="D811" s="2" t="str">
        <f t="shared" si="11"/>
        <v>Error?</v>
      </c>
    </row>
    <row r="812" spans="1:4" x14ac:dyDescent="0.2">
      <c r="A812" s="5">
        <v>751</v>
      </c>
      <c r="B812" s="138">
        <f>'Expenditures 15-22'!D73</f>
        <v>7159</v>
      </c>
      <c r="D812" s="2" t="str">
        <f t="shared" si="11"/>
        <v>Error?</v>
      </c>
    </row>
    <row r="813" spans="1:4" x14ac:dyDescent="0.2">
      <c r="A813" s="5">
        <v>752</v>
      </c>
      <c r="B813" s="138">
        <f>'Expenditures 15-22'!D74</f>
        <v>4667598</v>
      </c>
      <c r="C813" s="2" t="s">
        <v>572</v>
      </c>
      <c r="D813" s="2" t="str">
        <f t="shared" si="11"/>
        <v>Error?</v>
      </c>
    </row>
    <row r="814" spans="1:4" x14ac:dyDescent="0.2">
      <c r="A814" s="5">
        <v>753</v>
      </c>
      <c r="B814" s="138">
        <f>'Expenditures 15-22'!D75</f>
        <v>178644</v>
      </c>
      <c r="D814" s="2" t="str">
        <f t="shared" si="11"/>
        <v>Error?</v>
      </c>
    </row>
    <row r="815" spans="1:4" x14ac:dyDescent="0.2">
      <c r="A815" s="5">
        <v>754</v>
      </c>
      <c r="B815" s="138">
        <f>'Expenditures 15-22'!D114</f>
        <v>20355425</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574692</v>
      </c>
      <c r="D821" s="2" t="str">
        <f t="shared" si="11"/>
        <v>Error?</v>
      </c>
    </row>
    <row r="822" spans="1:4" x14ac:dyDescent="0.2">
      <c r="A822" s="5">
        <v>761</v>
      </c>
      <c r="B822" s="138">
        <f>'Expenditures 15-22'!E16</f>
        <v>19879</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38206</v>
      </c>
      <c r="D833" s="2" t="str">
        <f t="shared" si="12"/>
        <v>Error?</v>
      </c>
    </row>
    <row r="834" spans="1:4" x14ac:dyDescent="0.2">
      <c r="A834" s="5">
        <v>773</v>
      </c>
      <c r="B834" s="138">
        <f>'Expenditures 15-22'!E14</f>
        <v>413934</v>
      </c>
      <c r="D834" s="2" t="str">
        <f t="shared" si="12"/>
        <v>Error?</v>
      </c>
    </row>
    <row r="835" spans="1:4" x14ac:dyDescent="0.2">
      <c r="A835" s="5">
        <v>774</v>
      </c>
      <c r="B835" s="138">
        <f>'Expenditures 15-22'!E15</f>
        <v>940</v>
      </c>
      <c r="D835" s="2" t="str">
        <f t="shared" si="12"/>
        <v>Error?</v>
      </c>
    </row>
    <row r="836" spans="1:4" x14ac:dyDescent="0.2">
      <c r="A836" s="5">
        <v>775</v>
      </c>
      <c r="B836" s="138">
        <f>'Expenditures 15-22'!E33</f>
        <v>1372923</v>
      </c>
      <c r="C836" s="2" t="s">
        <v>572</v>
      </c>
      <c r="D836" s="2" t="str">
        <f t="shared" si="12"/>
        <v>Error?</v>
      </c>
    </row>
    <row r="837" spans="1:4" x14ac:dyDescent="0.2">
      <c r="A837" s="5">
        <v>776</v>
      </c>
      <c r="B837" s="138">
        <f>'Expenditures 15-22'!E36</f>
        <v>161784</v>
      </c>
      <c r="D837" s="2" t="str">
        <f t="shared" si="12"/>
        <v>Error?</v>
      </c>
    </row>
    <row r="838" spans="1:4" x14ac:dyDescent="0.2">
      <c r="A838" s="5">
        <v>777</v>
      </c>
      <c r="B838" s="138">
        <f>'Expenditures 15-22'!E37</f>
        <v>6180</v>
      </c>
      <c r="D838" s="2" t="str">
        <f t="shared" si="12"/>
        <v>Error?</v>
      </c>
    </row>
    <row r="839" spans="1:4" x14ac:dyDescent="0.2">
      <c r="A839" s="5">
        <v>778</v>
      </c>
      <c r="B839" s="138">
        <f>'Expenditures 15-22'!E38</f>
        <v>2350</v>
      </c>
      <c r="D839" s="2" t="str">
        <f t="shared" si="12"/>
        <v>Error?</v>
      </c>
    </row>
    <row r="840" spans="1:4" x14ac:dyDescent="0.2">
      <c r="A840" s="5">
        <v>779</v>
      </c>
      <c r="B840" s="138">
        <f>'Expenditures 15-22'!E39</f>
        <v>2488</v>
      </c>
      <c r="D840" s="2" t="str">
        <f t="shared" si="12"/>
        <v>Error?</v>
      </c>
    </row>
    <row r="841" spans="1:4" x14ac:dyDescent="0.2">
      <c r="A841" s="5">
        <v>780</v>
      </c>
      <c r="B841" s="138">
        <f>'Expenditures 15-22'!E40</f>
        <v>36448</v>
      </c>
      <c r="D841" s="2" t="str">
        <f t="shared" si="12"/>
        <v>Error?</v>
      </c>
    </row>
    <row r="842" spans="1:4" x14ac:dyDescent="0.2">
      <c r="A842" s="5">
        <v>781</v>
      </c>
      <c r="B842" s="138">
        <f>'Expenditures 15-22'!E41</f>
        <v>2191</v>
      </c>
      <c r="D842" s="2" t="str">
        <f t="shared" si="12"/>
        <v>Error?</v>
      </c>
    </row>
    <row r="843" spans="1:4" x14ac:dyDescent="0.2">
      <c r="A843" s="5">
        <v>782</v>
      </c>
      <c r="B843" s="138">
        <f>'Expenditures 15-22'!E42</f>
        <v>211441</v>
      </c>
      <c r="C843" s="2" t="s">
        <v>572</v>
      </c>
      <c r="D843" s="2" t="str">
        <f t="shared" si="12"/>
        <v>Error?</v>
      </c>
    </row>
    <row r="844" spans="1:4" x14ac:dyDescent="0.2">
      <c r="A844" s="5">
        <v>783</v>
      </c>
      <c r="B844" s="138">
        <f>'Expenditures 15-22'!E44</f>
        <v>469447</v>
      </c>
      <c r="D844" s="2" t="str">
        <f t="shared" si="12"/>
        <v>Error?</v>
      </c>
    </row>
    <row r="845" spans="1:4" x14ac:dyDescent="0.2">
      <c r="A845" s="5">
        <v>784</v>
      </c>
      <c r="B845" s="138">
        <f>'Expenditures 15-22'!E45</f>
        <v>0</v>
      </c>
      <c r="D845" s="2" t="str">
        <f t="shared" si="12"/>
        <v>Error?</v>
      </c>
    </row>
    <row r="846" spans="1:4" x14ac:dyDescent="0.2">
      <c r="A846" s="5">
        <v>785</v>
      </c>
      <c r="B846" s="138">
        <f>'Expenditures 15-22'!E46</f>
        <v>407580</v>
      </c>
      <c r="D846" s="2" t="str">
        <f t="shared" si="12"/>
        <v>Error?</v>
      </c>
    </row>
    <row r="847" spans="1:4" x14ac:dyDescent="0.2">
      <c r="A847" s="5">
        <v>786</v>
      </c>
      <c r="B847" s="138">
        <f>'Expenditures 15-22'!E47</f>
        <v>877027</v>
      </c>
      <c r="C847" s="2" t="s">
        <v>572</v>
      </c>
      <c r="D847" s="2" t="str">
        <f t="shared" si="12"/>
        <v>Error?</v>
      </c>
    </row>
    <row r="848" spans="1:4" x14ac:dyDescent="0.2">
      <c r="A848" s="5">
        <v>787</v>
      </c>
      <c r="B848" s="138">
        <f>'Expenditures 15-22'!E49</f>
        <v>10399</v>
      </c>
      <c r="D848" s="2" t="str">
        <f t="shared" si="12"/>
        <v>Error?</v>
      </c>
    </row>
    <row r="849" spans="1:4" x14ac:dyDescent="0.2">
      <c r="A849" s="5">
        <v>788</v>
      </c>
      <c r="B849" s="138">
        <f>'Expenditures 15-22'!E50</f>
        <v>139776</v>
      </c>
      <c r="D849" s="2" t="str">
        <f t="shared" si="12"/>
        <v>Error?</v>
      </c>
    </row>
    <row r="850" spans="1:4" x14ac:dyDescent="0.2">
      <c r="A850" s="5">
        <v>789</v>
      </c>
      <c r="B850" s="138">
        <f>'Expenditures 15-22'!E53</f>
        <v>188412</v>
      </c>
      <c r="C850" s="2" t="s">
        <v>572</v>
      </c>
      <c r="D850" s="2" t="str">
        <f t="shared" si="12"/>
        <v>Error?</v>
      </c>
    </row>
    <row r="851" spans="1:4" x14ac:dyDescent="0.2">
      <c r="A851" s="5">
        <v>790</v>
      </c>
      <c r="B851" s="138">
        <f>'Expenditures 15-22'!E55</f>
        <v>56270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56270</v>
      </c>
      <c r="C853" s="2" t="s">
        <v>572</v>
      </c>
      <c r="D853" s="2" t="str">
        <f t="shared" si="12"/>
        <v>Error?</v>
      </c>
    </row>
    <row r="854" spans="1:4" x14ac:dyDescent="0.2">
      <c r="A854" s="5">
        <v>793</v>
      </c>
      <c r="B854" s="138">
        <f>'Expenditures 15-22'!E59</f>
        <v>70041</v>
      </c>
      <c r="D854" s="2" t="str">
        <f t="shared" si="12"/>
        <v>Error?</v>
      </c>
    </row>
    <row r="855" spans="1:4" x14ac:dyDescent="0.2">
      <c r="A855" s="5">
        <v>794</v>
      </c>
      <c r="B855" s="138">
        <f>'Expenditures 15-22'!E60</f>
        <v>224756</v>
      </c>
      <c r="D855" s="2" t="str">
        <f t="shared" si="12"/>
        <v>Error?</v>
      </c>
    </row>
    <row r="856" spans="1:4" x14ac:dyDescent="0.2">
      <c r="A856" s="5">
        <v>795</v>
      </c>
      <c r="B856" s="138">
        <f>'Expenditures 15-22'!E61</f>
        <v>0</v>
      </c>
      <c r="D856" s="2" t="str">
        <f t="shared" si="12"/>
        <v>Error?</v>
      </c>
    </row>
    <row r="857" spans="1:4" x14ac:dyDescent="0.2">
      <c r="A857" s="5">
        <v>796</v>
      </c>
      <c r="B857" s="138">
        <f>'Expenditures 15-22'!E62</f>
        <v>6968</v>
      </c>
      <c r="D857" s="2" t="str">
        <f t="shared" si="12"/>
        <v>Error?</v>
      </c>
    </row>
    <row r="858" spans="1:4" x14ac:dyDescent="0.2">
      <c r="A858" s="5">
        <v>797</v>
      </c>
      <c r="B858" s="138">
        <f>'Expenditures 15-22'!E63</f>
        <v>4276047</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4577812</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19500</v>
      </c>
      <c r="D863" s="2" t="str">
        <f t="shared" si="12"/>
        <v>Error?</v>
      </c>
    </row>
    <row r="864" spans="1:4" x14ac:dyDescent="0.2">
      <c r="A864" s="5">
        <v>803</v>
      </c>
      <c r="B864" s="138">
        <f>'Expenditures 15-22'!E69</f>
        <v>115251</v>
      </c>
      <c r="D864" s="2" t="str">
        <f t="shared" si="12"/>
        <v>Error?</v>
      </c>
    </row>
    <row r="865" spans="1:4" x14ac:dyDescent="0.2">
      <c r="A865" s="5">
        <v>804</v>
      </c>
      <c r="B865" s="138">
        <f>'Expenditures 15-22'!E70</f>
        <v>98026</v>
      </c>
      <c r="D865" s="2" t="str">
        <f t="shared" si="12"/>
        <v>Error?</v>
      </c>
    </row>
    <row r="866" spans="1:4" x14ac:dyDescent="0.2">
      <c r="A866" s="10">
        <v>805</v>
      </c>
      <c r="D866" s="2" t="str">
        <f t="shared" si="12"/>
        <v>OK</v>
      </c>
    </row>
    <row r="867" spans="1:4" x14ac:dyDescent="0.2">
      <c r="A867" s="5">
        <v>806</v>
      </c>
      <c r="B867" s="138">
        <f>'Expenditures 15-22'!E71</f>
        <v>866132</v>
      </c>
      <c r="D867" s="2" t="str">
        <f t="shared" si="12"/>
        <v>Error?</v>
      </c>
    </row>
    <row r="868" spans="1:4" x14ac:dyDescent="0.2">
      <c r="A868" s="10">
        <v>807</v>
      </c>
      <c r="D868" s="2" t="str">
        <f t="shared" si="12"/>
        <v>OK</v>
      </c>
    </row>
    <row r="869" spans="1:4" x14ac:dyDescent="0.2">
      <c r="A869" s="5">
        <v>808</v>
      </c>
      <c r="B869" s="138">
        <f>'Expenditures 15-22'!E72</f>
        <v>1098909</v>
      </c>
      <c r="C869" s="2" t="s">
        <v>572</v>
      </c>
      <c r="D869" s="2" t="str">
        <f t="shared" si="12"/>
        <v>Error?</v>
      </c>
    </row>
    <row r="870" spans="1:4" x14ac:dyDescent="0.2">
      <c r="A870" s="5">
        <v>809</v>
      </c>
      <c r="B870" s="138">
        <f>'Expenditures 15-22'!E73</f>
        <v>75784</v>
      </c>
      <c r="D870" s="2" t="str">
        <f t="shared" si="12"/>
        <v>Error?</v>
      </c>
    </row>
    <row r="871" spans="1:4" x14ac:dyDescent="0.2">
      <c r="A871" s="5">
        <v>810</v>
      </c>
      <c r="B871" s="138">
        <f>'Expenditures 15-22'!E74</f>
        <v>7085655</v>
      </c>
      <c r="C871" s="2" t="s">
        <v>572</v>
      </c>
      <c r="D871" s="2" t="str">
        <f t="shared" si="12"/>
        <v>Error?</v>
      </c>
    </row>
    <row r="872" spans="1:4" x14ac:dyDescent="0.2">
      <c r="A872" s="5">
        <v>811</v>
      </c>
      <c r="B872" s="138">
        <f>'Expenditures 15-22'!E75</f>
        <v>118220</v>
      </c>
      <c r="D872" s="2" t="str">
        <f t="shared" si="12"/>
        <v>Error?</v>
      </c>
    </row>
    <row r="873" spans="1:4" x14ac:dyDescent="0.2">
      <c r="A873" s="5">
        <v>812</v>
      </c>
      <c r="B873" s="138">
        <f>'Expenditures 15-22'!E114</f>
        <v>9815004</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1197316</v>
      </c>
      <c r="D879" s="2" t="str">
        <f t="shared" si="12"/>
        <v>Error?</v>
      </c>
    </row>
    <row r="880" spans="1:4" x14ac:dyDescent="0.2">
      <c r="A880" s="5">
        <v>819</v>
      </c>
      <c r="B880" s="138">
        <f>'Expenditures 15-22'!F16</f>
        <v>9052</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203451</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190007</v>
      </c>
      <c r="D891" s="2" t="str">
        <f t="shared" si="12"/>
        <v>Error?</v>
      </c>
    </row>
    <row r="892" spans="1:4" x14ac:dyDescent="0.2">
      <c r="A892" s="5">
        <v>831</v>
      </c>
      <c r="B892" s="138">
        <f>'Expenditures 15-22'!F14</f>
        <v>358875</v>
      </c>
      <c r="D892" s="2" t="str">
        <f t="shared" si="12"/>
        <v>Error?</v>
      </c>
    </row>
    <row r="893" spans="1:4" x14ac:dyDescent="0.2">
      <c r="A893" s="5">
        <v>832</v>
      </c>
      <c r="B893" s="138">
        <f>'Expenditures 15-22'!F15</f>
        <v>87276</v>
      </c>
      <c r="D893" s="2" t="str">
        <f t="shared" si="12"/>
        <v>Error?</v>
      </c>
    </row>
    <row r="894" spans="1:4" x14ac:dyDescent="0.2">
      <c r="A894" s="5">
        <v>833</v>
      </c>
      <c r="B894" s="138">
        <f>'Expenditures 15-22'!F33</f>
        <v>3457635</v>
      </c>
      <c r="C894" s="2" t="s">
        <v>572</v>
      </c>
      <c r="D894" s="2" t="str">
        <f t="shared" si="12"/>
        <v>Error?</v>
      </c>
    </row>
    <row r="895" spans="1:4" x14ac:dyDescent="0.2">
      <c r="A895" s="5">
        <v>834</v>
      </c>
      <c r="B895" s="138">
        <f>'Expenditures 15-22'!F36</f>
        <v>40715</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10564</v>
      </c>
      <c r="D897" s="2" t="str">
        <f t="shared" si="13"/>
        <v>Error?</v>
      </c>
    </row>
    <row r="898" spans="1:4" x14ac:dyDescent="0.2">
      <c r="A898" s="5">
        <v>837</v>
      </c>
      <c r="B898" s="138">
        <f>'Expenditures 15-22'!F39</f>
        <v>20487</v>
      </c>
      <c r="D898" s="2" t="str">
        <f t="shared" si="13"/>
        <v>Error?</v>
      </c>
    </row>
    <row r="899" spans="1:4" x14ac:dyDescent="0.2">
      <c r="A899" s="5">
        <v>838</v>
      </c>
      <c r="B899" s="138">
        <f>'Expenditures 15-22'!F40</f>
        <v>8280</v>
      </c>
      <c r="D899" s="2" t="str">
        <f t="shared" si="13"/>
        <v>Error?</v>
      </c>
    </row>
    <row r="900" spans="1:4" x14ac:dyDescent="0.2">
      <c r="A900" s="5">
        <v>839</v>
      </c>
      <c r="B900" s="138">
        <f>'Expenditures 15-22'!F41</f>
        <v>929</v>
      </c>
      <c r="D900" s="2" t="str">
        <f t="shared" si="13"/>
        <v>Error?</v>
      </c>
    </row>
    <row r="901" spans="1:4" x14ac:dyDescent="0.2">
      <c r="A901" s="5">
        <v>840</v>
      </c>
      <c r="B901" s="138">
        <f>'Expenditures 15-22'!F42</f>
        <v>80975</v>
      </c>
      <c r="C901" s="2" t="s">
        <v>572</v>
      </c>
      <c r="D901" s="2" t="str">
        <f t="shared" si="13"/>
        <v>Error?</v>
      </c>
    </row>
    <row r="902" spans="1:4" x14ac:dyDescent="0.2">
      <c r="A902" s="5">
        <v>841</v>
      </c>
      <c r="B902" s="138">
        <f>'Expenditures 15-22'!F44</f>
        <v>247518</v>
      </c>
      <c r="D902" s="2" t="str">
        <f t="shared" si="13"/>
        <v>Error?</v>
      </c>
    </row>
    <row r="903" spans="1:4" x14ac:dyDescent="0.2">
      <c r="A903" s="5">
        <v>842</v>
      </c>
      <c r="B903" s="138">
        <f>'Expenditures 15-22'!F45</f>
        <v>16385</v>
      </c>
      <c r="D903" s="2" t="str">
        <f t="shared" si="13"/>
        <v>Error?</v>
      </c>
    </row>
    <row r="904" spans="1:4" x14ac:dyDescent="0.2">
      <c r="A904" s="5">
        <v>843</v>
      </c>
      <c r="B904" s="138">
        <f>'Expenditures 15-22'!F46</f>
        <v>3462</v>
      </c>
      <c r="D904" s="2" t="str">
        <f t="shared" si="13"/>
        <v>Error?</v>
      </c>
    </row>
    <row r="905" spans="1:4" x14ac:dyDescent="0.2">
      <c r="A905" s="5">
        <v>844</v>
      </c>
      <c r="B905" s="138">
        <f>'Expenditures 15-22'!F47</f>
        <v>267365</v>
      </c>
      <c r="C905" s="2" t="s">
        <v>572</v>
      </c>
      <c r="D905" s="2" t="str">
        <f t="shared" si="13"/>
        <v>Error?</v>
      </c>
    </row>
    <row r="906" spans="1:4" x14ac:dyDescent="0.2">
      <c r="A906" s="5">
        <v>845</v>
      </c>
      <c r="B906" s="138">
        <f>'Expenditures 15-22'!F49</f>
        <v>33424</v>
      </c>
      <c r="D906" s="2" t="str">
        <f t="shared" si="13"/>
        <v>Error?</v>
      </c>
    </row>
    <row r="907" spans="1:4" x14ac:dyDescent="0.2">
      <c r="A907" s="5">
        <v>846</v>
      </c>
      <c r="B907" s="138">
        <f>'Expenditures 15-22'!F50</f>
        <v>3951</v>
      </c>
      <c r="D907" s="2" t="str">
        <f t="shared" si="13"/>
        <v>Error?</v>
      </c>
    </row>
    <row r="908" spans="1:4" x14ac:dyDescent="0.2">
      <c r="A908" s="5">
        <v>847</v>
      </c>
      <c r="B908" s="138">
        <f>'Expenditures 15-22'!F53</f>
        <v>235942</v>
      </c>
      <c r="C908" s="2" t="s">
        <v>572</v>
      </c>
      <c r="D908" s="2" t="str">
        <f t="shared" si="13"/>
        <v>Error?</v>
      </c>
    </row>
    <row r="909" spans="1:4" x14ac:dyDescent="0.2">
      <c r="A909" s="5">
        <v>848</v>
      </c>
      <c r="B909" s="138">
        <f>'Expenditures 15-22'!F55</f>
        <v>134057</v>
      </c>
      <c r="D909" s="2" t="str">
        <f t="shared" si="13"/>
        <v>Error?</v>
      </c>
    </row>
    <row r="910" spans="1:4" x14ac:dyDescent="0.2">
      <c r="A910" s="5">
        <v>849</v>
      </c>
      <c r="B910" s="138">
        <f>'Expenditures 15-22'!F56</f>
        <v>4691</v>
      </c>
      <c r="D910" s="2" t="str">
        <f t="shared" si="13"/>
        <v>Error?</v>
      </c>
    </row>
    <row r="911" spans="1:4" x14ac:dyDescent="0.2">
      <c r="A911" s="5">
        <v>850</v>
      </c>
      <c r="B911" s="138">
        <f>'Expenditures 15-22'!F57</f>
        <v>138748</v>
      </c>
      <c r="C911" s="2" t="s">
        <v>572</v>
      </c>
      <c r="D911" s="2" t="str">
        <f t="shared" si="13"/>
        <v>Error?</v>
      </c>
    </row>
    <row r="912" spans="1:4" x14ac:dyDescent="0.2">
      <c r="A912" s="5">
        <v>851</v>
      </c>
      <c r="B912" s="138">
        <f>'Expenditures 15-22'!F59</f>
        <v>21864</v>
      </c>
      <c r="D912" s="2" t="str">
        <f t="shared" si="13"/>
        <v>Error?</v>
      </c>
    </row>
    <row r="913" spans="1:4" x14ac:dyDescent="0.2">
      <c r="A913" s="5">
        <v>852</v>
      </c>
      <c r="B913" s="138">
        <f>'Expenditures 15-22'!F60</f>
        <v>49113</v>
      </c>
      <c r="D913" s="2" t="str">
        <f t="shared" si="13"/>
        <v>Error?</v>
      </c>
    </row>
    <row r="914" spans="1:4" x14ac:dyDescent="0.2">
      <c r="A914" s="5">
        <v>853</v>
      </c>
      <c r="B914" s="138">
        <f>'Expenditures 15-22'!F61</f>
        <v>4370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122471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197818</v>
      </c>
      <c r="C919" s="2" t="s">
        <v>572</v>
      </c>
      <c r="D919" s="2" t="str">
        <f t="shared" si="13"/>
        <v>Error?</v>
      </c>
    </row>
    <row r="920" spans="1:4" x14ac:dyDescent="0.2">
      <c r="A920" s="5">
        <v>859</v>
      </c>
      <c r="B920" s="138">
        <f>'Expenditures 15-22'!F67</f>
        <v>32542</v>
      </c>
      <c r="D920" s="2" t="str">
        <f t="shared" si="13"/>
        <v>Error?</v>
      </c>
    </row>
    <row r="921" spans="1:4" x14ac:dyDescent="0.2">
      <c r="A921" s="5">
        <v>860</v>
      </c>
      <c r="B921" s="138">
        <f>'Expenditures 15-22'!F68</f>
        <v>0</v>
      </c>
      <c r="D921" s="2" t="str">
        <f t="shared" si="13"/>
        <v>Error?</v>
      </c>
    </row>
    <row r="922" spans="1:4" x14ac:dyDescent="0.2">
      <c r="A922" s="5">
        <v>861</v>
      </c>
      <c r="B922" s="138">
        <f>'Expenditures 15-22'!F69</f>
        <v>10272</v>
      </c>
      <c r="D922" s="2" t="str">
        <f t="shared" si="13"/>
        <v>Error?</v>
      </c>
    </row>
    <row r="923" spans="1:4" x14ac:dyDescent="0.2">
      <c r="A923" s="5">
        <v>862</v>
      </c>
      <c r="B923" s="138">
        <f>'Expenditures 15-22'!F70</f>
        <v>52456</v>
      </c>
      <c r="D923" s="2" t="str">
        <f t="shared" si="13"/>
        <v>Error?</v>
      </c>
    </row>
    <row r="924" spans="1:4" x14ac:dyDescent="0.2">
      <c r="A924" s="10">
        <v>863</v>
      </c>
      <c r="D924" s="2" t="str">
        <f t="shared" si="13"/>
        <v>OK</v>
      </c>
    </row>
    <row r="925" spans="1:4" x14ac:dyDescent="0.2">
      <c r="A925" s="5">
        <v>864</v>
      </c>
      <c r="B925" s="138">
        <f>'Expenditures 15-22'!F71</f>
        <v>1321625</v>
      </c>
      <c r="D925" s="2" t="str">
        <f t="shared" si="13"/>
        <v>Error?</v>
      </c>
    </row>
    <row r="926" spans="1:4" x14ac:dyDescent="0.2">
      <c r="A926" s="10">
        <v>865</v>
      </c>
      <c r="D926" s="2" t="str">
        <f t="shared" si="13"/>
        <v>OK</v>
      </c>
    </row>
    <row r="927" spans="1:4" x14ac:dyDescent="0.2">
      <c r="A927" s="5">
        <v>866</v>
      </c>
      <c r="B927" s="138">
        <f>'Expenditures 15-22'!F72</f>
        <v>1416895</v>
      </c>
      <c r="C927" s="2" t="s">
        <v>572</v>
      </c>
      <c r="D927" s="2" t="str">
        <f t="shared" si="13"/>
        <v>Error?</v>
      </c>
    </row>
    <row r="928" spans="1:4" x14ac:dyDescent="0.2">
      <c r="A928" s="5">
        <v>867</v>
      </c>
      <c r="B928" s="138">
        <f>'Expenditures 15-22'!F73</f>
        <v>232</v>
      </c>
      <c r="D928" s="2" t="str">
        <f t="shared" si="13"/>
        <v>Error?</v>
      </c>
    </row>
    <row r="929" spans="1:4" x14ac:dyDescent="0.2">
      <c r="A929" s="5">
        <v>868</v>
      </c>
      <c r="B929" s="138">
        <f>'Expenditures 15-22'!F74</f>
        <v>2337975</v>
      </c>
      <c r="C929" s="2" t="s">
        <v>572</v>
      </c>
      <c r="D929" s="2" t="str">
        <f t="shared" si="13"/>
        <v>Error?</v>
      </c>
    </row>
    <row r="930" spans="1:4" x14ac:dyDescent="0.2">
      <c r="A930" s="5">
        <v>869</v>
      </c>
      <c r="B930" s="138">
        <f>'Expenditures 15-22'!F75</f>
        <v>130668</v>
      </c>
      <c r="D930" s="2" t="str">
        <f t="shared" si="13"/>
        <v>Error?</v>
      </c>
    </row>
    <row r="931" spans="1:4" x14ac:dyDescent="0.2">
      <c r="A931" s="5">
        <v>870</v>
      </c>
      <c r="B931" s="138">
        <f>'Expenditures 15-22'!F114</f>
        <v>5926278</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480340</v>
      </c>
      <c r="D949" s="2" t="str">
        <f t="shared" si="13"/>
        <v>Error?</v>
      </c>
    </row>
    <row r="950" spans="1:4" x14ac:dyDescent="0.2">
      <c r="A950" s="5">
        <v>889</v>
      </c>
      <c r="B950" s="138">
        <f>'Expenditures 15-22'!G14</f>
        <v>40039</v>
      </c>
      <c r="D950" s="2" t="str">
        <f t="shared" si="13"/>
        <v>Error?</v>
      </c>
    </row>
    <row r="951" spans="1:4" x14ac:dyDescent="0.2">
      <c r="A951" s="5">
        <v>890</v>
      </c>
      <c r="B951" s="138">
        <f>'Expenditures 15-22'!G15</f>
        <v>0</v>
      </c>
      <c r="D951" s="2" t="str">
        <f t="shared" si="13"/>
        <v>Error?</v>
      </c>
    </row>
    <row r="952" spans="1:4" x14ac:dyDescent="0.2">
      <c r="A952" s="5">
        <v>891</v>
      </c>
      <c r="B952" s="138">
        <f>'Expenditures 15-22'!G33</f>
        <v>520379</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10547</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10547</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63397</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78036</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141433</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151980</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672359</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4561240</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572</v>
      </c>
      <c r="D1021" s="2" t="str">
        <f t="shared" si="14"/>
        <v>Error?</v>
      </c>
    </row>
    <row r="1022" spans="1:4" x14ac:dyDescent="0.2">
      <c r="A1022" s="5">
        <v>961</v>
      </c>
      <c r="B1022" s="138">
        <f>'Expenditures 15-22'!H49</f>
        <v>16835</v>
      </c>
      <c r="D1022" s="2" t="str">
        <f t="shared" si="14"/>
        <v>Error?</v>
      </c>
    </row>
    <row r="1023" spans="1:4" x14ac:dyDescent="0.2">
      <c r="A1023" s="5">
        <v>962</v>
      </c>
      <c r="B1023" s="138">
        <f>'Expenditures 15-22'!H50</f>
        <v>7951</v>
      </c>
      <c r="D1023" s="2" t="str">
        <f t="shared" ref="D1023:D1086" si="15">IF(ISBLANK(B1023),"OK",IF(A1023-B1023=0,"OK","Error?"))</f>
        <v>Error?</v>
      </c>
    </row>
    <row r="1024" spans="1:4" x14ac:dyDescent="0.2">
      <c r="A1024" s="5">
        <v>963</v>
      </c>
      <c r="B1024" s="138">
        <f>'Expenditures 15-22'!H53</f>
        <v>24786</v>
      </c>
      <c r="C1024" s="2" t="s">
        <v>572</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24786</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5806724</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10936147</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49586225</v>
      </c>
      <c r="C1093" s="2" t="s">
        <v>572</v>
      </c>
      <c r="D1093" s="2" t="str">
        <f t="shared" si="16"/>
        <v>Error?</v>
      </c>
    </row>
    <row r="1094" spans="1:4" x14ac:dyDescent="0.2">
      <c r="A1094" s="5">
        <v>1033</v>
      </c>
      <c r="B1094" s="138">
        <f>'Expenditures 15-22'!K16</f>
        <v>385589</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7737715</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743381</v>
      </c>
      <c r="C1105" s="2" t="s">
        <v>572</v>
      </c>
      <c r="D1105" s="2" t="str">
        <f t="shared" si="16"/>
        <v>Error?</v>
      </c>
    </row>
    <row r="1106" spans="1:4" x14ac:dyDescent="0.2">
      <c r="A1106" s="5">
        <v>1045</v>
      </c>
      <c r="B1106" s="138">
        <f>'Expenditures 15-22'!K14</f>
        <v>3413654</v>
      </c>
      <c r="C1106" s="2" t="s">
        <v>572</v>
      </c>
      <c r="D1106" s="2" t="str">
        <f t="shared" si="16"/>
        <v>Error?</v>
      </c>
    </row>
    <row r="1107" spans="1:4" x14ac:dyDescent="0.2">
      <c r="A1107" s="5">
        <v>1046</v>
      </c>
      <c r="B1107" s="138">
        <f>'Expenditures 15-22'!K15</f>
        <v>338710</v>
      </c>
      <c r="C1107" s="2" t="s">
        <v>572</v>
      </c>
      <c r="D1107" s="2" t="str">
        <f t="shared" si="16"/>
        <v>Error?</v>
      </c>
    </row>
    <row r="1108" spans="1:4" x14ac:dyDescent="0.2">
      <c r="A1108" s="5">
        <v>1047</v>
      </c>
      <c r="B1108" s="138">
        <f>'Expenditures 15-22'!K33</f>
        <v>86354415</v>
      </c>
      <c r="C1108" s="2" t="s">
        <v>572</v>
      </c>
      <c r="D1108" s="2" t="str">
        <f t="shared" si="16"/>
        <v>Error?</v>
      </c>
    </row>
    <row r="1109" spans="1:4" x14ac:dyDescent="0.2">
      <c r="A1109" s="5">
        <v>1048</v>
      </c>
      <c r="B1109" s="138">
        <f>'Expenditures 15-22'!K36</f>
        <v>3583536</v>
      </c>
      <c r="C1109" s="2" t="s">
        <v>572</v>
      </c>
      <c r="D1109" s="2" t="str">
        <f t="shared" si="16"/>
        <v>Error?</v>
      </c>
    </row>
    <row r="1110" spans="1:4" x14ac:dyDescent="0.2">
      <c r="A1110" s="5">
        <v>1049</v>
      </c>
      <c r="B1110" s="138">
        <f>'Expenditures 15-22'!K37</f>
        <v>1397206</v>
      </c>
      <c r="C1110" s="2" t="s">
        <v>572</v>
      </c>
      <c r="D1110" s="2" t="str">
        <f t="shared" si="16"/>
        <v>Error?</v>
      </c>
    </row>
    <row r="1111" spans="1:4" x14ac:dyDescent="0.2">
      <c r="A1111" s="5">
        <v>1050</v>
      </c>
      <c r="B1111" s="138">
        <f>'Expenditures 15-22'!K38</f>
        <v>1261997</v>
      </c>
      <c r="C1111" s="2" t="s">
        <v>572</v>
      </c>
      <c r="D1111" s="2" t="str">
        <f t="shared" si="16"/>
        <v>Error?</v>
      </c>
    </row>
    <row r="1112" spans="1:4" x14ac:dyDescent="0.2">
      <c r="A1112" s="5">
        <v>1051</v>
      </c>
      <c r="B1112" s="138">
        <f>'Expenditures 15-22'!K39</f>
        <v>1267626</v>
      </c>
      <c r="C1112" s="2" t="s">
        <v>572</v>
      </c>
      <c r="D1112" s="2" t="str">
        <f t="shared" si="16"/>
        <v>Error?</v>
      </c>
    </row>
    <row r="1113" spans="1:4" x14ac:dyDescent="0.2">
      <c r="A1113" s="5">
        <v>1052</v>
      </c>
      <c r="B1113" s="138">
        <f>'Expenditures 15-22'!K40</f>
        <v>1896197</v>
      </c>
      <c r="C1113" s="2" t="s">
        <v>572</v>
      </c>
      <c r="D1113" s="2" t="str">
        <f t="shared" si="16"/>
        <v>Error?</v>
      </c>
    </row>
    <row r="1114" spans="1:4" x14ac:dyDescent="0.2">
      <c r="A1114" s="5">
        <v>1053</v>
      </c>
      <c r="B1114" s="138">
        <f>'Expenditures 15-22'!K41</f>
        <v>185743</v>
      </c>
      <c r="C1114" s="2" t="s">
        <v>572</v>
      </c>
      <c r="D1114" s="2" t="str">
        <f t="shared" si="16"/>
        <v>Error?</v>
      </c>
    </row>
    <row r="1115" spans="1:4" x14ac:dyDescent="0.2">
      <c r="A1115" s="5">
        <v>1054</v>
      </c>
      <c r="B1115" s="138">
        <f>'Expenditures 15-22'!K42</f>
        <v>9592305</v>
      </c>
      <c r="C1115" s="2" t="s">
        <v>572</v>
      </c>
      <c r="D1115" s="2" t="str">
        <f t="shared" si="16"/>
        <v>Error?</v>
      </c>
    </row>
    <row r="1116" spans="1:4" x14ac:dyDescent="0.2">
      <c r="A1116" s="5">
        <v>1055</v>
      </c>
      <c r="B1116" s="138">
        <f>'Expenditures 15-22'!K44</f>
        <v>4944866</v>
      </c>
      <c r="C1116" s="2" t="s">
        <v>572</v>
      </c>
      <c r="D1116" s="2" t="str">
        <f t="shared" si="16"/>
        <v>Error?</v>
      </c>
    </row>
    <row r="1117" spans="1:4" x14ac:dyDescent="0.2">
      <c r="A1117" s="5">
        <v>1056</v>
      </c>
      <c r="B1117" s="138">
        <f>'Expenditures 15-22'!K45</f>
        <v>16385</v>
      </c>
      <c r="C1117" s="2" t="s">
        <v>572</v>
      </c>
      <c r="D1117" s="2" t="str">
        <f t="shared" si="16"/>
        <v>Error?</v>
      </c>
    </row>
    <row r="1118" spans="1:4" x14ac:dyDescent="0.2">
      <c r="A1118" s="5">
        <v>1057</v>
      </c>
      <c r="B1118" s="138">
        <f>'Expenditures 15-22'!K46</f>
        <v>670548</v>
      </c>
      <c r="C1118" s="2" t="s">
        <v>572</v>
      </c>
      <c r="D1118" s="2" t="str">
        <f t="shared" si="16"/>
        <v>Error?</v>
      </c>
    </row>
    <row r="1119" spans="1:4" x14ac:dyDescent="0.2">
      <c r="A1119" s="5">
        <v>1058</v>
      </c>
      <c r="B1119" s="138">
        <f>'Expenditures 15-22'!K47</f>
        <v>5631799</v>
      </c>
      <c r="C1119" s="2" t="s">
        <v>572</v>
      </c>
      <c r="D1119" s="2" t="str">
        <f t="shared" si="16"/>
        <v>Error?</v>
      </c>
    </row>
    <row r="1120" spans="1:4" x14ac:dyDescent="0.2">
      <c r="A1120" s="5">
        <v>1059</v>
      </c>
      <c r="B1120" s="138">
        <f>'Expenditures 15-22'!K49</f>
        <v>142846</v>
      </c>
      <c r="C1120" s="2" t="s">
        <v>572</v>
      </c>
      <c r="D1120" s="2" t="str">
        <f t="shared" si="16"/>
        <v>Error?</v>
      </c>
    </row>
    <row r="1121" spans="1:4" x14ac:dyDescent="0.2">
      <c r="A1121" s="5">
        <v>1060</v>
      </c>
      <c r="B1121" s="138">
        <f>'Expenditures 15-22'!K50</f>
        <v>423342</v>
      </c>
      <c r="C1121" s="2" t="s">
        <v>572</v>
      </c>
      <c r="D1121" s="2" t="str">
        <f t="shared" si="16"/>
        <v>Error?</v>
      </c>
    </row>
    <row r="1122" spans="1:4" x14ac:dyDescent="0.2">
      <c r="A1122" s="5">
        <v>1061</v>
      </c>
      <c r="B1122" s="138">
        <f>'Expenditures 15-22'!K53</f>
        <v>964364</v>
      </c>
      <c r="C1122" s="2" t="s">
        <v>572</v>
      </c>
      <c r="D1122" s="2" t="str">
        <f t="shared" si="16"/>
        <v>Error?</v>
      </c>
    </row>
    <row r="1123" spans="1:4" x14ac:dyDescent="0.2">
      <c r="A1123" s="5">
        <v>1062</v>
      </c>
      <c r="B1123" s="138">
        <f>'Expenditures 15-22'!K55</f>
        <v>5928755</v>
      </c>
      <c r="C1123" s="2" t="s">
        <v>572</v>
      </c>
      <c r="D1123" s="2" t="str">
        <f t="shared" si="16"/>
        <v>Error?</v>
      </c>
    </row>
    <row r="1124" spans="1:4" x14ac:dyDescent="0.2">
      <c r="A1124" s="5">
        <v>1063</v>
      </c>
      <c r="B1124" s="138">
        <f>'Expenditures 15-22'!K56</f>
        <v>4691</v>
      </c>
      <c r="C1124" s="2" t="s">
        <v>572</v>
      </c>
      <c r="D1124" s="2" t="str">
        <f t="shared" si="16"/>
        <v>Error?</v>
      </c>
    </row>
    <row r="1125" spans="1:4" x14ac:dyDescent="0.2">
      <c r="A1125" s="5">
        <v>1064</v>
      </c>
      <c r="B1125" s="138">
        <f>'Expenditures 15-22'!K57</f>
        <v>5933446</v>
      </c>
      <c r="C1125" s="2" t="s">
        <v>572</v>
      </c>
      <c r="D1125" s="2" t="str">
        <f t="shared" si="16"/>
        <v>Error?</v>
      </c>
    </row>
    <row r="1126" spans="1:4" x14ac:dyDescent="0.2">
      <c r="A1126" s="5">
        <v>1065</v>
      </c>
      <c r="B1126" s="138">
        <f>'Expenditures 15-22'!K59</f>
        <v>292051</v>
      </c>
      <c r="C1126" s="2" t="s">
        <v>572</v>
      </c>
      <c r="D1126" s="2" t="str">
        <f t="shared" si="16"/>
        <v>Error?</v>
      </c>
    </row>
    <row r="1127" spans="1:4" x14ac:dyDescent="0.2">
      <c r="A1127" s="5">
        <v>1066</v>
      </c>
      <c r="B1127" s="138">
        <f>'Expenditures 15-22'!K60</f>
        <v>759619</v>
      </c>
      <c r="C1127" s="2" t="s">
        <v>572</v>
      </c>
      <c r="D1127" s="2" t="str">
        <f t="shared" si="16"/>
        <v>Error?</v>
      </c>
    </row>
    <row r="1128" spans="1:4" x14ac:dyDescent="0.2">
      <c r="A1128" s="5">
        <v>1067</v>
      </c>
      <c r="B1128" s="138">
        <f>'Expenditures 15-22'!K61</f>
        <v>773918</v>
      </c>
      <c r="C1128" s="2" t="s">
        <v>572</v>
      </c>
      <c r="D1128" s="2" t="str">
        <f t="shared" si="16"/>
        <v>Error?</v>
      </c>
    </row>
    <row r="1129" spans="1:4" x14ac:dyDescent="0.2">
      <c r="A1129" s="5">
        <v>1068</v>
      </c>
      <c r="B1129" s="138">
        <f>'Expenditures 15-22'!K62</f>
        <v>6968</v>
      </c>
      <c r="C1129" s="2" t="s">
        <v>572</v>
      </c>
      <c r="D1129" s="2" t="str">
        <f t="shared" si="16"/>
        <v>Error?</v>
      </c>
    </row>
    <row r="1130" spans="1:4" x14ac:dyDescent="0.2">
      <c r="A1130" s="5">
        <v>1069</v>
      </c>
      <c r="B1130" s="138">
        <f>'Expenditures 15-22'!K63</f>
        <v>4752404</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6584960</v>
      </c>
      <c r="C1133" s="2" t="s">
        <v>572</v>
      </c>
      <c r="D1133" s="2" t="str">
        <f t="shared" si="16"/>
        <v>Error?</v>
      </c>
    </row>
    <row r="1134" spans="1:4" x14ac:dyDescent="0.2">
      <c r="A1134" s="5">
        <v>1073</v>
      </c>
      <c r="B1134" s="138">
        <f>'Expenditures 15-22'!K67</f>
        <v>93757</v>
      </c>
      <c r="C1134" s="2" t="s">
        <v>572</v>
      </c>
      <c r="D1134" s="2" t="str">
        <f t="shared" si="16"/>
        <v>Error?</v>
      </c>
    </row>
    <row r="1135" spans="1:4" x14ac:dyDescent="0.2">
      <c r="A1135" s="5">
        <v>1074</v>
      </c>
      <c r="B1135" s="138">
        <f>'Expenditures 15-22'!K68</f>
        <v>103396</v>
      </c>
      <c r="C1135" s="2" t="s">
        <v>572</v>
      </c>
      <c r="D1135" s="2" t="str">
        <f t="shared" si="16"/>
        <v>Error?</v>
      </c>
    </row>
    <row r="1136" spans="1:4" x14ac:dyDescent="0.2">
      <c r="A1136" s="5">
        <v>1075</v>
      </c>
      <c r="B1136" s="138">
        <f>'Expenditures 15-22'!K69</f>
        <v>354446</v>
      </c>
      <c r="C1136" s="2" t="s">
        <v>572</v>
      </c>
      <c r="D1136" s="2" t="str">
        <f t="shared" si="16"/>
        <v>Error?</v>
      </c>
    </row>
    <row r="1137" spans="1:4" x14ac:dyDescent="0.2">
      <c r="A1137" s="5">
        <v>1076</v>
      </c>
      <c r="B1137" s="138">
        <f>'Expenditures 15-22'!K70</f>
        <v>719695</v>
      </c>
      <c r="C1137" s="2" t="s">
        <v>572</v>
      </c>
      <c r="D1137" s="2" t="str">
        <f t="shared" si="16"/>
        <v>Error?</v>
      </c>
    </row>
    <row r="1138" spans="1:4" x14ac:dyDescent="0.2">
      <c r="A1138" s="10">
        <v>1077</v>
      </c>
      <c r="D1138" s="2" t="str">
        <f t="shared" si="16"/>
        <v>OK</v>
      </c>
    </row>
    <row r="1139" spans="1:4" x14ac:dyDescent="0.2">
      <c r="A1139" s="5">
        <v>1078</v>
      </c>
      <c r="B1139" s="138">
        <f>'Expenditures 15-22'!K71</f>
        <v>3436984</v>
      </c>
      <c r="C1139" s="2" t="s">
        <v>572</v>
      </c>
      <c r="D1139" s="2" t="str">
        <f t="shared" si="16"/>
        <v>Error?</v>
      </c>
    </row>
    <row r="1140" spans="1:4" x14ac:dyDescent="0.2">
      <c r="A1140" s="10">
        <v>1079</v>
      </c>
      <c r="D1140" s="2" t="str">
        <f t="shared" si="16"/>
        <v>OK</v>
      </c>
    </row>
    <row r="1141" spans="1:4" x14ac:dyDescent="0.2">
      <c r="A1141" s="5">
        <v>1080</v>
      </c>
      <c r="B1141" s="138">
        <f>'Expenditures 15-22'!K72</f>
        <v>4708278</v>
      </c>
      <c r="C1141" s="2" t="s">
        <v>572</v>
      </c>
      <c r="D1141" s="2" t="str">
        <f t="shared" si="16"/>
        <v>Error?</v>
      </c>
    </row>
    <row r="1142" spans="1:4" x14ac:dyDescent="0.2">
      <c r="A1142" s="5">
        <v>1081</v>
      </c>
      <c r="B1142" s="138">
        <f>'Expenditures 15-22'!K73</f>
        <v>123142</v>
      </c>
      <c r="C1142" s="2" t="s">
        <v>572</v>
      </c>
      <c r="D1142" s="2" t="str">
        <f t="shared" si="16"/>
        <v>Error?</v>
      </c>
    </row>
    <row r="1143" spans="1:4" x14ac:dyDescent="0.2">
      <c r="A1143" s="5">
        <v>1082</v>
      </c>
      <c r="B1143" s="138">
        <f>'Expenditures 15-22'!K74</f>
        <v>33538294</v>
      </c>
      <c r="C1143" s="2" t="s">
        <v>572</v>
      </c>
      <c r="D1143" s="2" t="str">
        <f t="shared" si="16"/>
        <v>Error?</v>
      </c>
    </row>
    <row r="1144" spans="1:4" x14ac:dyDescent="0.2">
      <c r="A1144" s="5">
        <v>1083</v>
      </c>
      <c r="B1144" s="138">
        <f>'Expenditures 15-22'!K75</f>
        <v>1078423</v>
      </c>
      <c r="C1144" s="2" t="s">
        <v>572</v>
      </c>
      <c r="D1144" s="2" t="str">
        <f t="shared" si="16"/>
        <v>Error?</v>
      </c>
    </row>
    <row r="1145" spans="1:4" x14ac:dyDescent="0.2">
      <c r="A1145" s="5">
        <v>1084</v>
      </c>
      <c r="B1145" s="138">
        <f>'Expenditures 15-22'!K102</f>
        <v>7044930</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128559459</v>
      </c>
      <c r="C1152" s="2" t="s">
        <v>572</v>
      </c>
      <c r="D1152" s="2" t="str">
        <f t="shared" si="17"/>
        <v>Error?</v>
      </c>
    </row>
    <row r="1153" spans="1:4" x14ac:dyDescent="0.2">
      <c r="A1153" s="5">
        <v>1092</v>
      </c>
      <c r="B1153" s="138">
        <f>'Expenditures 15-22'!K115</f>
        <v>11575062</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127261</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3758268</v>
      </c>
      <c r="D1221" s="2" t="str">
        <f t="shared" si="18"/>
        <v>Error?</v>
      </c>
    </row>
    <row r="1222" spans="1:4" x14ac:dyDescent="0.2">
      <c r="A1222" s="10">
        <v>1161</v>
      </c>
      <c r="D1222" s="2" t="str">
        <f t="shared" si="18"/>
        <v>OK</v>
      </c>
    </row>
    <row r="1223" spans="1:4" x14ac:dyDescent="0.2">
      <c r="A1223" s="5">
        <v>1162</v>
      </c>
      <c r="B1223" s="138">
        <f>'Expenditures 15-22'!C127</f>
        <v>3885529</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3885529</v>
      </c>
      <c r="C1225" s="2" t="s">
        <v>572</v>
      </c>
      <c r="D1225" s="2" t="str">
        <f t="shared" si="18"/>
        <v>Error?</v>
      </c>
    </row>
    <row r="1226" spans="1:4" x14ac:dyDescent="0.2">
      <c r="A1226" s="5">
        <v>1165</v>
      </c>
      <c r="B1226" s="138">
        <f>'Expenditures 15-22'!C151</f>
        <v>3885529</v>
      </c>
      <c r="C1226" s="2" t="s">
        <v>572</v>
      </c>
      <c r="D1226" s="2" t="str">
        <f t="shared" si="18"/>
        <v>Error?</v>
      </c>
    </row>
    <row r="1227" spans="1:4" x14ac:dyDescent="0.2">
      <c r="A1227" s="5">
        <v>1166</v>
      </c>
      <c r="B1227" s="138">
        <f>'Expenditures 15-22'!D122</f>
        <v>33004</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855149</v>
      </c>
      <c r="D1229" s="2" t="str">
        <f t="shared" si="18"/>
        <v>Error?</v>
      </c>
    </row>
    <row r="1230" spans="1:4" x14ac:dyDescent="0.2">
      <c r="A1230" s="10">
        <v>1169</v>
      </c>
      <c r="D1230" s="2" t="str">
        <f t="shared" si="18"/>
        <v>OK</v>
      </c>
    </row>
    <row r="1231" spans="1:4" x14ac:dyDescent="0.2">
      <c r="A1231" s="5">
        <v>1170</v>
      </c>
      <c r="B1231" s="138">
        <f>'Expenditures 15-22'!D127</f>
        <v>888153</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894217</v>
      </c>
      <c r="C1233" s="2" t="s">
        <v>572</v>
      </c>
      <c r="D1233" s="2" t="str">
        <f t="shared" si="18"/>
        <v>Error?</v>
      </c>
    </row>
    <row r="1234" spans="1:4" x14ac:dyDescent="0.2">
      <c r="A1234" s="5">
        <v>1173</v>
      </c>
      <c r="B1234" s="138">
        <f>'Expenditures 15-22'!D151</f>
        <v>894217</v>
      </c>
      <c r="C1234" s="2" t="s">
        <v>572</v>
      </c>
      <c r="D1234" s="2" t="str">
        <f t="shared" si="18"/>
        <v>Error?</v>
      </c>
    </row>
    <row r="1235" spans="1:4" x14ac:dyDescent="0.2">
      <c r="A1235" s="5">
        <v>1174</v>
      </c>
      <c r="B1235" s="138">
        <f>'Expenditures 15-22'!E122</f>
        <v>949093</v>
      </c>
      <c r="D1235" s="2" t="str">
        <f t="shared" si="18"/>
        <v>Error?</v>
      </c>
    </row>
    <row r="1236" spans="1:4" x14ac:dyDescent="0.2">
      <c r="A1236" s="5">
        <v>1175</v>
      </c>
      <c r="B1236" s="138">
        <f>'Expenditures 15-22'!E123</f>
        <v>444049</v>
      </c>
      <c r="D1236" s="2" t="str">
        <f t="shared" si="18"/>
        <v>Error?</v>
      </c>
    </row>
    <row r="1237" spans="1:4" x14ac:dyDescent="0.2">
      <c r="A1237" s="5">
        <v>1176</v>
      </c>
      <c r="B1237" s="138">
        <f>'Expenditures 15-22'!E124</f>
        <v>2238719</v>
      </c>
      <c r="D1237" s="2" t="str">
        <f t="shared" si="18"/>
        <v>Error?</v>
      </c>
    </row>
    <row r="1238" spans="1:4" x14ac:dyDescent="0.2">
      <c r="A1238" s="10">
        <v>1177</v>
      </c>
      <c r="D1238" s="2" t="str">
        <f t="shared" si="18"/>
        <v>OK</v>
      </c>
    </row>
    <row r="1239" spans="1:4" x14ac:dyDescent="0.2">
      <c r="A1239" s="5">
        <v>1178</v>
      </c>
      <c r="B1239" s="138">
        <f>'Expenditures 15-22'!E127</f>
        <v>3631861</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3631861</v>
      </c>
      <c r="C1241" s="2" t="s">
        <v>572</v>
      </c>
      <c r="D1241" s="2" t="str">
        <f t="shared" si="18"/>
        <v>Error?</v>
      </c>
    </row>
    <row r="1242" spans="1:4" x14ac:dyDescent="0.2">
      <c r="A1242" s="5">
        <v>1181</v>
      </c>
      <c r="B1242" s="138">
        <f>'Expenditures 15-22'!E151</f>
        <v>3631861</v>
      </c>
      <c r="C1242" s="2" t="s">
        <v>572</v>
      </c>
      <c r="D1242" s="2" t="str">
        <f t="shared" si="18"/>
        <v>Error?</v>
      </c>
    </row>
    <row r="1243" spans="1:4" x14ac:dyDescent="0.2">
      <c r="A1243" s="5">
        <v>1182</v>
      </c>
      <c r="B1243" s="138">
        <f>'Expenditures 15-22'!F122</f>
        <v>4484</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2819813</v>
      </c>
      <c r="D1245" s="2" t="str">
        <f t="shared" si="18"/>
        <v>Error?</v>
      </c>
    </row>
    <row r="1246" spans="1:4" x14ac:dyDescent="0.2">
      <c r="A1246" s="10">
        <v>1185</v>
      </c>
      <c r="D1246" s="2" t="str">
        <f t="shared" si="18"/>
        <v>OK</v>
      </c>
    </row>
    <row r="1247" spans="1:4" x14ac:dyDescent="0.2">
      <c r="A1247" s="5">
        <v>1186</v>
      </c>
      <c r="B1247" s="138">
        <f>'Expenditures 15-22'!F127</f>
        <v>2824297</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2824297</v>
      </c>
      <c r="C1249" s="2" t="s">
        <v>572</v>
      </c>
      <c r="D1249" s="2" t="str">
        <f t="shared" si="18"/>
        <v>Error?</v>
      </c>
    </row>
    <row r="1250" spans="1:4" x14ac:dyDescent="0.2">
      <c r="A1250" s="5">
        <v>1189</v>
      </c>
      <c r="B1250" s="138">
        <f>'Expenditures 15-22'!F151</f>
        <v>2824297</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3399885</v>
      </c>
      <c r="D1252" s="2" t="str">
        <f t="shared" si="18"/>
        <v>Error?</v>
      </c>
    </row>
    <row r="1253" spans="1:4" x14ac:dyDescent="0.2">
      <c r="A1253" s="5">
        <v>1192</v>
      </c>
      <c r="B1253" s="138">
        <f>'Expenditures 15-22'!G124</f>
        <v>129602</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3529487</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3529487</v>
      </c>
      <c r="C1258" s="2" t="s">
        <v>572</v>
      </c>
      <c r="D1258" s="2" t="str">
        <f t="shared" si="18"/>
        <v>Error?</v>
      </c>
    </row>
    <row r="1259" spans="1:4" x14ac:dyDescent="0.2">
      <c r="A1259" s="5">
        <v>1198</v>
      </c>
      <c r="B1259" s="138">
        <f>'Expenditures 15-22'!G151</f>
        <v>3529487</v>
      </c>
      <c r="C1259" s="2" t="s">
        <v>572</v>
      </c>
      <c r="D1259" s="2" t="str">
        <f t="shared" si="18"/>
        <v>Error?</v>
      </c>
    </row>
    <row r="1260" spans="1:4" x14ac:dyDescent="0.2">
      <c r="A1260" s="5">
        <v>1199</v>
      </c>
      <c r="B1260" s="138">
        <f>'Expenditures 15-22'!H122</f>
        <v>36495</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36495</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36495</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36495</v>
      </c>
      <c r="C1273" s="2" t="s">
        <v>572</v>
      </c>
      <c r="D1273" s="2" t="str">
        <f t="shared" si="18"/>
        <v>Error?</v>
      </c>
    </row>
    <row r="1274" spans="1:4" x14ac:dyDescent="0.2">
      <c r="A1274" s="5">
        <v>1213</v>
      </c>
      <c r="B1274" s="138">
        <f>'Expenditures 15-22'!K122</f>
        <v>1150337</v>
      </c>
      <c r="C1274" s="2" t="s">
        <v>572</v>
      </c>
      <c r="D1274" s="2" t="str">
        <f t="shared" si="18"/>
        <v>Error?</v>
      </c>
    </row>
    <row r="1275" spans="1:4" x14ac:dyDescent="0.2">
      <c r="A1275" s="5">
        <v>1214</v>
      </c>
      <c r="B1275" s="138">
        <f>'Expenditures 15-22'!K123</f>
        <v>3843934</v>
      </c>
      <c r="C1275" s="2" t="s">
        <v>572</v>
      </c>
      <c r="D1275" s="2" t="str">
        <f t="shared" si="18"/>
        <v>Error?</v>
      </c>
    </row>
    <row r="1276" spans="1:4" x14ac:dyDescent="0.2">
      <c r="A1276" s="5">
        <v>1215</v>
      </c>
      <c r="B1276" s="138">
        <f>'Expenditures 15-22'!K124</f>
        <v>9839655</v>
      </c>
      <c r="C1276" s="2" t="s">
        <v>572</v>
      </c>
      <c r="D1276" s="2" t="str">
        <f t="shared" si="18"/>
        <v>Error?</v>
      </c>
    </row>
    <row r="1277" spans="1:4" x14ac:dyDescent="0.2">
      <c r="A1277" s="5">
        <v>1216</v>
      </c>
      <c r="B1277" s="138">
        <f>'Expenditures 15-22'!K126</f>
        <v>82033</v>
      </c>
      <c r="C1277" s="2" t="s">
        <v>572</v>
      </c>
      <c r="D1277" s="2" t="str">
        <f t="shared" si="18"/>
        <v>Error?</v>
      </c>
    </row>
    <row r="1278" spans="1:4" x14ac:dyDescent="0.2">
      <c r="A1278" s="10">
        <v>1217</v>
      </c>
      <c r="D1278" s="2" t="str">
        <f t="shared" si="18"/>
        <v>OK</v>
      </c>
    </row>
    <row r="1279" spans="1:4" x14ac:dyDescent="0.2">
      <c r="A1279" s="5">
        <v>1218</v>
      </c>
      <c r="B1279" s="138">
        <f>'Expenditures 15-22'!K127</f>
        <v>14915959</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14922023</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14922023</v>
      </c>
      <c r="C1288" s="2" t="s">
        <v>572</v>
      </c>
      <c r="D1288" s="2" t="str">
        <f t="shared" si="19"/>
        <v>Error?</v>
      </c>
    </row>
    <row r="1289" spans="1:4" x14ac:dyDescent="0.2">
      <c r="A1289" s="5">
        <v>1228</v>
      </c>
      <c r="B1289" s="138">
        <f>'Expenditures 15-22'!K152</f>
        <v>735875</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5976771</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9965000</v>
      </c>
      <c r="D1315" s="2" t="str">
        <f t="shared" si="19"/>
        <v>Error?</v>
      </c>
    </row>
    <row r="1316" spans="1:4" x14ac:dyDescent="0.2">
      <c r="A1316" s="5">
        <v>1255</v>
      </c>
      <c r="B1316" s="138">
        <f>'Expenditures 15-22'!H171</f>
        <v>255153</v>
      </c>
      <c r="D1316" s="2" t="str">
        <f t="shared" si="19"/>
        <v>Error?</v>
      </c>
    </row>
    <row r="1317" spans="1:4" x14ac:dyDescent="0.2">
      <c r="A1317" s="5">
        <v>1256</v>
      </c>
      <c r="B1317" s="138">
        <f>'Expenditures 15-22'!H172</f>
        <v>16196924</v>
      </c>
      <c r="C1317" s="2" t="s">
        <v>572</v>
      </c>
      <c r="D1317" s="2" t="str">
        <f t="shared" si="19"/>
        <v>Error?</v>
      </c>
    </row>
    <row r="1318" spans="1:4" x14ac:dyDescent="0.2">
      <c r="A1318" s="5">
        <v>1257</v>
      </c>
      <c r="B1318" s="138">
        <f>'Expenditures 15-22'!H174</f>
        <v>16196924</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5976771</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9965000</v>
      </c>
      <c r="C1329" s="2" t="s">
        <v>572</v>
      </c>
      <c r="D1329" s="2" t="str">
        <f t="shared" si="19"/>
        <v>Error?</v>
      </c>
    </row>
    <row r="1330" spans="1:4" x14ac:dyDescent="0.2">
      <c r="A1330" s="5">
        <v>1269</v>
      </c>
      <c r="B1330" s="138">
        <f>'Expenditures 15-22'!K171</f>
        <v>255153</v>
      </c>
      <c r="C1330" s="2" t="s">
        <v>572</v>
      </c>
      <c r="D1330" s="2" t="str">
        <f t="shared" si="19"/>
        <v>Error?</v>
      </c>
    </row>
    <row r="1331" spans="1:4" x14ac:dyDescent="0.2">
      <c r="A1331" s="5">
        <v>1270</v>
      </c>
      <c r="B1331" s="138">
        <f>'Expenditures 15-22'!K172</f>
        <v>16196924</v>
      </c>
      <c r="C1331" s="2" t="s">
        <v>572</v>
      </c>
      <c r="D1331" s="2" t="str">
        <f t="shared" si="19"/>
        <v>Error?</v>
      </c>
    </row>
    <row r="1332" spans="1:4" x14ac:dyDescent="0.2">
      <c r="A1332" s="5">
        <v>1271</v>
      </c>
      <c r="B1332" s="138">
        <f>'Expenditures 15-22'!K174</f>
        <v>16196924</v>
      </c>
      <c r="C1332" s="2" t="s">
        <v>572</v>
      </c>
      <c r="D1332" s="2" t="str">
        <f t="shared" si="19"/>
        <v>Error?</v>
      </c>
    </row>
    <row r="1333" spans="1:4" x14ac:dyDescent="0.2">
      <c r="A1333" s="5">
        <v>1272</v>
      </c>
      <c r="B1333" s="138">
        <f>'Expenditures 15-22'!K175</f>
        <v>-344563</v>
      </c>
      <c r="C1333" s="2" t="s">
        <v>572</v>
      </c>
      <c r="D1333" s="2" t="str">
        <f t="shared" si="19"/>
        <v>Error?</v>
      </c>
    </row>
    <row r="1334" spans="1:4" x14ac:dyDescent="0.2">
      <c r="A1334" s="10">
        <v>1273</v>
      </c>
      <c r="D1334" s="2" t="str">
        <f t="shared" si="19"/>
        <v>OK</v>
      </c>
    </row>
    <row r="1335" spans="1:4" x14ac:dyDescent="0.2">
      <c r="A1335" s="5">
        <v>1274</v>
      </c>
      <c r="B1335" s="138">
        <f>'Expenditures 15-22'!C182</f>
        <v>3147122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3147122</v>
      </c>
      <c r="C1339" s="2" t="s">
        <v>572</v>
      </c>
      <c r="D1339" s="2" t="str">
        <f t="shared" si="19"/>
        <v>Error?</v>
      </c>
    </row>
    <row r="1340" spans="1:4" x14ac:dyDescent="0.2">
      <c r="A1340" s="5">
        <v>1279</v>
      </c>
      <c r="B1340" s="138">
        <f>'Expenditures 15-22'!C210</f>
        <v>3147122</v>
      </c>
      <c r="C1340" s="2" t="s">
        <v>572</v>
      </c>
      <c r="D1340" s="2" t="str">
        <f t="shared" si="19"/>
        <v>Error?</v>
      </c>
    </row>
    <row r="1341" spans="1:4" x14ac:dyDescent="0.2">
      <c r="A1341" s="5">
        <v>1280</v>
      </c>
      <c r="B1341" s="138">
        <f>'Expenditures 15-22'!D182</f>
        <v>693934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693934</v>
      </c>
      <c r="C1345" s="2" t="s">
        <v>572</v>
      </c>
      <c r="D1345" s="2" t="str">
        <f t="shared" si="20"/>
        <v>Error?</v>
      </c>
    </row>
    <row r="1346" spans="1:4" x14ac:dyDescent="0.2">
      <c r="A1346" s="5">
        <v>1285</v>
      </c>
      <c r="B1346" s="138">
        <f>'Expenditures 15-22'!D210</f>
        <v>693934</v>
      </c>
      <c r="C1346" s="2" t="s">
        <v>572</v>
      </c>
      <c r="D1346" s="2" t="str">
        <f t="shared" si="20"/>
        <v>Error?</v>
      </c>
    </row>
    <row r="1347" spans="1:4" x14ac:dyDescent="0.2">
      <c r="A1347" s="5">
        <v>1286</v>
      </c>
      <c r="B1347" s="138">
        <f>'Expenditures 15-22'!E182</f>
        <v>3012208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3012208</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3012208</v>
      </c>
      <c r="C1353" s="2" t="s">
        <v>572</v>
      </c>
      <c r="D1353" s="2" t="str">
        <f t="shared" si="20"/>
        <v>Error?</v>
      </c>
    </row>
    <row r="1354" spans="1:4" x14ac:dyDescent="0.2">
      <c r="A1354" s="5">
        <v>1293</v>
      </c>
      <c r="B1354" s="138">
        <f>'Expenditures 15-22'!F182</f>
        <v>406045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406045</v>
      </c>
      <c r="C1358" s="2" t="s">
        <v>572</v>
      </c>
      <c r="D1358" s="2" t="str">
        <f t="shared" si="20"/>
        <v>Error?</v>
      </c>
    </row>
    <row r="1359" spans="1:4" x14ac:dyDescent="0.2">
      <c r="A1359" s="5">
        <v>1298</v>
      </c>
      <c r="B1359" s="138">
        <f>'Expenditures 15-22'!F210</f>
        <v>406045</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1112541</v>
      </c>
      <c r="C1375" s="2" t="s">
        <v>572</v>
      </c>
      <c r="D1375" s="2" t="str">
        <f t="shared" si="20"/>
        <v>Error?</v>
      </c>
    </row>
    <row r="1376" spans="1:4" x14ac:dyDescent="0.2">
      <c r="A1376" s="5">
        <v>1315</v>
      </c>
      <c r="B1376" s="138">
        <f>'Expenditures 15-22'!H210</f>
        <v>1112541</v>
      </c>
      <c r="C1376" s="2" t="s">
        <v>572</v>
      </c>
      <c r="D1376" s="2" t="str">
        <f t="shared" si="20"/>
        <v>Error?</v>
      </c>
    </row>
    <row r="1377" spans="1:4" x14ac:dyDescent="0.2">
      <c r="A1377" s="5">
        <v>1316</v>
      </c>
      <c r="B1377" s="138">
        <f>'Expenditures 15-22'!K182</f>
        <v>7259309</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7259309</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1112541</v>
      </c>
      <c r="C1387" s="2" t="s">
        <v>572</v>
      </c>
      <c r="D1387" s="2" t="str">
        <f t="shared" si="20"/>
        <v>Error?</v>
      </c>
    </row>
    <row r="1388" spans="1:4" x14ac:dyDescent="0.2">
      <c r="A1388" s="5">
        <v>1327</v>
      </c>
      <c r="B1388" s="138">
        <f>'Expenditures 15-22'!K210</f>
        <v>8371850</v>
      </c>
      <c r="C1388" s="2" t="s">
        <v>572</v>
      </c>
      <c r="D1388" s="2" t="str">
        <f t="shared" si="20"/>
        <v>Error?</v>
      </c>
    </row>
    <row r="1389" spans="1:4" x14ac:dyDescent="0.2">
      <c r="A1389" s="5">
        <v>1328</v>
      </c>
      <c r="B1389" s="138">
        <f>'Expenditures 15-22'!K211</f>
        <v>2017970</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4346</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114218</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4013</v>
      </c>
      <c r="D1407" s="2" t="str">
        <f t="shared" ref="D1407:D1470" si="21">IF(ISBLANK(B1407),"OK",IF(A1407-B1407=0,"OK","Error?"))</f>
        <v>Error?</v>
      </c>
    </row>
    <row r="1408" spans="1:4" x14ac:dyDescent="0.2">
      <c r="A1408" s="5">
        <v>1347</v>
      </c>
      <c r="B1408" s="138">
        <f>'Expenditures 15-22'!D223</f>
        <v>60148</v>
      </c>
      <c r="D1408" s="2" t="str">
        <f t="shared" si="21"/>
        <v>Error?</v>
      </c>
    </row>
    <row r="1409" spans="1:4" x14ac:dyDescent="0.2">
      <c r="A1409" s="5">
        <v>1348</v>
      </c>
      <c r="B1409" s="138">
        <f>'Expenditures 15-22'!D224</f>
        <v>18109</v>
      </c>
      <c r="D1409" s="2" t="str">
        <f t="shared" si="21"/>
        <v>Error?</v>
      </c>
    </row>
    <row r="1410" spans="1:4" x14ac:dyDescent="0.2">
      <c r="A1410" s="5">
        <v>1349</v>
      </c>
      <c r="B1410" s="138">
        <f>'Expenditures 15-22'!D229</f>
        <v>1728707</v>
      </c>
      <c r="C1410" s="2" t="s">
        <v>572</v>
      </c>
      <c r="D1410" s="2" t="str">
        <f t="shared" si="21"/>
        <v>Error?</v>
      </c>
    </row>
    <row r="1411" spans="1:4" x14ac:dyDescent="0.2">
      <c r="A1411" s="5">
        <v>1350</v>
      </c>
      <c r="B1411" s="138">
        <f>'Expenditures 15-22'!D232</f>
        <v>100141</v>
      </c>
      <c r="D1411" s="2" t="str">
        <f t="shared" si="21"/>
        <v>Error?</v>
      </c>
    </row>
    <row r="1412" spans="1:4" x14ac:dyDescent="0.2">
      <c r="A1412" s="5">
        <v>1351</v>
      </c>
      <c r="B1412" s="138">
        <f>'Expenditures 15-22'!D233</f>
        <v>38518</v>
      </c>
      <c r="D1412" s="2" t="str">
        <f t="shared" si="21"/>
        <v>Error?</v>
      </c>
    </row>
    <row r="1413" spans="1:4" x14ac:dyDescent="0.2">
      <c r="A1413" s="5">
        <v>1352</v>
      </c>
      <c r="B1413" s="138">
        <f>'Expenditures 15-22'!D234</f>
        <v>111147</v>
      </c>
      <c r="D1413" s="2" t="str">
        <f t="shared" si="21"/>
        <v>Error?</v>
      </c>
    </row>
    <row r="1414" spans="1:4" x14ac:dyDescent="0.2">
      <c r="A1414" s="5">
        <v>1353</v>
      </c>
      <c r="B1414" s="138">
        <f>'Expenditures 15-22'!D235</f>
        <v>17386</v>
      </c>
      <c r="D1414" s="2" t="str">
        <f t="shared" si="21"/>
        <v>Error?</v>
      </c>
    </row>
    <row r="1415" spans="1:4" x14ac:dyDescent="0.2">
      <c r="A1415" s="5">
        <v>1354</v>
      </c>
      <c r="B1415" s="138">
        <f>'Expenditures 15-22'!D236</f>
        <v>57530</v>
      </c>
      <c r="D1415" s="2" t="str">
        <f t="shared" si="21"/>
        <v>Error?</v>
      </c>
    </row>
    <row r="1416" spans="1:4" x14ac:dyDescent="0.2">
      <c r="A1416" s="5">
        <v>1355</v>
      </c>
      <c r="B1416" s="138">
        <f>'Expenditures 15-22'!D237</f>
        <v>6298</v>
      </c>
      <c r="D1416" s="2" t="str">
        <f t="shared" si="21"/>
        <v>Error?</v>
      </c>
    </row>
    <row r="1417" spans="1:4" x14ac:dyDescent="0.2">
      <c r="A1417" s="5">
        <v>1356</v>
      </c>
      <c r="B1417" s="138">
        <f>'Expenditures 15-22'!D238</f>
        <v>331020</v>
      </c>
      <c r="C1417" s="2" t="s">
        <v>572</v>
      </c>
      <c r="D1417" s="2" t="str">
        <f t="shared" si="21"/>
        <v>Error?</v>
      </c>
    </row>
    <row r="1418" spans="1:4" x14ac:dyDescent="0.2">
      <c r="A1418" s="5">
        <v>1357</v>
      </c>
      <c r="B1418" s="138">
        <f>'Expenditures 15-22'!D240</f>
        <v>78615</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3068</v>
      </c>
      <c r="D1420" s="2" t="str">
        <f t="shared" si="21"/>
        <v>Error?</v>
      </c>
    </row>
    <row r="1421" spans="1:4" x14ac:dyDescent="0.2">
      <c r="A1421" s="5">
        <v>1360</v>
      </c>
      <c r="B1421" s="138">
        <f>'Expenditures 15-22'!D243</f>
        <v>81683</v>
      </c>
      <c r="C1421" s="2" t="s">
        <v>572</v>
      </c>
      <c r="D1421" s="2" t="str">
        <f t="shared" si="21"/>
        <v>Error?</v>
      </c>
    </row>
    <row r="1422" spans="1:4" x14ac:dyDescent="0.2">
      <c r="A1422" s="5">
        <v>1361</v>
      </c>
      <c r="B1422" s="138">
        <f>'Expenditures 15-22'!D245</f>
        <v>17997</v>
      </c>
      <c r="D1422" s="2" t="str">
        <f t="shared" si="21"/>
        <v>Error?</v>
      </c>
    </row>
    <row r="1423" spans="1:4" x14ac:dyDescent="0.2">
      <c r="A1423" s="5">
        <v>1362</v>
      </c>
      <c r="B1423" s="138">
        <f>'Expenditures 15-22'!D246</f>
        <v>3399</v>
      </c>
      <c r="D1423" s="2" t="str">
        <f t="shared" si="21"/>
        <v>Error?</v>
      </c>
    </row>
    <row r="1424" spans="1:4" x14ac:dyDescent="0.2">
      <c r="A1424" s="5">
        <v>1363</v>
      </c>
      <c r="B1424" s="138">
        <f>'Expenditures 15-22'!D257</f>
        <v>38947</v>
      </c>
      <c r="C1424" s="2" t="s">
        <v>572</v>
      </c>
      <c r="D1424" s="2" t="str">
        <f t="shared" si="21"/>
        <v>Error?</v>
      </c>
    </row>
    <row r="1425" spans="1:4" x14ac:dyDescent="0.2">
      <c r="A1425" s="5">
        <v>1364</v>
      </c>
      <c r="B1425" s="138">
        <f>'Expenditures 15-22'!D259</f>
        <v>242545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242545</v>
      </c>
      <c r="C1427" s="2" t="s">
        <v>572</v>
      </c>
      <c r="D1427" s="2" t="str">
        <f t="shared" si="21"/>
        <v>Error?</v>
      </c>
    </row>
    <row r="1428" spans="1:4" x14ac:dyDescent="0.2">
      <c r="A1428" s="5">
        <v>1367</v>
      </c>
      <c r="B1428" s="138">
        <f>'Expenditures 15-22'!D263</f>
        <v>22568</v>
      </c>
      <c r="D1428" s="2" t="str">
        <f t="shared" si="21"/>
        <v>Error?</v>
      </c>
    </row>
    <row r="1429" spans="1:4" x14ac:dyDescent="0.2">
      <c r="A1429" s="5">
        <v>1368</v>
      </c>
      <c r="B1429" s="138">
        <f>'Expenditures 15-22'!D264</f>
        <v>66933</v>
      </c>
      <c r="D1429" s="2" t="str">
        <f t="shared" si="21"/>
        <v>Error?</v>
      </c>
    </row>
    <row r="1430" spans="1:4" x14ac:dyDescent="0.2">
      <c r="A1430" s="5">
        <v>1369</v>
      </c>
      <c r="B1430" s="138">
        <f>'Expenditures 15-22'!D265</f>
        <v>23826</v>
      </c>
      <c r="D1430" s="2" t="str">
        <f t="shared" si="21"/>
        <v>Error?</v>
      </c>
    </row>
    <row r="1431" spans="1:4" x14ac:dyDescent="0.2">
      <c r="A1431" s="5">
        <v>1370</v>
      </c>
      <c r="B1431" s="138">
        <f>'Expenditures 15-22'!D266</f>
        <v>760915</v>
      </c>
      <c r="D1431" s="2" t="str">
        <f t="shared" si="21"/>
        <v>Error?</v>
      </c>
    </row>
    <row r="1432" spans="1:4" x14ac:dyDescent="0.2">
      <c r="A1432" s="5">
        <v>1371</v>
      </c>
      <c r="B1432" s="138">
        <f>'Expenditures 15-22'!D267</f>
        <v>532676</v>
      </c>
      <c r="D1432" s="2" t="str">
        <f t="shared" si="21"/>
        <v>Error?</v>
      </c>
    </row>
    <row r="1433" spans="1:4" x14ac:dyDescent="0.2">
      <c r="A1433" s="5">
        <v>1372</v>
      </c>
      <c r="B1433" s="138">
        <f>'Expenditures 15-22'!D268</f>
        <v>29313</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1436231</v>
      </c>
      <c r="C1436" s="2" t="s">
        <v>572</v>
      </c>
      <c r="D1436" s="2" t="str">
        <f t="shared" si="21"/>
        <v>Error?</v>
      </c>
    </row>
    <row r="1437" spans="1:4" x14ac:dyDescent="0.2">
      <c r="A1437" s="5">
        <v>1376</v>
      </c>
      <c r="B1437" s="138">
        <f>'Expenditures 15-22'!D272</f>
        <v>10311</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35315</v>
      </c>
      <c r="D1439" s="2" t="str">
        <f t="shared" si="21"/>
        <v>Error?</v>
      </c>
    </row>
    <row r="1440" spans="1:4" x14ac:dyDescent="0.2">
      <c r="A1440" s="5">
        <v>1379</v>
      </c>
      <c r="B1440" s="138">
        <f>'Expenditures 15-22'!D275</f>
        <v>51836</v>
      </c>
      <c r="D1440" s="2" t="str">
        <f t="shared" si="21"/>
        <v>Error?</v>
      </c>
    </row>
    <row r="1441" spans="1:4" x14ac:dyDescent="0.2">
      <c r="A1441" s="10">
        <v>1380</v>
      </c>
      <c r="D1441" s="2" t="str">
        <f t="shared" si="21"/>
        <v>OK</v>
      </c>
    </row>
    <row r="1442" spans="1:4" x14ac:dyDescent="0.2">
      <c r="A1442" s="5">
        <v>1381</v>
      </c>
      <c r="B1442" s="138">
        <f>'Expenditures 15-22'!D276</f>
        <v>183655</v>
      </c>
      <c r="D1442" s="2" t="str">
        <f t="shared" si="21"/>
        <v>Error?</v>
      </c>
    </row>
    <row r="1443" spans="1:4" x14ac:dyDescent="0.2">
      <c r="A1443" s="10">
        <v>1382</v>
      </c>
      <c r="D1443" s="2" t="str">
        <f t="shared" si="21"/>
        <v>OK</v>
      </c>
    </row>
    <row r="1444" spans="1:4" x14ac:dyDescent="0.2">
      <c r="A1444" s="5">
        <v>1383</v>
      </c>
      <c r="B1444" s="138">
        <f>'Expenditures 15-22'!D277</f>
        <v>281117</v>
      </c>
      <c r="C1444" s="2" t="s">
        <v>572</v>
      </c>
      <c r="D1444" s="2" t="str">
        <f t="shared" si="21"/>
        <v>Error?</v>
      </c>
    </row>
    <row r="1445" spans="1:4" x14ac:dyDescent="0.2">
      <c r="A1445" s="5">
        <v>1384</v>
      </c>
      <c r="B1445" s="138">
        <f>'Expenditures 15-22'!D278</f>
        <v>7171</v>
      </c>
      <c r="D1445" s="2" t="str">
        <f t="shared" si="21"/>
        <v>Error?</v>
      </c>
    </row>
    <row r="1446" spans="1:4" x14ac:dyDescent="0.2">
      <c r="A1446" s="5">
        <v>1385</v>
      </c>
      <c r="B1446" s="138">
        <f>'Expenditures 15-22'!D279</f>
        <v>2418714</v>
      </c>
      <c r="C1446" s="2" t="s">
        <v>572</v>
      </c>
      <c r="D1446" s="2" t="str">
        <f t="shared" si="21"/>
        <v>Error?</v>
      </c>
    </row>
    <row r="1447" spans="1:4" x14ac:dyDescent="0.2">
      <c r="A1447" s="5">
        <v>1386</v>
      </c>
      <c r="B1447" s="138">
        <f>'Expenditures 15-22'!D280</f>
        <v>87240</v>
      </c>
      <c r="D1447" s="2" t="str">
        <f t="shared" si="21"/>
        <v>Error?</v>
      </c>
    </row>
    <row r="1448" spans="1:4" x14ac:dyDescent="0.2">
      <c r="A1448" s="5">
        <v>1387</v>
      </c>
      <c r="B1448" s="138">
        <f>'Expenditures 15-22'!D295</f>
        <v>4234661</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4346</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114218</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4013</v>
      </c>
      <c r="C1471" s="2" t="s">
        <v>572</v>
      </c>
      <c r="D1471" s="2" t="str">
        <f t="shared" ref="D1471:D1534" si="22">IF(ISBLANK(B1471),"OK",IF(A1471-B1471=0,"OK","Error?"))</f>
        <v>Error?</v>
      </c>
    </row>
    <row r="1472" spans="1:4" x14ac:dyDescent="0.2">
      <c r="A1472" s="5">
        <v>1411</v>
      </c>
      <c r="B1472" s="138">
        <f>'Expenditures 15-22'!K223</f>
        <v>60148</v>
      </c>
      <c r="C1472" s="2" t="s">
        <v>572</v>
      </c>
      <c r="D1472" s="2" t="str">
        <f t="shared" si="22"/>
        <v>Error?</v>
      </c>
    </row>
    <row r="1473" spans="1:4" x14ac:dyDescent="0.2">
      <c r="A1473" s="5">
        <v>1412</v>
      </c>
      <c r="B1473" s="138">
        <f>'Expenditures 15-22'!K224</f>
        <v>18109</v>
      </c>
      <c r="C1473" s="2" t="s">
        <v>572</v>
      </c>
      <c r="D1473" s="2" t="str">
        <f t="shared" si="22"/>
        <v>Error?</v>
      </c>
    </row>
    <row r="1474" spans="1:4" x14ac:dyDescent="0.2">
      <c r="A1474" s="5">
        <v>1413</v>
      </c>
      <c r="B1474" s="138">
        <f>'Expenditures 15-22'!K229</f>
        <v>1728707</v>
      </c>
      <c r="C1474" s="2" t="s">
        <v>572</v>
      </c>
      <c r="D1474" s="2" t="str">
        <f t="shared" si="22"/>
        <v>Error?</v>
      </c>
    </row>
    <row r="1475" spans="1:4" x14ac:dyDescent="0.2">
      <c r="A1475" s="5">
        <v>1414</v>
      </c>
      <c r="B1475" s="138">
        <f>'Expenditures 15-22'!K232</f>
        <v>100141</v>
      </c>
      <c r="C1475" s="2" t="s">
        <v>572</v>
      </c>
      <c r="D1475" s="2" t="str">
        <f t="shared" si="22"/>
        <v>Error?</v>
      </c>
    </row>
    <row r="1476" spans="1:4" x14ac:dyDescent="0.2">
      <c r="A1476" s="5">
        <v>1415</v>
      </c>
      <c r="B1476" s="138">
        <f>'Expenditures 15-22'!K233</f>
        <v>38518</v>
      </c>
      <c r="C1476" s="2" t="s">
        <v>572</v>
      </c>
      <c r="D1476" s="2" t="str">
        <f t="shared" si="22"/>
        <v>Error?</v>
      </c>
    </row>
    <row r="1477" spans="1:4" x14ac:dyDescent="0.2">
      <c r="A1477" s="5">
        <v>1416</v>
      </c>
      <c r="B1477" s="138">
        <f>'Expenditures 15-22'!K234</f>
        <v>111147</v>
      </c>
      <c r="C1477" s="2" t="s">
        <v>572</v>
      </c>
      <c r="D1477" s="2" t="str">
        <f t="shared" si="22"/>
        <v>Error?</v>
      </c>
    </row>
    <row r="1478" spans="1:4" x14ac:dyDescent="0.2">
      <c r="A1478" s="5">
        <v>1417</v>
      </c>
      <c r="B1478" s="138">
        <f>'Expenditures 15-22'!K235</f>
        <v>17386</v>
      </c>
      <c r="C1478" s="2" t="s">
        <v>572</v>
      </c>
      <c r="D1478" s="2" t="str">
        <f t="shared" si="22"/>
        <v>Error?</v>
      </c>
    </row>
    <row r="1479" spans="1:4" x14ac:dyDescent="0.2">
      <c r="A1479" s="5">
        <v>1418</v>
      </c>
      <c r="B1479" s="138">
        <f>'Expenditures 15-22'!K236</f>
        <v>57530</v>
      </c>
      <c r="C1479" s="2" t="s">
        <v>572</v>
      </c>
      <c r="D1479" s="2" t="str">
        <f t="shared" si="22"/>
        <v>Error?</v>
      </c>
    </row>
    <row r="1480" spans="1:4" x14ac:dyDescent="0.2">
      <c r="A1480" s="5">
        <v>1419</v>
      </c>
      <c r="B1480" s="138">
        <f>'Expenditures 15-22'!K237</f>
        <v>6298</v>
      </c>
      <c r="C1480" s="2" t="s">
        <v>572</v>
      </c>
      <c r="D1480" s="2" t="str">
        <f t="shared" si="22"/>
        <v>Error?</v>
      </c>
    </row>
    <row r="1481" spans="1:4" x14ac:dyDescent="0.2">
      <c r="A1481" s="5">
        <v>1420</v>
      </c>
      <c r="B1481" s="138">
        <f>'Expenditures 15-22'!K238</f>
        <v>331020</v>
      </c>
      <c r="C1481" s="2" t="s">
        <v>572</v>
      </c>
      <c r="D1481" s="2" t="str">
        <f t="shared" si="22"/>
        <v>Error?</v>
      </c>
    </row>
    <row r="1482" spans="1:4" x14ac:dyDescent="0.2">
      <c r="A1482" s="5">
        <v>1421</v>
      </c>
      <c r="B1482" s="138">
        <f>'Expenditures 15-22'!K240</f>
        <v>78615</v>
      </c>
      <c r="C1482" s="2" t="s">
        <v>572</v>
      </c>
      <c r="D1482" s="2" t="str">
        <f t="shared" si="22"/>
        <v>Error?</v>
      </c>
    </row>
    <row r="1483" spans="1:4" x14ac:dyDescent="0.2">
      <c r="A1483" s="5">
        <v>1422</v>
      </c>
      <c r="B1483" s="138">
        <f>'Expenditures 15-22'!K241</f>
        <v>0</v>
      </c>
      <c r="C1483" s="2" t="s">
        <v>572</v>
      </c>
      <c r="D1483" s="2" t="str">
        <f t="shared" si="22"/>
        <v>Error?</v>
      </c>
    </row>
    <row r="1484" spans="1:4" x14ac:dyDescent="0.2">
      <c r="A1484" s="5">
        <v>1423</v>
      </c>
      <c r="B1484" s="138">
        <f>'Expenditures 15-22'!K242</f>
        <v>3068</v>
      </c>
      <c r="C1484" s="2" t="s">
        <v>572</v>
      </c>
      <c r="D1484" s="2" t="str">
        <f t="shared" si="22"/>
        <v>Error?</v>
      </c>
    </row>
    <row r="1485" spans="1:4" x14ac:dyDescent="0.2">
      <c r="A1485" s="5">
        <v>1424</v>
      </c>
      <c r="B1485" s="138">
        <f>'Expenditures 15-22'!K243</f>
        <v>81683</v>
      </c>
      <c r="C1485" s="2" t="s">
        <v>572</v>
      </c>
      <c r="D1485" s="2" t="str">
        <f t="shared" si="22"/>
        <v>Error?</v>
      </c>
    </row>
    <row r="1486" spans="1:4" x14ac:dyDescent="0.2">
      <c r="A1486" s="5">
        <v>1425</v>
      </c>
      <c r="B1486" s="138">
        <f>'Expenditures 15-22'!K245</f>
        <v>17997</v>
      </c>
      <c r="C1486" s="2" t="s">
        <v>572</v>
      </c>
      <c r="D1486" s="2" t="str">
        <f t="shared" si="22"/>
        <v>Error?</v>
      </c>
    </row>
    <row r="1487" spans="1:4" x14ac:dyDescent="0.2">
      <c r="A1487" s="5">
        <v>1426</v>
      </c>
      <c r="B1487" s="138">
        <f>'Expenditures 15-22'!K246</f>
        <v>3399</v>
      </c>
      <c r="C1487" s="2" t="s">
        <v>572</v>
      </c>
      <c r="D1487" s="2" t="str">
        <f t="shared" si="22"/>
        <v>Error?</v>
      </c>
    </row>
    <row r="1488" spans="1:4" x14ac:dyDescent="0.2">
      <c r="A1488" s="5">
        <v>1427</v>
      </c>
      <c r="B1488" s="138">
        <f>'Expenditures 15-22'!K257</f>
        <v>38947</v>
      </c>
      <c r="C1488" s="2" t="s">
        <v>572</v>
      </c>
      <c r="D1488" s="2" t="str">
        <f t="shared" si="22"/>
        <v>Error?</v>
      </c>
    </row>
    <row r="1489" spans="1:4" x14ac:dyDescent="0.2">
      <c r="A1489" s="5">
        <v>1428</v>
      </c>
      <c r="B1489" s="138">
        <f>'Expenditures 15-22'!K259</f>
        <v>242545</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242545</v>
      </c>
      <c r="C1491" s="2" t="s">
        <v>572</v>
      </c>
      <c r="D1491" s="2" t="str">
        <f t="shared" si="22"/>
        <v>Error?</v>
      </c>
    </row>
    <row r="1492" spans="1:4" x14ac:dyDescent="0.2">
      <c r="A1492" s="5">
        <v>1431</v>
      </c>
      <c r="B1492" s="138">
        <f>'Expenditures 15-22'!K263</f>
        <v>22568</v>
      </c>
      <c r="C1492" s="2" t="s">
        <v>572</v>
      </c>
      <c r="D1492" s="2" t="str">
        <f t="shared" si="22"/>
        <v>Error?</v>
      </c>
    </row>
    <row r="1493" spans="1:4" x14ac:dyDescent="0.2">
      <c r="A1493" s="5">
        <v>1432</v>
      </c>
      <c r="B1493" s="138">
        <f>'Expenditures 15-22'!K264</f>
        <v>66933</v>
      </c>
      <c r="C1493" s="2" t="s">
        <v>572</v>
      </c>
      <c r="D1493" s="2" t="str">
        <f t="shared" si="22"/>
        <v>Error?</v>
      </c>
    </row>
    <row r="1494" spans="1:4" x14ac:dyDescent="0.2">
      <c r="A1494" s="5">
        <v>1433</v>
      </c>
      <c r="B1494" s="138">
        <f>'Expenditures 15-22'!K265</f>
        <v>23826</v>
      </c>
      <c r="C1494" s="2" t="s">
        <v>572</v>
      </c>
      <c r="D1494" s="2" t="str">
        <f t="shared" si="22"/>
        <v>Error?</v>
      </c>
    </row>
    <row r="1495" spans="1:4" x14ac:dyDescent="0.2">
      <c r="A1495" s="5">
        <v>1434</v>
      </c>
      <c r="B1495" s="138">
        <f>'Expenditures 15-22'!K266</f>
        <v>760915</v>
      </c>
      <c r="C1495" s="2" t="s">
        <v>572</v>
      </c>
      <c r="D1495" s="2" t="str">
        <f t="shared" si="22"/>
        <v>Error?</v>
      </c>
    </row>
    <row r="1496" spans="1:4" x14ac:dyDescent="0.2">
      <c r="A1496" s="5">
        <v>1435</v>
      </c>
      <c r="B1496" s="138">
        <f>'Expenditures 15-22'!K267</f>
        <v>532676</v>
      </c>
      <c r="C1496" s="2" t="s">
        <v>572</v>
      </c>
      <c r="D1496" s="2" t="str">
        <f t="shared" si="22"/>
        <v>Error?</v>
      </c>
    </row>
    <row r="1497" spans="1:4" x14ac:dyDescent="0.2">
      <c r="A1497" s="5">
        <v>1436</v>
      </c>
      <c r="B1497" s="138">
        <f>'Expenditures 15-22'!K268</f>
        <v>29313</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1436231</v>
      </c>
      <c r="C1500" s="2" t="s">
        <v>572</v>
      </c>
      <c r="D1500" s="2" t="str">
        <f t="shared" si="22"/>
        <v>Error?</v>
      </c>
    </row>
    <row r="1501" spans="1:4" x14ac:dyDescent="0.2">
      <c r="A1501" s="5">
        <v>1440</v>
      </c>
      <c r="B1501" s="138">
        <f>'Expenditures 15-22'!K272</f>
        <v>10311</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35315</v>
      </c>
      <c r="C1503" s="2" t="s">
        <v>572</v>
      </c>
      <c r="D1503" s="2" t="str">
        <f t="shared" si="22"/>
        <v>Error?</v>
      </c>
    </row>
    <row r="1504" spans="1:4" x14ac:dyDescent="0.2">
      <c r="A1504" s="5">
        <v>1443</v>
      </c>
      <c r="B1504" s="138">
        <f>'Expenditures 15-22'!K275</f>
        <v>51836</v>
      </c>
      <c r="C1504" s="2" t="s">
        <v>572</v>
      </c>
      <c r="D1504" s="2" t="str">
        <f t="shared" si="22"/>
        <v>Error?</v>
      </c>
    </row>
    <row r="1505" spans="1:4" x14ac:dyDescent="0.2">
      <c r="A1505" s="10">
        <v>1444</v>
      </c>
      <c r="D1505" s="2" t="str">
        <f t="shared" si="22"/>
        <v>OK</v>
      </c>
    </row>
    <row r="1506" spans="1:4" x14ac:dyDescent="0.2">
      <c r="A1506" s="5">
        <v>1445</v>
      </c>
      <c r="B1506" s="138">
        <f>'Expenditures 15-22'!K276</f>
        <v>183655</v>
      </c>
      <c r="C1506" s="2" t="s">
        <v>572</v>
      </c>
      <c r="D1506" s="2" t="str">
        <f t="shared" si="22"/>
        <v>Error?</v>
      </c>
    </row>
    <row r="1507" spans="1:4" x14ac:dyDescent="0.2">
      <c r="A1507" s="10">
        <v>1446</v>
      </c>
      <c r="D1507" s="2" t="str">
        <f t="shared" si="22"/>
        <v>OK</v>
      </c>
    </row>
    <row r="1508" spans="1:4" x14ac:dyDescent="0.2">
      <c r="A1508" s="5">
        <v>1447</v>
      </c>
      <c r="B1508" s="138">
        <f>'Expenditures 15-22'!K277</f>
        <v>281117</v>
      </c>
      <c r="C1508" s="2" t="s">
        <v>572</v>
      </c>
      <c r="D1508" s="2" t="str">
        <f t="shared" si="22"/>
        <v>Error?</v>
      </c>
    </row>
    <row r="1509" spans="1:4" x14ac:dyDescent="0.2">
      <c r="A1509" s="5">
        <v>1448</v>
      </c>
      <c r="B1509" s="138">
        <f>'Expenditures 15-22'!K278</f>
        <v>7171</v>
      </c>
      <c r="C1509" s="2" t="s">
        <v>572</v>
      </c>
      <c r="D1509" s="2" t="str">
        <f t="shared" si="22"/>
        <v>Error?</v>
      </c>
    </row>
    <row r="1510" spans="1:4" x14ac:dyDescent="0.2">
      <c r="A1510" s="5">
        <v>1449</v>
      </c>
      <c r="B1510" s="138">
        <f>'Expenditures 15-22'!K279</f>
        <v>2418714</v>
      </c>
      <c r="C1510" s="2" t="s">
        <v>572</v>
      </c>
      <c r="D1510" s="2" t="str">
        <f t="shared" si="22"/>
        <v>Error?</v>
      </c>
    </row>
    <row r="1511" spans="1:4" x14ac:dyDescent="0.2">
      <c r="A1511" s="5">
        <v>1450</v>
      </c>
      <c r="B1511" s="138">
        <f>'Expenditures 15-22'!K280</f>
        <v>87240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4234661</v>
      </c>
      <c r="C1517" s="2" t="s">
        <v>572</v>
      </c>
      <c r="D1517" s="2" t="str">
        <f t="shared" si="22"/>
        <v>Error?</v>
      </c>
    </row>
    <row r="1518" spans="1:4" x14ac:dyDescent="0.2">
      <c r="A1518" s="5">
        <v>1457</v>
      </c>
      <c r="B1518" s="138">
        <f>'Expenditures 15-22'!K296</f>
        <v>189756</v>
      </c>
      <c r="C1518" s="2" t="s">
        <v>572</v>
      </c>
      <c r="D1518" s="2" t="str">
        <f t="shared" si="22"/>
        <v>Error?</v>
      </c>
    </row>
    <row r="1519" spans="1:4" x14ac:dyDescent="0.2">
      <c r="A1519" s="5">
        <v>1458</v>
      </c>
      <c r="B1519" s="138">
        <f>'Expenditures 15-22'!C301</f>
        <v>239280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239280</v>
      </c>
      <c r="C1523" s="2" t="s">
        <v>572</v>
      </c>
      <c r="D1523" s="2" t="str">
        <f t="shared" si="22"/>
        <v>Error?</v>
      </c>
    </row>
    <row r="1524" spans="1:4" x14ac:dyDescent="0.2">
      <c r="A1524" s="5">
        <v>1463</v>
      </c>
      <c r="B1524" s="138">
        <f>'Expenditures 15-22'!C312</f>
        <v>239280</v>
      </c>
      <c r="C1524" s="2" t="s">
        <v>572</v>
      </c>
      <c r="D1524" s="2" t="str">
        <f t="shared" si="22"/>
        <v>Error?</v>
      </c>
    </row>
    <row r="1525" spans="1:4" x14ac:dyDescent="0.2">
      <c r="A1525" s="5">
        <v>1464</v>
      </c>
      <c r="B1525" s="138">
        <f>'Expenditures 15-22'!D301</f>
        <v>44642</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44642</v>
      </c>
      <c r="C1529" s="2" t="s">
        <v>572</v>
      </c>
      <c r="D1529" s="2" t="str">
        <f t="shared" si="22"/>
        <v>Error?</v>
      </c>
    </row>
    <row r="1530" spans="1:4" x14ac:dyDescent="0.2">
      <c r="A1530" s="5">
        <v>1469</v>
      </c>
      <c r="B1530" s="138">
        <f>'Expenditures 15-22'!D312</f>
        <v>44642</v>
      </c>
      <c r="C1530" s="2" t="s">
        <v>572</v>
      </c>
      <c r="D1530" s="2" t="str">
        <f t="shared" si="22"/>
        <v>Error?</v>
      </c>
    </row>
    <row r="1531" spans="1:4" x14ac:dyDescent="0.2">
      <c r="A1531" s="5">
        <v>1470</v>
      </c>
      <c r="B1531" s="138">
        <f>'Expenditures 15-22'!E301</f>
        <v>618930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618930</v>
      </c>
      <c r="C1535" s="2" t="s">
        <v>572</v>
      </c>
      <c r="D1535" s="2" t="str">
        <f t="shared" ref="D1535:D1598" si="23">IF(ISBLANK(B1535),"OK",IF(A1535-B1535=0,"OK","Error?"))</f>
        <v>Error?</v>
      </c>
    </row>
    <row r="1536" spans="1:4" x14ac:dyDescent="0.2">
      <c r="A1536" s="5">
        <v>1475</v>
      </c>
      <c r="B1536" s="138">
        <f>'Expenditures 15-22'!E312</f>
        <v>618930</v>
      </c>
      <c r="C1536" s="2" t="s">
        <v>572</v>
      </c>
      <c r="D1536" s="2" t="str">
        <f t="shared" si="23"/>
        <v>Error?</v>
      </c>
    </row>
    <row r="1537" spans="1:4" x14ac:dyDescent="0.2">
      <c r="A1537" s="5">
        <v>1476</v>
      </c>
      <c r="B1537" s="138">
        <f>'Expenditures 15-22'!F301</f>
        <v>250995</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39151</v>
      </c>
      <c r="D1540" s="2" t="str">
        <f t="shared" si="23"/>
        <v>Error?</v>
      </c>
    </row>
    <row r="1541" spans="1:4" x14ac:dyDescent="0.2">
      <c r="A1541" s="5">
        <v>1480</v>
      </c>
      <c r="B1541" s="138">
        <f>'Expenditures 15-22'!F303</f>
        <v>290146</v>
      </c>
      <c r="C1541" s="2" t="s">
        <v>572</v>
      </c>
      <c r="D1541" s="2" t="str">
        <f t="shared" si="23"/>
        <v>Error?</v>
      </c>
    </row>
    <row r="1542" spans="1:4" x14ac:dyDescent="0.2">
      <c r="A1542" s="5">
        <v>1481</v>
      </c>
      <c r="B1542" s="138">
        <f>'Expenditures 15-22'!F312</f>
        <v>290146</v>
      </c>
      <c r="C1542" s="2" t="s">
        <v>572</v>
      </c>
      <c r="D1542" s="2" t="str">
        <f t="shared" si="23"/>
        <v>Error?</v>
      </c>
    </row>
    <row r="1543" spans="1:4" x14ac:dyDescent="0.2">
      <c r="A1543" s="5">
        <v>1482</v>
      </c>
      <c r="B1543" s="138">
        <f>'Expenditures 15-22'!G301</f>
        <v>7802682</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6490</v>
      </c>
      <c r="D1546" s="2" t="str">
        <f t="shared" si="23"/>
        <v>Error?</v>
      </c>
    </row>
    <row r="1547" spans="1:4" x14ac:dyDescent="0.2">
      <c r="A1547" s="5">
        <v>1486</v>
      </c>
      <c r="B1547" s="138">
        <f>'Expenditures 15-22'!G303</f>
        <v>7809172</v>
      </c>
      <c r="C1547" s="2" t="s">
        <v>572</v>
      </c>
      <c r="D1547" s="2" t="str">
        <f t="shared" si="23"/>
        <v>Error?</v>
      </c>
    </row>
    <row r="1548" spans="1:4" x14ac:dyDescent="0.2">
      <c r="A1548" s="5">
        <v>1487</v>
      </c>
      <c r="B1548" s="138">
        <f>'Expenditures 15-22'!G312</f>
        <v>7809172</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1605</v>
      </c>
      <c r="D1552" s="2" t="str">
        <f t="shared" si="23"/>
        <v>Error?</v>
      </c>
    </row>
    <row r="1553" spans="1:4" x14ac:dyDescent="0.2">
      <c r="A1553" s="5">
        <v>1492</v>
      </c>
      <c r="B1553" s="138">
        <f>'Expenditures 15-22'!H303</f>
        <v>1605</v>
      </c>
      <c r="C1553" s="2" t="s">
        <v>572</v>
      </c>
      <c r="D1553" s="2" t="str">
        <f t="shared" si="23"/>
        <v>Error?</v>
      </c>
    </row>
    <row r="1554" spans="1:4" x14ac:dyDescent="0.2">
      <c r="A1554" s="5">
        <v>1493</v>
      </c>
      <c r="B1554" s="138">
        <f>'Expenditures 15-22'!H312</f>
        <v>1605</v>
      </c>
      <c r="C1554" s="2" t="s">
        <v>572</v>
      </c>
      <c r="D1554" s="2" t="str">
        <f t="shared" si="23"/>
        <v>Error?</v>
      </c>
    </row>
    <row r="1555" spans="1:4" x14ac:dyDescent="0.2">
      <c r="A1555" s="5">
        <v>1494</v>
      </c>
      <c r="B1555" s="138">
        <f>'Expenditures 15-22'!K301</f>
        <v>8956529</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47246</v>
      </c>
      <c r="C1558" s="2" t="s">
        <v>572</v>
      </c>
      <c r="D1558" s="2" t="str">
        <f t="shared" si="23"/>
        <v>Error?</v>
      </c>
    </row>
    <row r="1559" spans="1:4" x14ac:dyDescent="0.2">
      <c r="A1559" s="5">
        <v>1498</v>
      </c>
      <c r="B1559" s="138">
        <f>'Expenditures 15-22'!K303</f>
        <v>9003775</v>
      </c>
      <c r="C1559" s="2" t="s">
        <v>572</v>
      </c>
      <c r="D1559" s="2" t="str">
        <f t="shared" si="23"/>
        <v>Error?</v>
      </c>
    </row>
    <row r="1560" spans="1:4" x14ac:dyDescent="0.2">
      <c r="A1560" s="5">
        <v>1499</v>
      </c>
      <c r="B1560" s="138">
        <f>'Expenditures 15-22'!K312</f>
        <v>9003775</v>
      </c>
      <c r="C1560" s="2" t="s">
        <v>572</v>
      </c>
      <c r="D1560" s="2" t="str">
        <f t="shared" si="23"/>
        <v>Error?</v>
      </c>
    </row>
    <row r="1561" spans="1:4" x14ac:dyDescent="0.2">
      <c r="A1561" s="5">
        <v>1500</v>
      </c>
      <c r="B1561" s="138">
        <f>'Expenditures 15-22'!K313</f>
        <v>-8630664</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21331134</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32906196</v>
      </c>
      <c r="C1630" s="2" t="s">
        <v>572</v>
      </c>
      <c r="D1630" s="2" t="str">
        <f t="shared" si="24"/>
        <v>Error?</v>
      </c>
    </row>
    <row r="1631" spans="1:4" x14ac:dyDescent="0.2">
      <c r="A1631" s="5">
        <v>1570</v>
      </c>
      <c r="B1631" s="138">
        <f>'Acct Summary 7-8'!D79</f>
        <v>1494338</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2230213</v>
      </c>
      <c r="C1644" s="2" t="s">
        <v>572</v>
      </c>
      <c r="D1644" s="2" t="str">
        <f t="shared" si="24"/>
        <v>Error?</v>
      </c>
    </row>
    <row r="1645" spans="1:4" x14ac:dyDescent="0.2">
      <c r="A1645" s="5">
        <v>1584</v>
      </c>
      <c r="B1645" s="138">
        <f>'Acct Summary 7-8'!E79</f>
        <v>10050642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9842432</v>
      </c>
      <c r="C1658" s="2" t="s">
        <v>572</v>
      </c>
      <c r="D1658" s="2" t="str">
        <f t="shared" si="24"/>
        <v>Error?</v>
      </c>
    </row>
    <row r="1659" spans="1:4" x14ac:dyDescent="0.2">
      <c r="A1659" s="5">
        <v>1598</v>
      </c>
      <c r="B1659" s="138">
        <f>'Acct Summary 7-8'!F79</f>
        <v>610771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2628741</v>
      </c>
      <c r="C1672" s="2" t="s">
        <v>572</v>
      </c>
      <c r="D1672" s="2" t="str">
        <f t="shared" si="25"/>
        <v>Error?</v>
      </c>
    </row>
    <row r="1673" spans="1:4" x14ac:dyDescent="0.2">
      <c r="A1673" s="5">
        <v>1612</v>
      </c>
      <c r="B1673" s="138">
        <f>'Acct Summary 7-8'!G79</f>
        <v>-166195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23561</v>
      </c>
      <c r="C1686" s="2" t="s">
        <v>572</v>
      </c>
      <c r="D1686" s="2" t="str">
        <f t="shared" si="25"/>
        <v>Error?</v>
      </c>
    </row>
    <row r="1687" spans="1:4" x14ac:dyDescent="0.2">
      <c r="A1687" s="5">
        <v>1626</v>
      </c>
      <c r="B1687" s="138">
        <f>'Acct Summary 7-8'!H79</f>
        <v>11745526</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3114862</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50810017</v>
      </c>
      <c r="C1744" s="2" t="s">
        <v>572</v>
      </c>
      <c r="D1744" s="2" t="str">
        <f t="shared" si="26"/>
        <v>Error?</v>
      </c>
    </row>
    <row r="1745" spans="1:5" x14ac:dyDescent="0.2">
      <c r="A1745" s="5">
        <v>1684</v>
      </c>
      <c r="B1745" s="138">
        <f>'Tax Sched 23'!B5</f>
        <v>11636413</v>
      </c>
      <c r="C1745" s="2" t="s">
        <v>572</v>
      </c>
      <c r="D1745" s="2" t="str">
        <f t="shared" si="26"/>
        <v>Error?</v>
      </c>
    </row>
    <row r="1746" spans="1:5" x14ac:dyDescent="0.2">
      <c r="A1746" s="5">
        <v>1685</v>
      </c>
      <c r="B1746" s="138">
        <f>'Tax Sched 23'!B6</f>
        <v>14045736</v>
      </c>
      <c r="C1746" s="2" t="s">
        <v>572</v>
      </c>
      <c r="D1746" s="2" t="str">
        <f t="shared" si="26"/>
        <v>Error?</v>
      </c>
    </row>
    <row r="1747" spans="1:5" x14ac:dyDescent="0.2">
      <c r="A1747" s="5">
        <v>1686</v>
      </c>
      <c r="B1747" s="138">
        <f>'Tax Sched 23'!B7</f>
        <v>3985597</v>
      </c>
      <c r="C1747" s="2" t="s">
        <v>572</v>
      </c>
      <c r="D1747" s="2" t="str">
        <f t="shared" si="26"/>
        <v>Error?</v>
      </c>
    </row>
    <row r="1748" spans="1:5" x14ac:dyDescent="0.2">
      <c r="A1748" s="5">
        <v>1687</v>
      </c>
      <c r="B1748" s="138">
        <f>'Tax Sched 23'!B8</f>
        <v>2002592</v>
      </c>
      <c r="C1748" s="2" t="s">
        <v>572</v>
      </c>
      <c r="D1748" s="2" t="str">
        <f t="shared" si="26"/>
        <v>Error?</v>
      </c>
    </row>
    <row r="1749" spans="1:5" x14ac:dyDescent="0.2">
      <c r="A1749" s="5">
        <v>1688</v>
      </c>
      <c r="B1749" s="138">
        <f>'Tax Sched 23'!B10</f>
        <v>0</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0</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8972748</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93455694</v>
      </c>
      <c r="C1759" s="2" t="s">
        <v>572</v>
      </c>
      <c r="D1759" s="2" t="str">
        <f t="shared" si="26"/>
        <v>Error?</v>
      </c>
    </row>
    <row r="1760" spans="1:5" x14ac:dyDescent="0.2">
      <c r="A1760" s="5">
        <v>1699</v>
      </c>
      <c r="B1760" s="138">
        <f>'Tax Sched 23'!D4</f>
        <v>27972782</v>
      </c>
      <c r="C1760" s="2" t="s">
        <v>572</v>
      </c>
      <c r="D1760" s="2" t="str">
        <f t="shared" si="26"/>
        <v>Error?</v>
      </c>
    </row>
    <row r="1761" spans="1:5" x14ac:dyDescent="0.2">
      <c r="A1761" s="5">
        <v>1700</v>
      </c>
      <c r="B1761" s="138">
        <f>'Tax Sched 23'!D5</f>
        <v>6612224</v>
      </c>
      <c r="C1761" s="2" t="s">
        <v>572</v>
      </c>
      <c r="D1761" s="2" t="str">
        <f t="shared" si="26"/>
        <v>Error?</v>
      </c>
    </row>
    <row r="1762" spans="1:5" s="8" customFormat="1" x14ac:dyDescent="0.2">
      <c r="A1762" s="5">
        <v>1701</v>
      </c>
      <c r="B1762" s="138">
        <f>'Tax Sched 23'!D6</f>
        <v>8137421</v>
      </c>
      <c r="C1762" s="2" t="s">
        <v>572</v>
      </c>
      <c r="D1762" s="2" t="str">
        <f t="shared" si="26"/>
        <v>Error?</v>
      </c>
      <c r="E1762" s="9"/>
    </row>
    <row r="1763" spans="1:5" x14ac:dyDescent="0.2">
      <c r="A1763" s="5">
        <v>1702</v>
      </c>
      <c r="B1763" s="138">
        <f>'Tax Sched 23'!D7</f>
        <v>2283179</v>
      </c>
      <c r="C1763" s="2" t="s">
        <v>572</v>
      </c>
      <c r="D1763" s="2" t="str">
        <f t="shared" si="26"/>
        <v>Error?</v>
      </c>
    </row>
    <row r="1764" spans="1:5" x14ac:dyDescent="0.2">
      <c r="A1764" s="5">
        <v>1703</v>
      </c>
      <c r="B1764" s="138">
        <f>'Tax Sched 23'!D8</f>
        <v>1234427</v>
      </c>
      <c r="C1764" s="2" t="s">
        <v>572</v>
      </c>
      <c r="D1764" s="2" t="str">
        <f t="shared" si="26"/>
        <v>Error?</v>
      </c>
    </row>
    <row r="1765" spans="1:5" x14ac:dyDescent="0.2">
      <c r="A1765" s="5">
        <v>1704</v>
      </c>
      <c r="B1765" s="138">
        <f>'Tax Sched 23'!D10</f>
        <v>0</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0</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6190735</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53482517</v>
      </c>
      <c r="C1775" s="2" t="s">
        <v>572</v>
      </c>
      <c r="D1775" s="2" t="str">
        <f t="shared" si="26"/>
        <v>Error?</v>
      </c>
    </row>
    <row r="1776" spans="1:5" x14ac:dyDescent="0.2">
      <c r="A1776" s="5">
        <v>1715</v>
      </c>
      <c r="B1776" s="138">
        <f>'Tax Sched 23'!C4</f>
        <v>22837235</v>
      </c>
      <c r="D1776" s="2" t="str">
        <f t="shared" si="26"/>
        <v>Error?</v>
      </c>
    </row>
    <row r="1777" spans="1:4" x14ac:dyDescent="0.2">
      <c r="A1777" s="5">
        <v>1716</v>
      </c>
      <c r="B1777" s="138">
        <f>'Tax Sched 23'!C5</f>
        <v>5024189</v>
      </c>
      <c r="D1777" s="2" t="str">
        <f t="shared" si="26"/>
        <v>Error?</v>
      </c>
    </row>
    <row r="1778" spans="1:4" x14ac:dyDescent="0.2">
      <c r="A1778" s="5">
        <v>1717</v>
      </c>
      <c r="B1778" s="138">
        <f>'Tax Sched 23'!C6</f>
        <v>5908315</v>
      </c>
      <c r="D1778" s="2" t="str">
        <f t="shared" si="26"/>
        <v>Error?</v>
      </c>
    </row>
    <row r="1779" spans="1:4" x14ac:dyDescent="0.2">
      <c r="A1779" s="5">
        <v>1718</v>
      </c>
      <c r="B1779" s="138">
        <f>'Tax Sched 23'!C7</f>
        <v>1702418</v>
      </c>
      <c r="D1779" s="2" t="str">
        <f t="shared" si="26"/>
        <v>Error?</v>
      </c>
    </row>
    <row r="1780" spans="1:4" x14ac:dyDescent="0.2">
      <c r="A1780" s="5">
        <v>1719</v>
      </c>
      <c r="B1780" s="138">
        <f>'Tax Sched 23'!C8</f>
        <v>768165</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2782013</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39973177</v>
      </c>
      <c r="C1791" s="2" t="s">
        <v>572</v>
      </c>
      <c r="D1791" s="2" t="str">
        <f t="shared" ref="D1791:D1854" si="27">IF(ISBLANK(B1791),"OK",IF(A1791-B1791=0,"OK","Error?"))</f>
        <v>Error?</v>
      </c>
    </row>
    <row r="1792" spans="1:4" x14ac:dyDescent="0.2">
      <c r="A1792" s="5">
        <v>1731</v>
      </c>
      <c r="B1792" s="138">
        <f>'Tax Sched 23'!F4</f>
        <v>31620912</v>
      </c>
      <c r="C1792" s="2" t="s">
        <v>572</v>
      </c>
      <c r="D1792" s="2" t="str">
        <f t="shared" si="27"/>
        <v>Error?</v>
      </c>
    </row>
    <row r="1793" spans="1:4" x14ac:dyDescent="0.2">
      <c r="A1793" s="5">
        <v>1732</v>
      </c>
      <c r="B1793" s="138">
        <f>'Tax Sched 23'!F5</f>
        <v>6956611</v>
      </c>
      <c r="C1793" s="2" t="s">
        <v>572</v>
      </c>
      <c r="D1793" s="2" t="str">
        <f t="shared" si="27"/>
        <v>Error?</v>
      </c>
    </row>
    <row r="1794" spans="1:4" x14ac:dyDescent="0.2">
      <c r="A1794" s="5">
        <v>1733</v>
      </c>
      <c r="B1794" s="138">
        <f>'Tax Sched 23'!F6</f>
        <v>8180758</v>
      </c>
      <c r="C1794" s="2" t="s">
        <v>572</v>
      </c>
      <c r="D1794" s="2" t="str">
        <f t="shared" si="27"/>
        <v>Error?</v>
      </c>
    </row>
    <row r="1795" spans="1:4" x14ac:dyDescent="0.2">
      <c r="A1795" s="5">
        <v>1734</v>
      </c>
      <c r="B1795" s="138">
        <f>'Tax Sched 23'!F7</f>
        <v>2357186</v>
      </c>
      <c r="C1795" s="2" t="s">
        <v>572</v>
      </c>
      <c r="D1795" s="2" t="str">
        <f t="shared" si="27"/>
        <v>Error?</v>
      </c>
    </row>
    <row r="1796" spans="1:4" x14ac:dyDescent="0.2">
      <c r="A1796" s="5">
        <v>1735</v>
      </c>
      <c r="B1796" s="138">
        <f>'Tax Sched 23'!F8</f>
        <v>1063617</v>
      </c>
      <c r="C1796" s="2" t="s">
        <v>572</v>
      </c>
      <c r="D1796" s="2" t="str">
        <f t="shared" si="27"/>
        <v>Error?</v>
      </c>
    </row>
    <row r="1797" spans="1:4" x14ac:dyDescent="0.2">
      <c r="A1797" s="5">
        <v>1736</v>
      </c>
      <c r="B1797" s="138">
        <f>'Tax Sched 23'!F10</f>
        <v>0</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0</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3851997</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55347677</v>
      </c>
      <c r="C1807" s="2" t="s">
        <v>572</v>
      </c>
      <c r="D1807" s="2" t="str">
        <f t="shared" si="27"/>
        <v>Error?</v>
      </c>
    </row>
    <row r="1808" spans="1:4" x14ac:dyDescent="0.2">
      <c r="A1808" s="5">
        <v>1747</v>
      </c>
      <c r="B1808" s="138">
        <f>'Tax Sched 23'!E4</f>
        <v>54458147</v>
      </c>
      <c r="D1808" s="2" t="str">
        <f t="shared" si="27"/>
        <v>Error?</v>
      </c>
    </row>
    <row r="1809" spans="1:4" x14ac:dyDescent="0.2">
      <c r="A1809" s="5">
        <v>1748</v>
      </c>
      <c r="B1809" s="138">
        <f>'Tax Sched 23'!E5</f>
        <v>11980800</v>
      </c>
      <c r="D1809" s="2" t="str">
        <f t="shared" si="27"/>
        <v>Error?</v>
      </c>
    </row>
    <row r="1810" spans="1:4" x14ac:dyDescent="0.2">
      <c r="A1810" s="5">
        <v>1749</v>
      </c>
      <c r="B1810" s="138">
        <f>'Tax Sched 23'!E6</f>
        <v>14089073</v>
      </c>
      <c r="D1810" s="2" t="str">
        <f t="shared" si="27"/>
        <v>Error?</v>
      </c>
    </row>
    <row r="1811" spans="1:4" x14ac:dyDescent="0.2">
      <c r="A1811" s="5">
        <v>1750</v>
      </c>
      <c r="B1811" s="138">
        <f>'Tax Sched 23'!E7</f>
        <v>4059604</v>
      </c>
      <c r="D1811" s="2" t="str">
        <f t="shared" si="27"/>
        <v>Error?</v>
      </c>
    </row>
    <row r="1812" spans="1:4" x14ac:dyDescent="0.2">
      <c r="A1812" s="5">
        <v>1751</v>
      </c>
      <c r="B1812" s="138">
        <f>'Tax Sched 23'!E8</f>
        <v>1831782</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6634010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95320854</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145643000</v>
      </c>
      <c r="C1939" s="2" t="s">
        <v>572</v>
      </c>
      <c r="D1939" s="2" t="str">
        <f t="shared" si="29"/>
        <v>Error?</v>
      </c>
    </row>
    <row r="1940" spans="1:5" x14ac:dyDescent="0.2">
      <c r="A1940" s="5">
        <v>1879</v>
      </c>
      <c r="B1940" s="138">
        <f>'Short-Term Long-Term Debt 24'!F49</f>
        <v>9110000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8972748</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8972748</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8972748</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8505180</v>
      </c>
      <c r="D2008" s="2" t="str">
        <f t="shared" si="30"/>
        <v>Error?</v>
      </c>
    </row>
    <row r="2009" spans="1:4" x14ac:dyDescent="0.2">
      <c r="A2009" s="5">
        <v>1948</v>
      </c>
      <c r="B2009" s="138">
        <f>'Cap Outlay Deprec 26'!C8</f>
        <v>195335133</v>
      </c>
      <c r="D2009" s="2" t="str">
        <f t="shared" si="30"/>
        <v>Error?</v>
      </c>
    </row>
    <row r="2010" spans="1:4" x14ac:dyDescent="0.2">
      <c r="A2010" s="5">
        <v>1949</v>
      </c>
      <c r="B2010" s="138">
        <f>'Cap Outlay Deprec 26'!C10</f>
        <v>21819979</v>
      </c>
      <c r="D2010" s="2" t="str">
        <f t="shared" si="30"/>
        <v>Error?</v>
      </c>
    </row>
    <row r="2011" spans="1:4" x14ac:dyDescent="0.2">
      <c r="A2011" s="5">
        <v>1950</v>
      </c>
      <c r="B2011" s="138">
        <f>'Cap Outlay Deprec 26'!C12</f>
        <v>0</v>
      </c>
      <c r="D2011" s="2" t="str">
        <f t="shared" si="30"/>
        <v>Error?</v>
      </c>
    </row>
    <row r="2012" spans="1:4" x14ac:dyDescent="0.2">
      <c r="A2012" s="5">
        <v>1951</v>
      </c>
      <c r="B2012" s="138">
        <f>'Cap Outlay Deprec 26'!C13</f>
        <v>18973243</v>
      </c>
      <c r="D2012" s="2" t="str">
        <f t="shared" si="30"/>
        <v>Error?</v>
      </c>
    </row>
    <row r="2013" spans="1:4" x14ac:dyDescent="0.2">
      <c r="A2013" s="5">
        <v>1952</v>
      </c>
      <c r="B2013" s="138">
        <f>'Cap Outlay Deprec 26'!C16</f>
        <v>252120674</v>
      </c>
      <c r="C2013" s="2" t="s">
        <v>572</v>
      </c>
      <c r="D2013" s="2" t="str">
        <f t="shared" si="30"/>
        <v>Error?</v>
      </c>
    </row>
    <row r="2014" spans="1:4" x14ac:dyDescent="0.2">
      <c r="A2014" s="5">
        <v>1953</v>
      </c>
      <c r="B2014" s="138">
        <f>'Cap Outlay Deprec 26'!D5</f>
        <v>2787505</v>
      </c>
      <c r="D2014" s="2" t="str">
        <f t="shared" si="30"/>
        <v>Error?</v>
      </c>
    </row>
    <row r="2015" spans="1:4" x14ac:dyDescent="0.2">
      <c r="A2015" s="5">
        <v>1954</v>
      </c>
      <c r="B2015" s="138">
        <f>'Cap Outlay Deprec 26'!D8</f>
        <v>1370936</v>
      </c>
      <c r="D2015" s="2" t="str">
        <f t="shared" si="30"/>
        <v>Error?</v>
      </c>
    </row>
    <row r="2016" spans="1:4" x14ac:dyDescent="0.2">
      <c r="A2016" s="5">
        <v>1955</v>
      </c>
      <c r="B2016" s="138">
        <f>'Cap Outlay Deprec 26'!D10</f>
        <v>1870991</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934636</v>
      </c>
      <c r="D2018" s="2" t="str">
        <f t="shared" si="30"/>
        <v>Error?</v>
      </c>
    </row>
    <row r="2019" spans="1:4" x14ac:dyDescent="0.2">
      <c r="A2019" s="5">
        <v>1958</v>
      </c>
      <c r="B2019" s="138">
        <f>'Cap Outlay Deprec 26'!D16</f>
        <v>17273016</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29958669</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2372968</v>
      </c>
      <c r="D2024" s="2" t="str">
        <f t="shared" si="30"/>
        <v>Error?</v>
      </c>
    </row>
    <row r="2025" spans="1:4" x14ac:dyDescent="0.2">
      <c r="A2025" s="5">
        <v>1964</v>
      </c>
      <c r="B2025" s="138">
        <f>'Cap Outlay Deprec 26'!E16</f>
        <v>33702573</v>
      </c>
      <c r="C2025" s="2" t="s">
        <v>572</v>
      </c>
      <c r="D2025" s="2" t="str">
        <f t="shared" si="30"/>
        <v>Error?</v>
      </c>
    </row>
    <row r="2026" spans="1:4" x14ac:dyDescent="0.2">
      <c r="A2026" s="5">
        <v>1965</v>
      </c>
      <c r="B2026" s="138">
        <f>'Cap Outlay Deprec 26'!F5</f>
        <v>11292685</v>
      </c>
      <c r="C2026" s="2" t="s">
        <v>572</v>
      </c>
      <c r="D2026" s="2" t="str">
        <f t="shared" si="30"/>
        <v>Error?</v>
      </c>
    </row>
    <row r="2027" spans="1:4" x14ac:dyDescent="0.2">
      <c r="A2027" s="5">
        <v>1966</v>
      </c>
      <c r="B2027" s="138">
        <f>'Cap Outlay Deprec 26'!F8</f>
        <v>166747400</v>
      </c>
      <c r="C2027" s="2" t="s">
        <v>572</v>
      </c>
      <c r="D2027" s="2" t="str">
        <f t="shared" si="30"/>
        <v>Error?</v>
      </c>
    </row>
    <row r="2028" spans="1:4" x14ac:dyDescent="0.2">
      <c r="A2028" s="5">
        <v>1967</v>
      </c>
      <c r="B2028" s="138">
        <f>'Cap Outlay Deprec 26'!F10</f>
        <v>23690970</v>
      </c>
      <c r="C2028" s="2" t="s">
        <v>572</v>
      </c>
      <c r="D2028" s="2" t="str">
        <f t="shared" si="30"/>
        <v>Error?</v>
      </c>
    </row>
    <row r="2029" spans="1:4" x14ac:dyDescent="0.2">
      <c r="A2029" s="5">
        <v>1968</v>
      </c>
      <c r="B2029" s="138">
        <f>'Cap Outlay Deprec 26'!F12</f>
        <v>0</v>
      </c>
      <c r="C2029" s="2" t="s">
        <v>572</v>
      </c>
      <c r="D2029" s="2" t="str">
        <f t="shared" si="30"/>
        <v>Error?</v>
      </c>
    </row>
    <row r="2030" spans="1:4" x14ac:dyDescent="0.2">
      <c r="A2030" s="5">
        <v>1969</v>
      </c>
      <c r="B2030" s="138">
        <f>'Cap Outlay Deprec 26'!F13</f>
        <v>17534911</v>
      </c>
      <c r="C2030" s="2" t="s">
        <v>572</v>
      </c>
      <c r="D2030" s="2" t="str">
        <f t="shared" si="30"/>
        <v>Error?</v>
      </c>
    </row>
    <row r="2031" spans="1:4" x14ac:dyDescent="0.2">
      <c r="A2031" s="5">
        <v>1970</v>
      </c>
      <c r="B2031" s="138">
        <f>'Cap Outlay Deprec 26'!F16</f>
        <v>235691117</v>
      </c>
      <c r="C2031" s="2" t="s">
        <v>572</v>
      </c>
      <c r="D2031" s="2" t="str">
        <f t="shared" si="30"/>
        <v>Error?</v>
      </c>
    </row>
    <row r="2032" spans="1:4" x14ac:dyDescent="0.2">
      <c r="A2032" s="10">
        <v>1971</v>
      </c>
      <c r="D2032" s="2" t="str">
        <f t="shared" si="30"/>
        <v>OK</v>
      </c>
    </row>
    <row r="2033" spans="1:4" x14ac:dyDescent="0.2">
      <c r="A2033" s="5">
        <v>1972</v>
      </c>
      <c r="B2033" s="138">
        <f>'Cap Outlay Deprec 26'!H8</f>
        <v>69512928</v>
      </c>
      <c r="D2033" s="2" t="str">
        <f t="shared" si="30"/>
        <v>Error?</v>
      </c>
    </row>
    <row r="2034" spans="1:4" x14ac:dyDescent="0.2">
      <c r="A2034" s="5">
        <v>1973</v>
      </c>
      <c r="B2034" s="138">
        <f>'Cap Outlay Deprec 26'!H10</f>
        <v>3145616</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10891113</v>
      </c>
      <c r="D2036" s="2" t="str">
        <f t="shared" si="30"/>
        <v>Error?</v>
      </c>
    </row>
    <row r="2037" spans="1:4" x14ac:dyDescent="0.2">
      <c r="A2037" s="5">
        <v>1976</v>
      </c>
      <c r="B2037" s="138">
        <f>'Cap Outlay Deprec 26'!H16</f>
        <v>83549657</v>
      </c>
      <c r="C2037" s="2" t="s">
        <v>572</v>
      </c>
      <c r="D2037" s="2" t="str">
        <f t="shared" si="30"/>
        <v>Error?</v>
      </c>
    </row>
    <row r="2038" spans="1:4" x14ac:dyDescent="0.2">
      <c r="A2038" s="10">
        <v>1977</v>
      </c>
      <c r="D2038" s="2" t="str">
        <f t="shared" si="30"/>
        <v>OK</v>
      </c>
    </row>
    <row r="2039" spans="1:4" x14ac:dyDescent="0.2">
      <c r="A2039" s="5">
        <v>1978</v>
      </c>
      <c r="B2039" s="138">
        <f>'Cap Outlay Deprec 26'!I8</f>
        <v>4148242</v>
      </c>
      <c r="D2039" s="2" t="str">
        <f t="shared" si="30"/>
        <v>Error?</v>
      </c>
    </row>
    <row r="2040" spans="1:4" x14ac:dyDescent="0.2">
      <c r="A2040" s="5">
        <v>1979</v>
      </c>
      <c r="B2040" s="138">
        <f>'Cap Outlay Deprec 26'!I10</f>
        <v>2073881</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2425418</v>
      </c>
      <c r="D2042" s="2" t="str">
        <f t="shared" si="30"/>
        <v>Error?</v>
      </c>
    </row>
    <row r="2043" spans="1:4" x14ac:dyDescent="0.2">
      <c r="A2043" s="5">
        <v>1982</v>
      </c>
      <c r="B2043" s="138">
        <f>'Cap Outlay Deprec 26'!I16</f>
        <v>8647541</v>
      </c>
      <c r="C2043" s="2" t="s">
        <v>572</v>
      </c>
      <c r="D2043" s="2" t="str">
        <f t="shared" si="30"/>
        <v>Error?</v>
      </c>
    </row>
    <row r="2044" spans="1:4" x14ac:dyDescent="0.2">
      <c r="A2044" s="10">
        <v>1983</v>
      </c>
      <c r="D2044" s="2" t="str">
        <f t="shared" si="30"/>
        <v>OK</v>
      </c>
    </row>
    <row r="2045" spans="1:4" x14ac:dyDescent="0.2">
      <c r="A2045" s="5">
        <v>1984</v>
      </c>
      <c r="B2045" s="138">
        <f>'Cap Outlay Deprec 26'!J8</f>
        <v>21528963</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7757397</v>
      </c>
      <c r="D2048" s="2" t="str">
        <f t="shared" si="31"/>
        <v>Error?</v>
      </c>
    </row>
    <row r="2049" spans="1:4" x14ac:dyDescent="0.2">
      <c r="A2049" s="5">
        <v>1988</v>
      </c>
      <c r="B2049" s="138">
        <f>'Cap Outlay Deprec 26'!J16</f>
        <v>29286360</v>
      </c>
      <c r="C2049" s="2" t="s">
        <v>572</v>
      </c>
      <c r="D2049" s="2" t="str">
        <f t="shared" si="31"/>
        <v>Error?</v>
      </c>
    </row>
    <row r="2050" spans="1:4" x14ac:dyDescent="0.2">
      <c r="A2050" s="10">
        <v>1989</v>
      </c>
      <c r="D2050" s="2" t="str">
        <f t="shared" si="31"/>
        <v>OK</v>
      </c>
    </row>
    <row r="2051" spans="1:4" x14ac:dyDescent="0.2">
      <c r="A2051" s="5">
        <v>1990</v>
      </c>
      <c r="B2051" s="138">
        <f>'Cap Outlay Deprec 26'!K8</f>
        <v>52132207</v>
      </c>
      <c r="C2051" s="2" t="s">
        <v>572</v>
      </c>
      <c r="D2051" s="2" t="str">
        <f t="shared" si="31"/>
        <v>Error?</v>
      </c>
    </row>
    <row r="2052" spans="1:4" x14ac:dyDescent="0.2">
      <c r="A2052" s="5">
        <v>1991</v>
      </c>
      <c r="B2052" s="138">
        <f>'Cap Outlay Deprec 26'!K10</f>
        <v>5219497</v>
      </c>
      <c r="C2052" s="2" t="s">
        <v>572</v>
      </c>
      <c r="D2052" s="2" t="str">
        <f t="shared" si="31"/>
        <v>Error?</v>
      </c>
    </row>
    <row r="2053" spans="1:4" x14ac:dyDescent="0.2">
      <c r="A2053" s="5">
        <v>1992</v>
      </c>
      <c r="B2053" s="138">
        <f>'Cap Outlay Deprec 26'!K12</f>
        <v>0</v>
      </c>
      <c r="C2053" s="2" t="s">
        <v>572</v>
      </c>
      <c r="D2053" s="2" t="str">
        <f t="shared" si="31"/>
        <v>Error?</v>
      </c>
    </row>
    <row r="2054" spans="1:4" x14ac:dyDescent="0.2">
      <c r="A2054" s="5">
        <v>1993</v>
      </c>
      <c r="B2054" s="138">
        <f>'Cap Outlay Deprec 26'!K13</f>
        <v>5559134</v>
      </c>
      <c r="C2054" s="2" t="s">
        <v>572</v>
      </c>
      <c r="D2054" s="2" t="str">
        <f t="shared" si="31"/>
        <v>Error?</v>
      </c>
    </row>
    <row r="2055" spans="1:4" x14ac:dyDescent="0.2">
      <c r="A2055" s="5">
        <v>1994</v>
      </c>
      <c r="B2055" s="138">
        <f>'Cap Outlay Deprec 26'!K16</f>
        <v>62910838</v>
      </c>
      <c r="C2055" s="2" t="s">
        <v>572</v>
      </c>
      <c r="D2055" s="2" t="str">
        <f t="shared" si="31"/>
        <v>Error?</v>
      </c>
    </row>
    <row r="2056" spans="1:4" x14ac:dyDescent="0.2">
      <c r="A2056" s="5">
        <v>1995</v>
      </c>
      <c r="B2056" s="138">
        <f>'Cap Outlay Deprec 26'!L5</f>
        <v>11292685</v>
      </c>
      <c r="C2056" s="2" t="s">
        <v>572</v>
      </c>
      <c r="D2056" s="2" t="str">
        <f t="shared" si="31"/>
        <v>Error?</v>
      </c>
    </row>
    <row r="2057" spans="1:4" x14ac:dyDescent="0.2">
      <c r="A2057" s="5">
        <v>1996</v>
      </c>
      <c r="B2057" s="138">
        <f>'Cap Outlay Deprec 26'!L8</f>
        <v>114615193</v>
      </c>
      <c r="C2057" s="2" t="s">
        <v>572</v>
      </c>
      <c r="D2057" s="2" t="str">
        <f t="shared" si="31"/>
        <v>Error?</v>
      </c>
    </row>
    <row r="2058" spans="1:4" x14ac:dyDescent="0.2">
      <c r="A2058" s="5">
        <v>1997</v>
      </c>
      <c r="B2058" s="138">
        <f>'Cap Outlay Deprec 26'!L10</f>
        <v>18471473</v>
      </c>
      <c r="C2058" s="2" t="s">
        <v>572</v>
      </c>
      <c r="D2058" s="2" t="str">
        <f t="shared" si="31"/>
        <v>Error?</v>
      </c>
    </row>
    <row r="2059" spans="1:4" x14ac:dyDescent="0.2">
      <c r="A2059" s="5">
        <v>1998</v>
      </c>
      <c r="B2059" s="138">
        <f>'Cap Outlay Deprec 26'!L12</f>
        <v>0</v>
      </c>
      <c r="C2059" s="2" t="s">
        <v>572</v>
      </c>
      <c r="D2059" s="2" t="str">
        <f t="shared" si="31"/>
        <v>Error?</v>
      </c>
    </row>
    <row r="2060" spans="1:4" x14ac:dyDescent="0.2">
      <c r="A2060" s="5">
        <v>1999</v>
      </c>
      <c r="B2060" s="138">
        <f>'Cap Outlay Deprec 26'!L13</f>
        <v>11975777</v>
      </c>
      <c r="C2060" s="2" t="s">
        <v>572</v>
      </c>
      <c r="D2060" s="2" t="str">
        <f t="shared" si="31"/>
        <v>Error?</v>
      </c>
    </row>
    <row r="2061" spans="1:4" x14ac:dyDescent="0.2">
      <c r="A2061" s="5">
        <v>2000</v>
      </c>
      <c r="B2061" s="138">
        <f>'Cap Outlay Deprec 26'!L16</f>
        <v>172780279</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5417884</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6656090</v>
      </c>
      <c r="C2088" s="2" t="s">
        <v>572</v>
      </c>
      <c r="D2088" s="2" t="str">
        <f t="shared" si="31"/>
        <v>Error?</v>
      </c>
    </row>
    <row r="2089" spans="1:4" x14ac:dyDescent="0.2">
      <c r="A2089" s="5">
        <v>2028</v>
      </c>
      <c r="B2089" s="138">
        <f>'Expenditures 15-22'!K92</f>
        <v>388840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2695597</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23561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9842432</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64639301</v>
      </c>
      <c r="C2551" s="2" t="s">
        <v>572</v>
      </c>
      <c r="D2551" s="2" t="str">
        <f t="shared" si="38"/>
        <v>Error?</v>
      </c>
    </row>
    <row r="2552" spans="1:4" x14ac:dyDescent="0.2">
      <c r="A2552" s="10">
        <v>2491</v>
      </c>
      <c r="D2552" s="2" t="str">
        <f t="shared" si="38"/>
        <v>OK</v>
      </c>
    </row>
    <row r="2553" spans="1:4" x14ac:dyDescent="0.2">
      <c r="A2553" s="5">
        <v>2492</v>
      </c>
      <c r="B2553" s="138">
        <f>'Acct Summary 7-8'!C6</f>
        <v>58993657</v>
      </c>
      <c r="C2553" s="2" t="s">
        <v>572</v>
      </c>
      <c r="D2553" s="2" t="str">
        <f t="shared" si="38"/>
        <v>Error?</v>
      </c>
    </row>
    <row r="2554" spans="1:4" x14ac:dyDescent="0.2">
      <c r="A2554" s="5">
        <v>2493</v>
      </c>
      <c r="B2554" s="138">
        <f>'Acct Summary 7-8'!C7</f>
        <v>16501563</v>
      </c>
      <c r="C2554" s="2" t="s">
        <v>572</v>
      </c>
      <c r="D2554" s="2" t="str">
        <f t="shared" si="38"/>
        <v>Error?</v>
      </c>
    </row>
    <row r="2555" spans="1:4" x14ac:dyDescent="0.2">
      <c r="A2555" s="5">
        <v>2494</v>
      </c>
      <c r="B2555" s="138">
        <f>'Acct Summary 7-8'!C8</f>
        <v>140134521</v>
      </c>
      <c r="C2555" s="2" t="s">
        <v>572</v>
      </c>
      <c r="D2555" s="2" t="str">
        <f t="shared" si="38"/>
        <v>Error?</v>
      </c>
    </row>
    <row r="2556" spans="1:4" x14ac:dyDescent="0.2">
      <c r="A2556" s="5">
        <v>2495</v>
      </c>
      <c r="B2556" s="138">
        <f>'Acct Summary 7-8'!C12</f>
        <v>86354415</v>
      </c>
      <c r="C2556" s="2" t="s">
        <v>572</v>
      </c>
      <c r="D2556" s="2" t="str">
        <f t="shared" si="38"/>
        <v>Error?</v>
      </c>
    </row>
    <row r="2557" spans="1:4" x14ac:dyDescent="0.2">
      <c r="A2557" s="5">
        <v>2496</v>
      </c>
      <c r="B2557" s="138">
        <f>'Acct Summary 7-8'!C13</f>
        <v>33538294</v>
      </c>
      <c r="C2557" s="2" t="s">
        <v>572</v>
      </c>
      <c r="D2557" s="2" t="str">
        <f t="shared" si="38"/>
        <v>Error?</v>
      </c>
    </row>
    <row r="2558" spans="1:4" x14ac:dyDescent="0.2">
      <c r="A2558" s="5">
        <v>2497</v>
      </c>
      <c r="B2558" s="138">
        <f>'Acct Summary 7-8'!C14</f>
        <v>1078423</v>
      </c>
      <c r="C2558" s="2" t="s">
        <v>572</v>
      </c>
      <c r="D2558" s="2" t="str">
        <f t="shared" si="38"/>
        <v>Error?</v>
      </c>
    </row>
    <row r="2559" spans="1:4" x14ac:dyDescent="0.2">
      <c r="A2559" s="5">
        <v>2498</v>
      </c>
      <c r="B2559" s="138">
        <f>'Acct Summary 7-8'!C15</f>
        <v>7044930</v>
      </c>
      <c r="C2559" s="2" t="s">
        <v>572</v>
      </c>
      <c r="D2559" s="2" t="str">
        <f t="shared" ref="D2559:D2622" si="39">IF(ISBLANK(B2559),"OK",IF(A2559-B2559=0,"OK","Error?"))</f>
        <v>Error?</v>
      </c>
    </row>
    <row r="2560" spans="1:4" x14ac:dyDescent="0.2">
      <c r="A2560" s="5">
        <v>2499</v>
      </c>
      <c r="B2560" s="138">
        <f>'Acct Summary 7-8'!C16</f>
        <v>543397</v>
      </c>
      <c r="C2560" s="2" t="s">
        <v>572</v>
      </c>
      <c r="D2560" s="2" t="str">
        <f t="shared" si="39"/>
        <v>Error?</v>
      </c>
    </row>
    <row r="2561" spans="1:4" x14ac:dyDescent="0.2">
      <c r="A2561" s="5">
        <v>2500</v>
      </c>
      <c r="B2561" s="138">
        <f>'Acct Summary 7-8'!C17</f>
        <v>128559459</v>
      </c>
      <c r="C2561" s="2" t="s">
        <v>572</v>
      </c>
      <c r="D2561" s="2" t="str">
        <f t="shared" si="39"/>
        <v>Error?</v>
      </c>
    </row>
    <row r="2562" spans="1:4" x14ac:dyDescent="0.2">
      <c r="A2562" s="5">
        <v>2501</v>
      </c>
      <c r="B2562" s="138">
        <f>'Acct Summary 7-8'!C20</f>
        <v>11575062</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12657898</v>
      </c>
      <c r="C2564" s="2" t="s">
        <v>572</v>
      </c>
      <c r="D2564" s="2" t="str">
        <f t="shared" si="39"/>
        <v>Error?</v>
      </c>
    </row>
    <row r="2565" spans="1:4" x14ac:dyDescent="0.2">
      <c r="A2565" s="10">
        <v>2504</v>
      </c>
      <c r="D2565" s="2" t="str">
        <f t="shared" si="39"/>
        <v>OK</v>
      </c>
    </row>
    <row r="2566" spans="1:4" x14ac:dyDescent="0.2">
      <c r="A2566" s="5">
        <v>2505</v>
      </c>
      <c r="B2566" s="138">
        <f>'Acct Summary 7-8'!D6</f>
        <v>3000000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15657898</v>
      </c>
      <c r="C2568" s="2" t="s">
        <v>572</v>
      </c>
      <c r="D2568" s="2" t="str">
        <f t="shared" si="39"/>
        <v>Error?</v>
      </c>
    </row>
    <row r="2569" spans="1:4" x14ac:dyDescent="0.2">
      <c r="A2569" s="5">
        <v>2508</v>
      </c>
      <c r="B2569" s="138">
        <f>'Acct Summary 7-8'!D13</f>
        <v>14922023</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14922023</v>
      </c>
      <c r="C2573" s="2" t="s">
        <v>572</v>
      </c>
      <c r="D2573" s="2" t="str">
        <f t="shared" si="39"/>
        <v>Error?</v>
      </c>
    </row>
    <row r="2574" spans="1:4" x14ac:dyDescent="0.2">
      <c r="A2574" s="5">
        <v>2513</v>
      </c>
      <c r="B2574" s="138">
        <f>'Acct Summary 7-8'!D20</f>
        <v>735875</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4045764</v>
      </c>
      <c r="C2591" s="2" t="s">
        <v>572</v>
      </c>
      <c r="D2591" s="2" t="str">
        <f t="shared" si="39"/>
        <v>Error?</v>
      </c>
    </row>
    <row r="2592" spans="1:4" x14ac:dyDescent="0.2">
      <c r="A2592" s="10">
        <v>2531</v>
      </c>
      <c r="D2592" s="2" t="str">
        <f t="shared" si="39"/>
        <v>OK</v>
      </c>
    </row>
    <row r="2593" spans="1:4" x14ac:dyDescent="0.2">
      <c r="A2593" s="5">
        <v>2532</v>
      </c>
      <c r="B2593" s="138">
        <f>'Acct Summary 7-8'!F6</f>
        <v>6344056</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10389820</v>
      </c>
      <c r="C2595" s="2" t="s">
        <v>572</v>
      </c>
      <c r="D2595" s="2" t="str">
        <f t="shared" si="39"/>
        <v>Error?</v>
      </c>
    </row>
    <row r="2596" spans="1:4" x14ac:dyDescent="0.2">
      <c r="A2596" s="5">
        <v>2535</v>
      </c>
      <c r="B2596" s="138">
        <f>'Acct Summary 7-8'!F13</f>
        <v>7259309</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1112541</v>
      </c>
      <c r="C2599" s="2" t="s">
        <v>572</v>
      </c>
      <c r="D2599" s="2" t="str">
        <f t="shared" si="39"/>
        <v>Error?</v>
      </c>
    </row>
    <row r="2600" spans="1:4" x14ac:dyDescent="0.2">
      <c r="A2600" s="5">
        <v>2539</v>
      </c>
      <c r="B2600" s="138">
        <f>'Acct Summary 7-8'!F17</f>
        <v>8371850</v>
      </c>
      <c r="C2600" s="2" t="s">
        <v>572</v>
      </c>
      <c r="D2600" s="2" t="str">
        <f t="shared" si="39"/>
        <v>Error?</v>
      </c>
    </row>
    <row r="2601" spans="1:4" x14ac:dyDescent="0.2">
      <c r="A2601" s="5">
        <v>2540</v>
      </c>
      <c r="B2601" s="138">
        <f>'Acct Summary 7-8'!F20</f>
        <v>2017970</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4424417</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4424417</v>
      </c>
      <c r="C2606" s="2" t="s">
        <v>572</v>
      </c>
      <c r="D2606" s="2" t="str">
        <f t="shared" si="39"/>
        <v>Error?</v>
      </c>
    </row>
    <row r="2607" spans="1:4" x14ac:dyDescent="0.2">
      <c r="A2607" s="5">
        <v>2546</v>
      </c>
      <c r="B2607" s="138">
        <f>'Acct Summary 7-8'!G12</f>
        <v>1728707</v>
      </c>
      <c r="C2607" s="2" t="s">
        <v>572</v>
      </c>
      <c r="D2607" s="2" t="str">
        <f t="shared" si="39"/>
        <v>Error?</v>
      </c>
    </row>
    <row r="2608" spans="1:4" x14ac:dyDescent="0.2">
      <c r="A2608" s="5">
        <v>2547</v>
      </c>
      <c r="B2608" s="138">
        <f>'Acct Summary 7-8'!G13</f>
        <v>2418714</v>
      </c>
      <c r="C2608" s="2" t="s">
        <v>572</v>
      </c>
      <c r="D2608" s="2" t="str">
        <f t="shared" si="39"/>
        <v>Error?</v>
      </c>
    </row>
    <row r="2609" spans="1:4" x14ac:dyDescent="0.2">
      <c r="A2609" s="5">
        <v>2548</v>
      </c>
      <c r="B2609" s="138">
        <f>'Acct Summary 7-8'!G14</f>
        <v>87240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4234661</v>
      </c>
      <c r="C2612" s="2" t="s">
        <v>572</v>
      </c>
      <c r="D2612" s="2" t="str">
        <f t="shared" si="39"/>
        <v>Error?</v>
      </c>
    </row>
    <row r="2613" spans="1:4" x14ac:dyDescent="0.2">
      <c r="A2613" s="5">
        <v>2552</v>
      </c>
      <c r="B2613" s="138">
        <f>'Acct Summary 7-8'!G20</f>
        <v>189756</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15852361</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15852361</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16196924</v>
      </c>
      <c r="C2634" s="2" t="s">
        <v>572</v>
      </c>
      <c r="D2634" s="2" t="str">
        <f t="shared" si="40"/>
        <v>Error?</v>
      </c>
    </row>
    <row r="2635" spans="1:4" x14ac:dyDescent="0.2">
      <c r="A2635" s="5">
        <v>2574</v>
      </c>
      <c r="B2635" s="138">
        <f>'Acct Summary 7-8'!E17</f>
        <v>16196924</v>
      </c>
      <c r="C2635" s="2" t="s">
        <v>572</v>
      </c>
      <c r="D2635" s="2" t="str">
        <f t="shared" si="40"/>
        <v>Error?</v>
      </c>
    </row>
    <row r="2636" spans="1:4" x14ac:dyDescent="0.2">
      <c r="A2636" s="5">
        <v>2575</v>
      </c>
      <c r="B2636" s="138">
        <f>'Acct Summary 7-8'!E20</f>
        <v>-344563</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373111</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373111</v>
      </c>
      <c r="C2658" s="2" t="s">
        <v>572</v>
      </c>
      <c r="D2658" s="2" t="str">
        <f t="shared" si="40"/>
        <v>Error?</v>
      </c>
    </row>
    <row r="2659" spans="1:4" x14ac:dyDescent="0.2">
      <c r="A2659" s="5">
        <v>2598</v>
      </c>
      <c r="B2659" s="138">
        <f>'Acct Summary 7-8'!H13</f>
        <v>9003775</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9003775</v>
      </c>
      <c r="C2661" s="2" t="s">
        <v>572</v>
      </c>
      <c r="D2661" s="2" t="str">
        <f t="shared" si="40"/>
        <v>Error?</v>
      </c>
    </row>
    <row r="2662" spans="1:4" x14ac:dyDescent="0.2">
      <c r="A2662" s="5">
        <v>2601</v>
      </c>
      <c r="B2662" s="138">
        <f>'Acct Summary 7-8'!H20</f>
        <v>-8630664</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139802</v>
      </c>
      <c r="D2718" s="2" t="str">
        <f t="shared" si="41"/>
        <v>Error?</v>
      </c>
    </row>
    <row r="2719" spans="1:4" x14ac:dyDescent="0.2">
      <c r="A2719" s="5">
        <v>2658</v>
      </c>
      <c r="B2719" s="138">
        <f>'Expenditures 15-22'!D51</f>
        <v>21570</v>
      </c>
      <c r="D2719" s="2" t="str">
        <f t="shared" si="41"/>
        <v>Error?</v>
      </c>
    </row>
    <row r="2720" spans="1:4" x14ac:dyDescent="0.2">
      <c r="A2720" s="5">
        <v>2659</v>
      </c>
      <c r="B2720" s="138">
        <f>'Expenditures 15-22'!E51</f>
        <v>38237</v>
      </c>
      <c r="D2720" s="2" t="str">
        <f t="shared" si="41"/>
        <v>Error?</v>
      </c>
    </row>
    <row r="2721" spans="1:4" x14ac:dyDescent="0.2">
      <c r="A2721" s="5">
        <v>2660</v>
      </c>
      <c r="B2721" s="138">
        <f>'Expenditures 15-22'!F51</f>
        <v>548</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200157</v>
      </c>
      <c r="C2724" s="2" t="s">
        <v>572</v>
      </c>
      <c r="D2724" s="2" t="str">
        <f t="shared" si="41"/>
        <v>Error?</v>
      </c>
    </row>
    <row r="2725" spans="1:4" x14ac:dyDescent="0.2">
      <c r="A2725" s="5">
        <v>2664</v>
      </c>
      <c r="B2725" s="138">
        <f>'Expenditures 15-22'!D247</f>
        <v>17551</v>
      </c>
      <c r="D2725" s="2" t="str">
        <f t="shared" si="41"/>
        <v>Error?</v>
      </c>
    </row>
    <row r="2726" spans="1:4" x14ac:dyDescent="0.2">
      <c r="A2726" s="5">
        <v>2665</v>
      </c>
      <c r="B2726" s="138">
        <f>'Expenditures 15-22'!K247</f>
        <v>17551</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1238206</v>
      </c>
      <c r="C2789" s="2" t="s">
        <v>572</v>
      </c>
      <c r="D2789" s="2" t="str">
        <f t="shared" si="42"/>
        <v>Error?</v>
      </c>
    </row>
    <row r="2790" spans="1:4" x14ac:dyDescent="0.2">
      <c r="A2790" s="5">
        <v>2729</v>
      </c>
      <c r="B2790" s="138">
        <f>'Expenditures 15-22'!E102</f>
        <v>1238206</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16425151</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14253044</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14253044</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1185546</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1898275</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14253044</v>
      </c>
      <c r="D2912" s="2" t="str">
        <f t="shared" si="44"/>
        <v>Error?</v>
      </c>
    </row>
    <row r="2913" spans="1:4" x14ac:dyDescent="0.2">
      <c r="A2913" s="5">
        <v>2852</v>
      </c>
      <c r="B2913" s="138">
        <f>'Assets-Liab 5-6'!I41</f>
        <v>14253044</v>
      </c>
      <c r="C2913" s="2" t="s">
        <v>572</v>
      </c>
      <c r="D2913" s="2" t="str">
        <f t="shared" si="44"/>
        <v>Error?</v>
      </c>
    </row>
    <row r="2914" spans="1:4" x14ac:dyDescent="0.2">
      <c r="A2914" s="5">
        <v>2853</v>
      </c>
      <c r="B2914" s="138">
        <f>'Assets-Liab 5-6'!L33</f>
        <v>1898275</v>
      </c>
      <c r="D2914" s="2" t="str">
        <f t="shared" si="44"/>
        <v>Error?</v>
      </c>
    </row>
    <row r="2915" spans="1:4" x14ac:dyDescent="0.2">
      <c r="A2915" s="10">
        <v>2854</v>
      </c>
      <c r="D2915" s="2" t="str">
        <f t="shared" si="44"/>
        <v>OK</v>
      </c>
    </row>
    <row r="2916" spans="1:4" x14ac:dyDescent="0.2">
      <c r="A2916" s="5">
        <v>2855</v>
      </c>
      <c r="B2916" s="138">
        <f>'Assets-Liab 5-6'!L34</f>
        <v>1898275</v>
      </c>
      <c r="C2916" s="2" t="s">
        <v>572</v>
      </c>
      <c r="D2916" s="2" t="str">
        <f t="shared" si="44"/>
        <v>Error?</v>
      </c>
    </row>
    <row r="2917" spans="1:4" x14ac:dyDescent="0.2">
      <c r="A2917" s="5">
        <v>2856</v>
      </c>
      <c r="B2917" s="138">
        <f>'Assets-Liab 5-6'!L41</f>
        <v>1898275</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238203</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1000003</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4420189</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997695</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238203</v>
      </c>
      <c r="C2973" s="2" t="s">
        <v>572</v>
      </c>
      <c r="D2973" s="2" t="str">
        <f t="shared" si="45"/>
        <v>Error?</v>
      </c>
    </row>
    <row r="2974" spans="1:4" x14ac:dyDescent="0.2">
      <c r="A2974" s="5">
        <v>2913</v>
      </c>
      <c r="B2974" s="138">
        <f>'Expenditures 15-22'!K79</f>
        <v>4420189</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1997698</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1588945</v>
      </c>
      <c r="D3055" s="2" t="str">
        <f t="shared" si="46"/>
        <v>Error?</v>
      </c>
    </row>
    <row r="3056" spans="1:4" x14ac:dyDescent="0.2">
      <c r="A3056" s="5">
        <v>2995</v>
      </c>
      <c r="B3056" s="138">
        <f>'Expenditures 15-22'!D10</f>
        <v>485215</v>
      </c>
      <c r="D3056" s="2" t="str">
        <f t="shared" si="46"/>
        <v>Error?</v>
      </c>
    </row>
    <row r="3057" spans="1:4" x14ac:dyDescent="0.2">
      <c r="A3057" s="5">
        <v>2996</v>
      </c>
      <c r="B3057" s="138">
        <f>'Expenditures 15-22'!E10</f>
        <v>38790</v>
      </c>
      <c r="D3057" s="2" t="str">
        <f t="shared" si="46"/>
        <v>Error?</v>
      </c>
    </row>
    <row r="3058" spans="1:4" x14ac:dyDescent="0.2">
      <c r="A3058" s="5">
        <v>2997</v>
      </c>
      <c r="B3058" s="138">
        <f>'Expenditures 15-22'!F10</f>
        <v>1066215</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3179165</v>
      </c>
      <c r="C3062" s="2" t="s">
        <v>572</v>
      </c>
      <c r="D3062" s="2" t="str">
        <f t="shared" si="46"/>
        <v>Error?</v>
      </c>
    </row>
    <row r="3063" spans="1:4" x14ac:dyDescent="0.2">
      <c r="A3063" s="10">
        <v>3002</v>
      </c>
      <c r="D3063" s="2" t="str">
        <f t="shared" si="46"/>
        <v>OK</v>
      </c>
    </row>
    <row r="3064" spans="1:4" x14ac:dyDescent="0.2">
      <c r="A3064" s="5">
        <v>3003</v>
      </c>
      <c r="B3064" s="138">
        <f>'Expenditures 15-22'!D219</f>
        <v>34501</v>
      </c>
      <c r="D3064" s="2" t="str">
        <f t="shared" si="46"/>
        <v>Error?</v>
      </c>
    </row>
    <row r="3065" spans="1:4" x14ac:dyDescent="0.2">
      <c r="A3065" s="5">
        <v>3004</v>
      </c>
      <c r="B3065" s="138">
        <f>'Expenditures 15-22'!K219</f>
        <v>34501</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9110000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572</v>
      </c>
      <c r="D3225" s="2" t="str">
        <f t="shared" si="49"/>
        <v>Error?</v>
      </c>
    </row>
    <row r="3226" spans="1:4" x14ac:dyDescent="0.2">
      <c r="A3226" s="5">
        <v>3165</v>
      </c>
      <c r="B3226" s="138">
        <f>'Acct Summary 7-8'!I8</f>
        <v>0</v>
      </c>
      <c r="C3226" s="2" t="s">
        <v>572</v>
      </c>
      <c r="D3226" s="2" t="str">
        <f t="shared" si="49"/>
        <v>Error?</v>
      </c>
    </row>
    <row r="3227" spans="1:4" x14ac:dyDescent="0.2">
      <c r="A3227" s="5">
        <v>3166</v>
      </c>
      <c r="B3227" s="138">
        <f>'Acct Summary 7-8'!I20</f>
        <v>0</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0</v>
      </c>
      <c r="C3232" s="2" t="s">
        <v>572</v>
      </c>
      <c r="D3232" s="2" t="str">
        <f t="shared" si="49"/>
        <v>Error?</v>
      </c>
    </row>
    <row r="3233" spans="1:4" x14ac:dyDescent="0.2">
      <c r="A3233" s="5">
        <v>3172</v>
      </c>
      <c r="B3233" s="138">
        <f>'Acct Summary 7-8'!C78</f>
        <v>11575062</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735875</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2017970</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189756</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9498591</v>
      </c>
      <c r="C3274" s="2" t="s">
        <v>572</v>
      </c>
      <c r="D3274" s="2" t="str">
        <f t="shared" si="50"/>
        <v>Error?</v>
      </c>
    </row>
    <row r="3275" spans="1:4" x14ac:dyDescent="0.2">
      <c r="A3275" s="5">
        <v>3214</v>
      </c>
      <c r="B3275" s="138">
        <f>'Acct Summary 7-8'!E75</f>
        <v>9362238</v>
      </c>
      <c r="D3275" s="2" t="str">
        <f t="shared" si="50"/>
        <v>Error?</v>
      </c>
    </row>
    <row r="3276" spans="1:4" x14ac:dyDescent="0.2">
      <c r="A3276" s="5">
        <v>3215</v>
      </c>
      <c r="B3276" s="138">
        <f>'Acct Summary 7-8'!E76</f>
        <v>9362238</v>
      </c>
      <c r="C3276" s="2" t="s">
        <v>572</v>
      </c>
      <c r="D3276" s="2" t="str">
        <f t="shared" si="50"/>
        <v>Error?</v>
      </c>
    </row>
    <row r="3277" spans="1:4" x14ac:dyDescent="0.2">
      <c r="A3277" s="5">
        <v>3216</v>
      </c>
      <c r="B3277" s="138">
        <f>'Acct Summary 7-8'!E77</f>
        <v>136353</v>
      </c>
      <c r="C3277" s="2" t="s">
        <v>572</v>
      </c>
      <c r="D3277" s="2" t="str">
        <f t="shared" si="50"/>
        <v>Error?</v>
      </c>
    </row>
    <row r="3278" spans="1:4" x14ac:dyDescent="0.2">
      <c r="A3278" s="5">
        <v>3217</v>
      </c>
      <c r="B3278" s="138">
        <f>'Acct Summary 7-8'!E78</f>
        <v>-208210</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-8630664</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0</v>
      </c>
      <c r="C3320" s="2" t="s">
        <v>572</v>
      </c>
      <c r="D3320" s="2" t="str">
        <f t="shared" si="50"/>
        <v>Error?</v>
      </c>
    </row>
    <row r="3321" spans="1:4" x14ac:dyDescent="0.2">
      <c r="A3321" s="5">
        <v>3260</v>
      </c>
      <c r="B3321" s="138">
        <f>'Acct Summary 7-8'!I79</f>
        <v>14253044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14253044</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10060877</v>
      </c>
      <c r="D3366" s="2" t="str">
        <f t="shared" si="51"/>
        <v>Error?</v>
      </c>
    </row>
    <row r="3367" spans="1:4" x14ac:dyDescent="0.2">
      <c r="A3367" s="5">
        <v>3306</v>
      </c>
      <c r="B3367" s="138">
        <f>'Expenditures 15-22'!C19</f>
        <v>317731</v>
      </c>
      <c r="D3367" s="2" t="str">
        <f t="shared" si="51"/>
        <v>Error?</v>
      </c>
    </row>
    <row r="3368" spans="1:4" x14ac:dyDescent="0.2">
      <c r="A3368" s="5">
        <v>3307</v>
      </c>
      <c r="B3368" s="138">
        <f>'Expenditures 15-22'!D8</f>
        <v>2765458</v>
      </c>
      <c r="D3368" s="2" t="str">
        <f t="shared" si="51"/>
        <v>Error?</v>
      </c>
    </row>
    <row r="3369" spans="1:4" x14ac:dyDescent="0.2">
      <c r="A3369" s="5">
        <v>3308</v>
      </c>
      <c r="B3369" s="138">
        <f>'Expenditures 15-22'!D19</f>
        <v>85955</v>
      </c>
      <c r="D3369" s="2" t="str">
        <f t="shared" si="51"/>
        <v>Error?</v>
      </c>
    </row>
    <row r="3370" spans="1:4" x14ac:dyDescent="0.2">
      <c r="A3370" s="5">
        <v>3309</v>
      </c>
      <c r="B3370" s="138">
        <f>'Expenditures 15-22'!E8</f>
        <v>249641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206773</v>
      </c>
      <c r="D3372" s="2" t="str">
        <f t="shared" si="51"/>
        <v>Error?</v>
      </c>
    </row>
    <row r="3373" spans="1:4" x14ac:dyDescent="0.2">
      <c r="A3373" s="5">
        <v>3312</v>
      </c>
      <c r="B3373" s="138">
        <f>'Expenditures 15-22'!F19</f>
        <v>11550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4561240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17843989</v>
      </c>
      <c r="C3380" s="2" t="s">
        <v>572</v>
      </c>
      <c r="D3380" s="2" t="str">
        <f t="shared" si="51"/>
        <v>Error?</v>
      </c>
    </row>
    <row r="3381" spans="1:4" x14ac:dyDescent="0.2">
      <c r="A3381" s="5">
        <v>3320</v>
      </c>
      <c r="B3381" s="138">
        <f>'Expenditures 15-22'!K19</f>
        <v>415236</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712959</v>
      </c>
      <c r="D3387" s="2" t="str">
        <f t="shared" si="51"/>
        <v>Error?</v>
      </c>
    </row>
    <row r="3388" spans="1:4" x14ac:dyDescent="0.2">
      <c r="A3388" s="5">
        <v>3327</v>
      </c>
      <c r="B3388" s="138">
        <f>'Expenditures 15-22'!D217</f>
        <v>667726</v>
      </c>
      <c r="D3388" s="2" t="str">
        <f t="shared" si="51"/>
        <v>Error?</v>
      </c>
    </row>
    <row r="3389" spans="1:4" x14ac:dyDescent="0.2">
      <c r="A3389" s="5">
        <v>3328</v>
      </c>
      <c r="B3389" s="138">
        <f>'Expenditures 15-22'!D228</f>
        <v>23183</v>
      </c>
      <c r="D3389" s="2" t="str">
        <f t="shared" si="51"/>
        <v>Error?</v>
      </c>
    </row>
    <row r="3390" spans="1:4" x14ac:dyDescent="0.2">
      <c r="A3390" s="5">
        <v>3329</v>
      </c>
      <c r="B3390" s="138">
        <f>'Expenditures 15-22'!K215</f>
        <v>712959</v>
      </c>
      <c r="C3390" s="2" t="s">
        <v>572</v>
      </c>
      <c r="D3390" s="2" t="str">
        <f t="shared" si="51"/>
        <v>Error?</v>
      </c>
    </row>
    <row r="3391" spans="1:4" x14ac:dyDescent="0.2">
      <c r="A3391" s="5">
        <v>3330</v>
      </c>
      <c r="B3391" s="138">
        <f>'Expenditures 15-22'!K217</f>
        <v>667726</v>
      </c>
      <c r="C3391" s="2" t="s">
        <v>572</v>
      </c>
      <c r="D3391" s="2" t="str">
        <f t="shared" ref="D3391:D3454" si="52">IF(ISBLANK(B3391),"OK",IF(A3391-B3391=0,"OK","Error?"))</f>
        <v>Error?</v>
      </c>
    </row>
    <row r="3392" spans="1:4" x14ac:dyDescent="0.2">
      <c r="A3392" s="5">
        <v>3331</v>
      </c>
      <c r="B3392" s="138">
        <f>'Expenditures 15-22'!K228</f>
        <v>23183</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4001119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759197</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1806788</v>
      </c>
      <c r="D3417" s="2" t="str">
        <f t="shared" si="52"/>
        <v>Error?</v>
      </c>
    </row>
    <row r="3418" spans="1:4" x14ac:dyDescent="0.2">
      <c r="A3418" s="10">
        <v>3357</v>
      </c>
      <c r="D3418" s="2" t="str">
        <f t="shared" si="52"/>
        <v>OK</v>
      </c>
    </row>
    <row r="3419" spans="1:4" x14ac:dyDescent="0.2">
      <c r="A3419" s="5">
        <v>3358</v>
      </c>
      <c r="B3419" s="138">
        <f>'Assets-Liab 5-6'!F4</f>
        <v>464026</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836341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5118591</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712729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2002591</v>
      </c>
      <c r="C3446" s="2" t="s">
        <v>572</v>
      </c>
      <c r="D3446" s="2" t="str">
        <f t="shared" si="52"/>
        <v>Error?</v>
      </c>
    </row>
    <row r="3447" spans="1:4" x14ac:dyDescent="0.2">
      <c r="A3447" s="5">
        <v>3386</v>
      </c>
      <c r="B3447" s="138">
        <f>'Tax Sched 23'!D16</f>
        <v>1051749</v>
      </c>
      <c r="C3447" s="2" t="s">
        <v>572</v>
      </c>
      <c r="D3447" s="2" t="str">
        <f t="shared" si="52"/>
        <v>Error?</v>
      </c>
    </row>
    <row r="3448" spans="1:4" x14ac:dyDescent="0.2">
      <c r="A3448" s="5">
        <v>3387</v>
      </c>
      <c r="B3448" s="138">
        <f>'Tax Sched 23'!C16</f>
        <v>950842</v>
      </c>
      <c r="D3448" s="2" t="str">
        <f t="shared" si="52"/>
        <v>Error?</v>
      </c>
    </row>
    <row r="3449" spans="1:4" x14ac:dyDescent="0.2">
      <c r="A3449" s="5">
        <v>3388</v>
      </c>
      <c r="B3449" s="138">
        <f>'Tax Sched 23'!F16</f>
        <v>1316596</v>
      </c>
      <c r="C3449" s="2" t="s">
        <v>572</v>
      </c>
      <c r="D3449" s="2" t="str">
        <f t="shared" si="52"/>
        <v>Error?</v>
      </c>
    </row>
    <row r="3450" spans="1:4" x14ac:dyDescent="0.2">
      <c r="A3450" s="5">
        <v>3389</v>
      </c>
      <c r="B3450" s="138">
        <f>'Tax Sched 23'!E16</f>
        <v>2267438</v>
      </c>
      <c r="D3450" s="2" t="str">
        <f t="shared" si="52"/>
        <v>Error?</v>
      </c>
    </row>
    <row r="3451" spans="1:4" x14ac:dyDescent="0.2">
      <c r="A3451" s="5">
        <v>3390</v>
      </c>
      <c r="B3451" s="138">
        <f>'Cap Outlay Deprec 26'!C15</f>
        <v>7487139</v>
      </c>
      <c r="D3451" s="2" t="str">
        <f t="shared" si="52"/>
        <v>Error?</v>
      </c>
    </row>
    <row r="3452" spans="1:4" x14ac:dyDescent="0.2">
      <c r="A3452" s="5">
        <v>3391</v>
      </c>
      <c r="B3452" s="138">
        <f>'Cap Outlay Deprec 26'!D15</f>
        <v>10308948</v>
      </c>
      <c r="D3452" s="2" t="str">
        <f t="shared" si="52"/>
        <v>Error?</v>
      </c>
    </row>
    <row r="3453" spans="1:4" x14ac:dyDescent="0.2">
      <c r="A3453" s="5">
        <v>3392</v>
      </c>
      <c r="B3453" s="138">
        <f>'Cap Outlay Deprec 26'!E15</f>
        <v>1370936</v>
      </c>
      <c r="D3453" s="2" t="str">
        <f t="shared" si="52"/>
        <v>Error?</v>
      </c>
    </row>
    <row r="3454" spans="1:4" x14ac:dyDescent="0.2">
      <c r="A3454" s="5">
        <v>3393</v>
      </c>
      <c r="B3454" s="138">
        <f>'Cap Outlay Deprec 26'!F15</f>
        <v>16425151</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16425151</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14904</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14904</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14904</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14904</v>
      </c>
      <c r="C3568" s="2" t="s">
        <v>572</v>
      </c>
      <c r="D3568" s="2" t="str">
        <f t="shared" si="54"/>
        <v>Error?</v>
      </c>
    </row>
    <row r="3569" spans="1:4" x14ac:dyDescent="0.2">
      <c r="A3569" s="5">
        <v>3508</v>
      </c>
      <c r="B3569" s="138">
        <f>'Acct Summary 7-8'!K4</f>
        <v>293</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293</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293</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293</v>
      </c>
      <c r="C3588" s="2" t="s">
        <v>572</v>
      </c>
      <c r="D3588" s="2" t="str">
        <f t="shared" si="55"/>
        <v>Error?</v>
      </c>
    </row>
    <row r="3589" spans="1:4" x14ac:dyDescent="0.2">
      <c r="A3589" s="5">
        <v>3528</v>
      </c>
      <c r="B3589" s="138">
        <f>'Acct Summary 7-8'!K79</f>
        <v>14611</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14904</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293</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6064</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6064</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8687240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148821761</v>
      </c>
      <c r="C4122" s="2" t="s">
        <v>572</v>
      </c>
      <c r="D4122" s="2" t="str">
        <f t="shared" si="63"/>
        <v>Error?</v>
      </c>
    </row>
    <row r="4123" spans="1:4" x14ac:dyDescent="0.2">
      <c r="A4123" s="5">
        <v>4062</v>
      </c>
      <c r="B4123" s="138">
        <f>'Acct Summary 7-8'!D10</f>
        <v>15657898</v>
      </c>
      <c r="C4123" s="2" t="s">
        <v>572</v>
      </c>
      <c r="D4123" s="2" t="str">
        <f t="shared" si="63"/>
        <v>Error?</v>
      </c>
    </row>
    <row r="4124" spans="1:4" x14ac:dyDescent="0.2">
      <c r="A4124" s="5">
        <v>4063</v>
      </c>
      <c r="B4124" s="138">
        <f>'Acct Summary 7-8'!E10</f>
        <v>15852361</v>
      </c>
      <c r="C4124" s="2" t="s">
        <v>572</v>
      </c>
      <c r="D4124" s="2" t="str">
        <f t="shared" si="63"/>
        <v>Error?</v>
      </c>
    </row>
    <row r="4125" spans="1:4" x14ac:dyDescent="0.2">
      <c r="A4125" s="5">
        <v>4064</v>
      </c>
      <c r="B4125" s="138">
        <f>'Acct Summary 7-8'!F10</f>
        <v>10389820</v>
      </c>
      <c r="C4125" s="2" t="s">
        <v>572</v>
      </c>
      <c r="D4125" s="2" t="str">
        <f t="shared" si="63"/>
        <v>Error?</v>
      </c>
    </row>
    <row r="4126" spans="1:4" x14ac:dyDescent="0.2">
      <c r="A4126" s="5">
        <v>4065</v>
      </c>
      <c r="B4126" s="138">
        <f>'Acct Summary 7-8'!G10</f>
        <v>4424417</v>
      </c>
      <c r="C4126" s="2" t="s">
        <v>572</v>
      </c>
      <c r="D4126" s="2" t="str">
        <f t="shared" si="63"/>
        <v>Error?</v>
      </c>
    </row>
    <row r="4127" spans="1:4" x14ac:dyDescent="0.2">
      <c r="A4127" s="5">
        <v>4066</v>
      </c>
      <c r="B4127" s="138">
        <f>'Acct Summary 7-8'!H10</f>
        <v>373111</v>
      </c>
      <c r="C4127" s="2" t="s">
        <v>572</v>
      </c>
      <c r="D4127" s="2" t="str">
        <f t="shared" si="63"/>
        <v>Error?</v>
      </c>
    </row>
    <row r="4128" spans="1:4" x14ac:dyDescent="0.2">
      <c r="A4128" s="5">
        <v>4067</v>
      </c>
      <c r="B4128" s="138">
        <f>'Acct Summary 7-8'!I10</f>
        <v>0</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293</v>
      </c>
      <c r="C4130" s="2" t="s">
        <v>572</v>
      </c>
      <c r="D4130" s="2" t="str">
        <f t="shared" si="63"/>
        <v>Error?</v>
      </c>
    </row>
    <row r="4131" spans="1:4" x14ac:dyDescent="0.2">
      <c r="A4131" s="5">
        <v>4070</v>
      </c>
      <c r="B4131" s="138">
        <f>'Acct Summary 7-8'!C18</f>
        <v>8687240</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137246699</v>
      </c>
      <c r="C4136" s="2" t="s">
        <v>572</v>
      </c>
      <c r="D4136" s="2" t="str">
        <f t="shared" si="63"/>
        <v>Error?</v>
      </c>
    </row>
    <row r="4137" spans="1:4" x14ac:dyDescent="0.2">
      <c r="A4137" s="5">
        <v>4076</v>
      </c>
      <c r="B4137" s="138">
        <f>'Acct Summary 7-8'!D19</f>
        <v>14922023</v>
      </c>
      <c r="C4137" s="2" t="s">
        <v>572</v>
      </c>
      <c r="D4137" s="2" t="str">
        <f t="shared" si="63"/>
        <v>Error?</v>
      </c>
    </row>
    <row r="4138" spans="1:4" x14ac:dyDescent="0.2">
      <c r="A4138" s="5">
        <v>4077</v>
      </c>
      <c r="B4138" s="138">
        <f>'Acct Summary 7-8'!E19</f>
        <v>16196924</v>
      </c>
      <c r="C4138" s="2" t="s">
        <v>572</v>
      </c>
      <c r="D4138" s="2" t="str">
        <f t="shared" si="63"/>
        <v>Error?</v>
      </c>
    </row>
    <row r="4139" spans="1:4" x14ac:dyDescent="0.2">
      <c r="A4139" s="5">
        <v>4078</v>
      </c>
      <c r="B4139" s="138">
        <f>'Acct Summary 7-8'!F19</f>
        <v>8371850</v>
      </c>
      <c r="C4139" s="2" t="s">
        <v>572</v>
      </c>
      <c r="D4139" s="2" t="str">
        <f t="shared" si="63"/>
        <v>Error?</v>
      </c>
    </row>
    <row r="4140" spans="1:4" x14ac:dyDescent="0.2">
      <c r="A4140" s="5">
        <v>4079</v>
      </c>
      <c r="B4140" s="138">
        <f>'Acct Summary 7-8'!G19</f>
        <v>4234661</v>
      </c>
      <c r="C4140" s="2" t="s">
        <v>572</v>
      </c>
      <c r="D4140" s="2" t="str">
        <f t="shared" si="63"/>
        <v>Error?</v>
      </c>
    </row>
    <row r="4141" spans="1:4" x14ac:dyDescent="0.2">
      <c r="A4141" s="5">
        <v>4080</v>
      </c>
      <c r="B4141" s="138">
        <f>'Acct Summary 7-8'!H19</f>
        <v>9003775</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135458000</v>
      </c>
      <c r="C4171" s="2" t="s">
        <v>572</v>
      </c>
      <c r="D4171" s="2" t="str">
        <f t="shared" si="64"/>
        <v>Error?</v>
      </c>
    </row>
    <row r="4172" spans="1:4" x14ac:dyDescent="0.2">
      <c r="A4172" s="5">
        <v>4111</v>
      </c>
      <c r="B4172" s="138">
        <f>'Short-Term Long-Term Debt 24'!J49</f>
        <v>125615568</v>
      </c>
      <c r="C4172" s="2" t="s">
        <v>572</v>
      </c>
      <c r="D4172" s="2" t="str">
        <f t="shared" si="64"/>
        <v>Error?</v>
      </c>
    </row>
    <row r="4173" spans="1:4" x14ac:dyDescent="0.2">
      <c r="A4173" s="5">
        <v>4112</v>
      </c>
      <c r="B4173" s="138">
        <f>'Short-Term Long-Term Debt 24'!H49</f>
        <v>9965000</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-9330000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1050295</v>
      </c>
      <c r="D4210" s="2" t="str">
        <f t="shared" si="64"/>
        <v>Error?</v>
      </c>
    </row>
    <row r="4211" spans="1:4" x14ac:dyDescent="0.2">
      <c r="A4211" s="5">
        <v>4150</v>
      </c>
      <c r="B4211" s="138">
        <f>'Expenditures 15-22'!K206</f>
        <v>1050295</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1934</v>
      </c>
    </row>
    <row r="4236" spans="1:5" x14ac:dyDescent="0.2">
      <c r="A4236" s="10">
        <v>4175</v>
      </c>
      <c r="D4236" s="2" t="str">
        <f t="shared" si="65"/>
        <v>OK</v>
      </c>
      <c r="E4236" s="4" t="s">
        <v>1934</v>
      </c>
    </row>
    <row r="4237" spans="1:5" x14ac:dyDescent="0.2">
      <c r="A4237" s="10">
        <v>4176</v>
      </c>
      <c r="D4237" s="2" t="str">
        <f t="shared" si="65"/>
        <v>OK</v>
      </c>
      <c r="E4237" s="4" t="s">
        <v>1934</v>
      </c>
    </row>
    <row r="4238" spans="1:5" x14ac:dyDescent="0.2">
      <c r="A4238" s="10">
        <v>4177</v>
      </c>
      <c r="D4238" s="2" t="str">
        <f t="shared" si="65"/>
        <v>OK</v>
      </c>
      <c r="E4238" s="4" t="s">
        <v>1934</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3330.8160000000003</v>
      </c>
      <c r="C4265" s="2" t="s">
        <v>572</v>
      </c>
      <c r="D4265" s="2" t="str">
        <f t="shared" si="65"/>
        <v>Error?</v>
      </c>
      <c r="E4265" s="128"/>
    </row>
    <row r="4266" spans="1:5" x14ac:dyDescent="0.2">
      <c r="A4266" s="12">
        <v>4205</v>
      </c>
      <c r="B4266" s="138">
        <f>('FP Info 3'!F10)*100000</f>
        <v>732.78</v>
      </c>
      <c r="C4266" s="2" t="s">
        <v>572</v>
      </c>
      <c r="D4266" s="2" t="str">
        <f t="shared" si="65"/>
        <v>Error?</v>
      </c>
      <c r="E4266" s="128"/>
    </row>
    <row r="4267" spans="1:5" x14ac:dyDescent="0.2">
      <c r="A4267" s="12">
        <v>4206</v>
      </c>
      <c r="B4267" s="138">
        <f>('FP Info 3'!H10)*100000</f>
        <v>248.29700000000003</v>
      </c>
      <c r="C4267" s="2" t="s">
        <v>572</v>
      </c>
      <c r="D4267" s="2" t="str">
        <f t="shared" si="65"/>
        <v>Error?</v>
      </c>
      <c r="E4267" s="128"/>
    </row>
    <row r="4268" spans="1:5" x14ac:dyDescent="0.2">
      <c r="A4268" s="12">
        <v>4207</v>
      </c>
      <c r="B4268" s="138">
        <f>('FP Info 3'!J10)*100000</f>
        <v>4312</v>
      </c>
      <c r="C4268" s="2" t="s">
        <v>572</v>
      </c>
      <c r="D4268" s="2" t="str">
        <f t="shared" si="65"/>
        <v>Error?</v>
      </c>
    </row>
    <row r="4269" spans="1:5" x14ac:dyDescent="0.2">
      <c r="A4269" s="12">
        <v>4208</v>
      </c>
      <c r="B4269" s="138">
        <f>'FP Info 3'!J16</f>
        <v>52018194</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48819</v>
      </c>
      <c r="D4331" s="2" t="str">
        <f t="shared" si="66"/>
        <v>Error?</v>
      </c>
    </row>
    <row r="4332" spans="1:4" x14ac:dyDescent="0.2">
      <c r="A4332" s="5">
        <v>4271</v>
      </c>
      <c r="B4332" s="138">
        <f>'Revenues 9-14'!C203</f>
        <v>240694</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439897</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1286052</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1934</v>
      </c>
    </row>
    <row r="4400" spans="1:5" x14ac:dyDescent="0.2">
      <c r="A4400" s="10">
        <v>4339</v>
      </c>
      <c r="D4400" s="2" t="str">
        <f t="shared" si="67"/>
        <v>OK</v>
      </c>
      <c r="E4400" s="4" t="s">
        <v>1934</v>
      </c>
    </row>
    <row r="4401" spans="1:5" x14ac:dyDescent="0.2">
      <c r="A4401" s="10">
        <v>4340</v>
      </c>
      <c r="D4401" s="2" t="str">
        <f t="shared" si="67"/>
        <v>OK</v>
      </c>
      <c r="E4401" s="4" t="s">
        <v>1934</v>
      </c>
    </row>
    <row r="4402" spans="1:5" x14ac:dyDescent="0.2">
      <c r="A4402" s="10">
        <v>4341</v>
      </c>
      <c r="D4402" s="2" t="str">
        <f t="shared" si="67"/>
        <v>OK</v>
      </c>
      <c r="E4402" s="4" t="s">
        <v>1934</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493768</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493768</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302171</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625702</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313449</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1634979156</v>
      </c>
      <c r="D4995" s="2" t="str">
        <f t="shared" si="77"/>
        <v>Error?</v>
      </c>
    </row>
    <row r="4996" spans="1:4" x14ac:dyDescent="0.2">
      <c r="A4996" s="12">
        <v>4935</v>
      </c>
      <c r="B4996" s="138">
        <f>'FP Info 3'!H31</f>
        <v>225627123.52800003</v>
      </c>
      <c r="D4996" s="2" t="str">
        <f t="shared" si="77"/>
        <v>Error?</v>
      </c>
    </row>
    <row r="4997" spans="1:4" x14ac:dyDescent="0.2">
      <c r="A4997" s="12">
        <v>4936</v>
      </c>
      <c r="B4997" s="138">
        <f>'FP Info 3'!H37</f>
        <v>135458000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50810017</v>
      </c>
      <c r="D5061" s="2" t="str">
        <f t="shared" si="78"/>
        <v>Error?</v>
      </c>
    </row>
    <row r="5062" spans="1:4" x14ac:dyDescent="0.2">
      <c r="A5062" s="10">
        <v>5001</v>
      </c>
      <c r="D5062" s="2" t="str">
        <f t="shared" si="78"/>
        <v>OK</v>
      </c>
    </row>
    <row r="5063" spans="1:4" x14ac:dyDescent="0.2">
      <c r="A5063" s="5">
        <v>5002</v>
      </c>
      <c r="B5063" s="138">
        <f>'Revenues 9-14'!C7</f>
        <v>8972748</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59782765</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1676935</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1676935</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9750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2668</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12418</v>
      </c>
      <c r="C5087" s="2" t="s">
        <v>572</v>
      </c>
      <c r="D5087" s="2" t="str">
        <f t="shared" si="78"/>
        <v>Error?</v>
      </c>
    </row>
    <row r="5088" spans="1:4" x14ac:dyDescent="0.2">
      <c r="A5088" s="5">
        <v>5027</v>
      </c>
      <c r="B5088" s="138">
        <f>'Revenues 9-14'!C65</f>
        <v>625333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625333</v>
      </c>
      <c r="C5090" s="2" t="s">
        <v>572</v>
      </c>
      <c r="D5090" s="2" t="str">
        <f t="shared" si="78"/>
        <v>Error?</v>
      </c>
    </row>
    <row r="5091" spans="1:4" x14ac:dyDescent="0.2">
      <c r="A5091" s="5">
        <v>5030</v>
      </c>
      <c r="B5091" s="138">
        <f>'Revenues 9-14'!C70</f>
        <v>69161</v>
      </c>
      <c r="D5091" s="2" t="str">
        <f t="shared" si="78"/>
        <v>Error?</v>
      </c>
    </row>
    <row r="5092" spans="1:4" x14ac:dyDescent="0.2">
      <c r="A5092" s="5">
        <v>5031</v>
      </c>
      <c r="B5092" s="138">
        <f>'Revenues 9-14'!C71</f>
        <v>309615</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11652</v>
      </c>
      <c r="D5094" s="2" t="str">
        <f t="shared" si="78"/>
        <v>Error?</v>
      </c>
    </row>
    <row r="5095" spans="1:4" x14ac:dyDescent="0.2">
      <c r="A5095" s="5">
        <v>5034</v>
      </c>
      <c r="B5095" s="138">
        <f>'Revenues 9-14'!C74</f>
        <v>0</v>
      </c>
      <c r="D5095" s="2" t="str">
        <f t="shared" si="78"/>
        <v>Error?</v>
      </c>
    </row>
    <row r="5096" spans="1:4" x14ac:dyDescent="0.2">
      <c r="A5096" s="5">
        <v>5035</v>
      </c>
      <c r="B5096" s="138">
        <f>'Revenues 9-14'!C75</f>
        <v>723119</v>
      </c>
      <c r="C5096" s="2" t="s">
        <v>572</v>
      </c>
      <c r="D5096" s="2" t="str">
        <f t="shared" si="78"/>
        <v>Error?</v>
      </c>
    </row>
    <row r="5097" spans="1:4" x14ac:dyDescent="0.2">
      <c r="A5097" s="5">
        <v>5036</v>
      </c>
      <c r="B5097" s="138">
        <f>'Revenues 9-14'!C77</f>
        <v>49558</v>
      </c>
      <c r="D5097" s="2" t="str">
        <f t="shared" si="78"/>
        <v>Error?</v>
      </c>
    </row>
    <row r="5098" spans="1:4" x14ac:dyDescent="0.2">
      <c r="A5098" s="5">
        <v>5037</v>
      </c>
      <c r="B5098" s="138">
        <f>'Revenues 9-14'!C78</f>
        <v>25713</v>
      </c>
      <c r="D5098" s="2" t="str">
        <f t="shared" si="78"/>
        <v>Error?</v>
      </c>
    </row>
    <row r="5099" spans="1:4" x14ac:dyDescent="0.2">
      <c r="A5099" s="5">
        <v>5038</v>
      </c>
      <c r="B5099" s="138">
        <f>'Revenues 9-14'!C79</f>
        <v>269420</v>
      </c>
      <c r="D5099" s="2" t="str">
        <f t="shared" si="78"/>
        <v>Error?</v>
      </c>
    </row>
    <row r="5100" spans="1:4" x14ac:dyDescent="0.2">
      <c r="A5100" s="5">
        <v>5039</v>
      </c>
      <c r="B5100" s="138">
        <f>'Revenues 9-14'!C80</f>
        <v>17181</v>
      </c>
      <c r="D5100" s="2" t="str">
        <f t="shared" si="78"/>
        <v>Error?</v>
      </c>
    </row>
    <row r="5101" spans="1:4" x14ac:dyDescent="0.2">
      <c r="A5101" s="5">
        <v>5040</v>
      </c>
      <c r="B5101" s="138">
        <f>'Revenues 9-14'!C81</f>
        <v>53257</v>
      </c>
      <c r="D5101" s="2" t="str">
        <f t="shared" si="78"/>
        <v>Error?</v>
      </c>
    </row>
    <row r="5102" spans="1:4" x14ac:dyDescent="0.2">
      <c r="A5102" s="5">
        <v>5041</v>
      </c>
      <c r="B5102" s="138">
        <f>'Revenues 9-14'!C82</f>
        <v>415129</v>
      </c>
      <c r="C5102" s="2" t="s">
        <v>572</v>
      </c>
      <c r="D5102" s="2" t="str">
        <f t="shared" si="78"/>
        <v>Error?</v>
      </c>
    </row>
    <row r="5103" spans="1:4" x14ac:dyDescent="0.2">
      <c r="A5103" s="5">
        <v>5042</v>
      </c>
      <c r="B5103" s="138">
        <f>'Revenues 9-14'!C84</f>
        <v>810186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810186</v>
      </c>
      <c r="C5112" s="2" t="s">
        <v>572</v>
      </c>
      <c r="D5112" s="2" t="str">
        <f t="shared" si="78"/>
        <v>Error?</v>
      </c>
    </row>
    <row r="5113" spans="1:4" x14ac:dyDescent="0.2">
      <c r="A5113" s="5">
        <v>5052</v>
      </c>
      <c r="B5113" s="138">
        <f>'Revenues 9-14'!C95</f>
        <v>2975</v>
      </c>
      <c r="D5113" s="2" t="str">
        <f t="shared" si="78"/>
        <v>Error?</v>
      </c>
    </row>
    <row r="5114" spans="1:4" x14ac:dyDescent="0.2">
      <c r="A5114" s="5">
        <v>5053</v>
      </c>
      <c r="B5114" s="138">
        <f>'Revenues 9-14'!C96</f>
        <v>120251</v>
      </c>
      <c r="D5114" s="2" t="str">
        <f t="shared" si="78"/>
        <v>Error?</v>
      </c>
    </row>
    <row r="5115" spans="1:4" x14ac:dyDescent="0.2">
      <c r="A5115" s="5">
        <v>5054</v>
      </c>
      <c r="B5115" s="138">
        <f>'Revenues 9-14'!C98</f>
        <v>0</v>
      </c>
      <c r="D5115" s="2" t="str">
        <f t="shared" si="78"/>
        <v>Error?</v>
      </c>
    </row>
    <row r="5116" spans="1:4" x14ac:dyDescent="0.2">
      <c r="A5116" s="5">
        <v>5055</v>
      </c>
      <c r="B5116" s="138">
        <f>'Revenues 9-14'!C99</f>
        <v>30400</v>
      </c>
      <c r="D5116" s="2" t="str">
        <f t="shared" si="78"/>
        <v>Error?</v>
      </c>
    </row>
    <row r="5117" spans="1:4" x14ac:dyDescent="0.2">
      <c r="A5117" s="5">
        <v>5056</v>
      </c>
      <c r="B5117" s="138">
        <f>'Revenues 9-14'!C105</f>
        <v>32512</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407278</v>
      </c>
      <c r="D5119" s="2" t="str">
        <f t="shared" ref="D5119:D5182" si="79">IF(ISBLANK(B5119),"OK",IF(A5119-B5119=0,"OK","Error?"))</f>
        <v>Error?</v>
      </c>
    </row>
    <row r="5120" spans="1:4" x14ac:dyDescent="0.2">
      <c r="A5120" s="5">
        <v>5059</v>
      </c>
      <c r="B5120" s="138">
        <f>'Revenues 9-14'!C108</f>
        <v>593416</v>
      </c>
      <c r="C5120" s="2" t="s">
        <v>572</v>
      </c>
      <c r="D5120" s="2" t="str">
        <f t="shared" si="79"/>
        <v>Error?</v>
      </c>
    </row>
    <row r="5121" spans="1:4" x14ac:dyDescent="0.2">
      <c r="A5121" s="5">
        <v>5060</v>
      </c>
      <c r="B5121" s="138">
        <f>'Revenues 9-14'!C109</f>
        <v>64639301</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53554848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53554848</v>
      </c>
      <c r="C5132" s="2" t="s">
        <v>572</v>
      </c>
      <c r="D5132" s="2" t="str">
        <f t="shared" si="79"/>
        <v>Error?</v>
      </c>
    </row>
    <row r="5133" spans="1:4" x14ac:dyDescent="0.2">
      <c r="A5133" s="5">
        <v>5072</v>
      </c>
      <c r="B5133" s="138">
        <f>'Revenues 9-14'!C125</f>
        <v>2042193</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254570</v>
      </c>
      <c r="D5137" s="2" t="str">
        <f t="shared" si="79"/>
        <v>Error?</v>
      </c>
    </row>
    <row r="5138" spans="1:4" x14ac:dyDescent="0.2">
      <c r="A5138" s="10">
        <v>5077</v>
      </c>
      <c r="D5138" s="2" t="str">
        <f t="shared" si="79"/>
        <v>OK</v>
      </c>
    </row>
    <row r="5139" spans="1:4" x14ac:dyDescent="0.2">
      <c r="A5139" s="5">
        <v>5078</v>
      </c>
      <c r="B5139" s="138">
        <f>'Revenues 9-14'!C129</f>
        <v>12799</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2309562</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89635</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89635</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86490</v>
      </c>
      <c r="D5167" s="2" t="str">
        <f t="shared" si="79"/>
        <v>Error?</v>
      </c>
    </row>
    <row r="5168" spans="1:4" x14ac:dyDescent="0.2">
      <c r="A5168" s="5">
        <v>5107</v>
      </c>
      <c r="B5168" s="138">
        <f>'Revenues 9-14'!C148</f>
        <v>82167</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2557506</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1934</v>
      </c>
    </row>
    <row r="5200" spans="1:5" x14ac:dyDescent="0.2">
      <c r="A5200" s="10">
        <v>5139</v>
      </c>
      <c r="D5200" s="2" t="str">
        <f t="shared" si="80"/>
        <v>OK</v>
      </c>
      <c r="E5200" s="4" t="s">
        <v>1934</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5438809</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58993657</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3820030</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1263255</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5132266</v>
      </c>
      <c r="C5246" s="2" t="s">
        <v>572</v>
      </c>
      <c r="D5246" s="2" t="str">
        <f t="shared" si="80"/>
        <v>Error?</v>
      </c>
    </row>
    <row r="5247" spans="1:4" x14ac:dyDescent="0.2">
      <c r="A5247" s="5">
        <v>5186</v>
      </c>
      <c r="B5247" s="138">
        <f>'Revenues 9-14'!C200</f>
        <v>3505452</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1934</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3746146</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60812</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2880822</v>
      </c>
      <c r="D5278" s="2" t="str">
        <f t="shared" si="81"/>
        <v>Error?</v>
      </c>
    </row>
    <row r="5279" spans="1:4" x14ac:dyDescent="0.2">
      <c r="A5279" s="5">
        <v>5218</v>
      </c>
      <c r="B5279" s="138">
        <f>'Revenues 9-14'!C214</f>
        <v>24512</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2966146</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129964</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129964</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43865</v>
      </c>
      <c r="D5312" s="2" t="str">
        <f t="shared" si="82"/>
        <v>Error?</v>
      </c>
    </row>
    <row r="5313" spans="1:5" x14ac:dyDescent="0.2">
      <c r="A5313" s="10">
        <v>5252</v>
      </c>
      <c r="D5313" s="2" t="str">
        <f t="shared" si="82"/>
        <v>OK</v>
      </c>
      <c r="E5313" s="4" t="s">
        <v>1934</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16501563</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16501563</v>
      </c>
      <c r="C5326" s="2" t="s">
        <v>572</v>
      </c>
      <c r="D5326" s="2" t="str">
        <f t="shared" si="82"/>
        <v>Error?</v>
      </c>
    </row>
    <row r="5327" spans="1:5" x14ac:dyDescent="0.2">
      <c r="A5327" s="5">
        <v>5266</v>
      </c>
      <c r="B5327" s="138">
        <f>'Revenues 9-14'!C268</f>
        <v>140134521</v>
      </c>
      <c r="C5327" s="2" t="s">
        <v>572</v>
      </c>
      <c r="D5327" s="2" t="str">
        <f t="shared" si="82"/>
        <v>Error?</v>
      </c>
    </row>
    <row r="5328" spans="1:5" x14ac:dyDescent="0.2">
      <c r="A5328" s="5">
        <v>5267</v>
      </c>
      <c r="B5328" s="138">
        <f>'Revenues 9-14'!D5</f>
        <v>11636413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11636413</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132317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132317</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190005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32933</v>
      </c>
      <c r="D5354" s="2" t="str">
        <f t="shared" si="82"/>
        <v>Error?</v>
      </c>
    </row>
    <row r="5355" spans="1:4" x14ac:dyDescent="0.2">
      <c r="A5355" s="5">
        <v>5294</v>
      </c>
      <c r="B5355" s="138">
        <f>'Revenues 9-14'!D108</f>
        <v>889168</v>
      </c>
      <c r="C5355" s="2" t="s">
        <v>572</v>
      </c>
      <c r="D5355" s="2" t="str">
        <f t="shared" si="82"/>
        <v>Error?</v>
      </c>
    </row>
    <row r="5356" spans="1:4" x14ac:dyDescent="0.2">
      <c r="A5356" s="5">
        <v>5295</v>
      </c>
      <c r="B5356" s="138">
        <f>'Revenues 9-14'!D109</f>
        <v>12657898</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3000000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3000000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3000000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1934</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15657898</v>
      </c>
      <c r="C5508" s="2" t="s">
        <v>572</v>
      </c>
      <c r="D5508" s="2" t="str">
        <f t="shared" si="85"/>
        <v>Error?</v>
      </c>
    </row>
    <row r="5509" spans="1:4" x14ac:dyDescent="0.2">
      <c r="A5509" s="5">
        <v>5448</v>
      </c>
      <c r="B5509" s="138">
        <f>'Revenues 9-14'!E5</f>
        <v>14045736</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14045736</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13084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13084</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1793541</v>
      </c>
      <c r="D5525" s="2" t="str">
        <f t="shared" si="85"/>
        <v>Error?</v>
      </c>
    </row>
    <row r="5526" spans="1:4" x14ac:dyDescent="0.2">
      <c r="A5526" s="5">
        <v>5465</v>
      </c>
      <c r="B5526" s="138">
        <f>'Revenues 9-14'!E108</f>
        <v>1793541</v>
      </c>
      <c r="C5526" s="2" t="s">
        <v>572</v>
      </c>
      <c r="D5526" s="2" t="str">
        <f t="shared" si="85"/>
        <v>Error?</v>
      </c>
    </row>
    <row r="5527" spans="1:4" x14ac:dyDescent="0.2">
      <c r="A5527" s="5">
        <v>5466</v>
      </c>
      <c r="B5527" s="138">
        <f>'Revenues 9-14'!E109</f>
        <v>15852361</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15852361</v>
      </c>
      <c r="C5552" s="2" t="s">
        <v>572</v>
      </c>
      <c r="D5552" s="2" t="str">
        <f t="shared" si="85"/>
        <v>Error?</v>
      </c>
    </row>
    <row r="5553" spans="1:4" x14ac:dyDescent="0.2">
      <c r="A5553" s="5">
        <v>5492</v>
      </c>
      <c r="B5553" s="138">
        <f>'Revenues 9-14'!F5</f>
        <v>3985597</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3985597</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572</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60167</v>
      </c>
      <c r="D5586" s="2" t="str">
        <f t="shared" si="86"/>
        <v>Error?</v>
      </c>
    </row>
    <row r="5587" spans="1:4" x14ac:dyDescent="0.2">
      <c r="A5587" s="5">
        <v>5526</v>
      </c>
      <c r="B5587" s="138">
        <f>'Revenues 9-14'!F108</f>
        <v>60167</v>
      </c>
      <c r="C5587" s="2" t="s">
        <v>572</v>
      </c>
      <c r="D5587" s="2" t="str">
        <f t="shared" si="86"/>
        <v>Error?</v>
      </c>
    </row>
    <row r="5588" spans="1:4" x14ac:dyDescent="0.2">
      <c r="A5588" s="5">
        <v>5527</v>
      </c>
      <c r="B5588" s="138">
        <f>'Revenues 9-14'!F109</f>
        <v>4045764</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500000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500000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2143228</v>
      </c>
      <c r="D5615" s="2" t="str">
        <f t="shared" si="86"/>
        <v>Error?</v>
      </c>
    </row>
    <row r="5616" spans="1:4" x14ac:dyDescent="0.2">
      <c r="A5616" s="10">
        <v>5555</v>
      </c>
      <c r="D5616" s="2" t="str">
        <f t="shared" si="86"/>
        <v>OK</v>
      </c>
    </row>
    <row r="5617" spans="1:5" x14ac:dyDescent="0.2">
      <c r="A5617" s="5">
        <v>5556</v>
      </c>
      <c r="B5617" s="138">
        <f>'Revenues 9-14'!F153</f>
        <v>3700828</v>
      </c>
      <c r="D5617" s="2" t="str">
        <f t="shared" si="86"/>
        <v>Error?</v>
      </c>
    </row>
    <row r="5618" spans="1:5" x14ac:dyDescent="0.2">
      <c r="A5618" s="5">
        <v>5557</v>
      </c>
      <c r="B5618" s="138">
        <f>'Revenues 9-14'!F155</f>
        <v>5844056</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1934</v>
      </c>
    </row>
    <row r="5631" spans="1:5" x14ac:dyDescent="0.2">
      <c r="A5631" s="10">
        <v>5570</v>
      </c>
      <c r="D5631" s="2" t="str">
        <f t="shared" ref="D5631:D5694" si="87">IF(ISBLANK(B5631),"OK",IF(A5631-B5631=0,"OK","Error?"))</f>
        <v>OK</v>
      </c>
      <c r="E5631" s="4" t="s">
        <v>1934</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5844056</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6344056</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1934</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1934</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10389820</v>
      </c>
      <c r="C5720" s="2" t="s">
        <v>572</v>
      </c>
      <c r="D5720" s="2" t="str">
        <f t="shared" si="88"/>
        <v>Error?</v>
      </c>
    </row>
    <row r="5721" spans="1:4" x14ac:dyDescent="0.2">
      <c r="A5721" s="5">
        <v>5660</v>
      </c>
      <c r="B5721" s="138">
        <f>'Revenues 9-14'!G5</f>
        <v>2002592</v>
      </c>
      <c r="D5721" s="2" t="str">
        <f t="shared" si="88"/>
        <v>Error?</v>
      </c>
    </row>
    <row r="5722" spans="1:4" x14ac:dyDescent="0.2">
      <c r="A5722" s="5">
        <v>5661</v>
      </c>
      <c r="B5722" s="138">
        <f>'Revenues 9-14'!G7</f>
        <v>0</v>
      </c>
      <c r="D5722" s="2" t="str">
        <f t="shared" si="88"/>
        <v>Error?</v>
      </c>
    </row>
    <row r="5723" spans="1:4" x14ac:dyDescent="0.2">
      <c r="A5723" s="5">
        <v>5662</v>
      </c>
      <c r="B5723" s="138">
        <f>'Revenues 9-14'!G8</f>
        <v>2002591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4005183</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419234</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419234</v>
      </c>
      <c r="C5730" s="2" t="s">
        <v>572</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1934</v>
      </c>
    </row>
    <row r="5768" spans="1:5" x14ac:dyDescent="0.2">
      <c r="A5768" s="10">
        <v>5707</v>
      </c>
      <c r="D5768" s="2" t="str">
        <f t="shared" si="89"/>
        <v>OK</v>
      </c>
      <c r="E5768" s="4" t="s">
        <v>1934</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1934</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1934</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4424417</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373111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373111</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373111</v>
      </c>
      <c r="C5915" s="2" t="s">
        <v>572</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0</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293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293</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293</v>
      </c>
      <c r="C6023" s="2" t="s">
        <v>572</v>
      </c>
      <c r="D6023" s="2" t="str">
        <f t="shared" si="93"/>
        <v>Error?</v>
      </c>
    </row>
    <row r="6024" spans="1:5" x14ac:dyDescent="0.2">
      <c r="A6024" s="5">
        <v>5963</v>
      </c>
      <c r="B6024" s="138">
        <f>'Revenues 9-14'!G109</f>
        <v>4424417</v>
      </c>
      <c r="C6024" s="2" t="s">
        <v>572</v>
      </c>
      <c r="D6024" s="2" t="str">
        <f t="shared" si="93"/>
        <v>Error?</v>
      </c>
    </row>
    <row r="6025" spans="1:5" x14ac:dyDescent="0.2">
      <c r="A6025" s="5">
        <v>5964</v>
      </c>
      <c r="B6025" s="138">
        <f>'Revenues 9-14'!H109</f>
        <v>373111</v>
      </c>
      <c r="C6025" s="2" t="s">
        <v>572</v>
      </c>
      <c r="D6025" s="2" t="str">
        <f t="shared" si="93"/>
        <v>Error?</v>
      </c>
    </row>
    <row r="6026" spans="1:5" x14ac:dyDescent="0.2">
      <c r="A6026" s="5">
        <v>5965</v>
      </c>
      <c r="B6026" s="138">
        <f>'Revenues 9-14'!I109</f>
        <v>0</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293</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332691</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379384</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11614</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7950036</v>
      </c>
      <c r="D6090" s="2" t="str">
        <f t="shared" si="94"/>
        <v>Error?</v>
      </c>
      <c r="E6090" s="2" t="s">
        <v>190</v>
      </c>
    </row>
    <row r="6091" spans="1:5" x14ac:dyDescent="0.2">
      <c r="A6091">
        <v>6030</v>
      </c>
      <c r="B6091" s="138">
        <f>'Assets-Liab 5-6'!D8</f>
        <v>676489</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5512321</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152287</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1179406</v>
      </c>
      <c r="D6133" s="2" t="str">
        <f t="shared" si="94"/>
        <v>Error?</v>
      </c>
      <c r="E6133" s="2" t="s">
        <v>190</v>
      </c>
    </row>
    <row r="6134" spans="1:5" x14ac:dyDescent="0.2">
      <c r="A6134">
        <v>6073</v>
      </c>
      <c r="B6134" s="138">
        <f>'Assets-Liab 5-6'!D26</f>
        <v>909992</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109181</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401938</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364</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940997</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1122870</v>
      </c>
      <c r="D6146" s="2" t="str">
        <f t="shared" si="95"/>
        <v>Error?</v>
      </c>
      <c r="E6146" s="2" t="s">
        <v>190</v>
      </c>
    </row>
    <row r="6147" spans="1:5" x14ac:dyDescent="0.2">
      <c r="A6147">
        <v>6086</v>
      </c>
      <c r="B6147" s="138">
        <f>'Assets-Liab 5-6'!H27</f>
        <v>1601791</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267458</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9979861</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414726</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267822</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-115535</v>
      </c>
      <c r="D6215" s="2" t="str">
        <f t="shared" si="96"/>
        <v>Error?</v>
      </c>
      <c r="E6215" s="2" t="s">
        <v>190</v>
      </c>
    </row>
    <row r="6216" spans="1:5" x14ac:dyDescent="0.2">
      <c r="A6216">
        <v>6155</v>
      </c>
      <c r="B6216" s="138">
        <f>'Assets-Liab 5-6'!J41</f>
        <v>152287</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152287</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3028</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3028</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3028</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129633</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129633</v>
      </c>
      <c r="D6229" s="2" t="str">
        <f t="shared" si="96"/>
        <v>Error?</v>
      </c>
      <c r="E6229" s="2" t="s">
        <v>190</v>
      </c>
    </row>
    <row r="6230" spans="1:5" x14ac:dyDescent="0.2">
      <c r="A6230">
        <v>6169</v>
      </c>
      <c r="B6230" s="138">
        <f>'Acct Summary 7-8'!J20</f>
        <v>-126605</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-126605</v>
      </c>
      <c r="D6263" s="2" t="str">
        <f t="shared" si="96"/>
        <v>Error?</v>
      </c>
      <c r="E6263" s="2" t="s">
        <v>190</v>
      </c>
    </row>
    <row r="6264" spans="1:5" x14ac:dyDescent="0.2">
      <c r="A6264">
        <v>6203</v>
      </c>
      <c r="B6264" s="138">
        <f>'Acct Summary 7-8'!J79</f>
        <v>11070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-115535</v>
      </c>
      <c r="D6266" s="2" t="str">
        <f t="shared" si="96"/>
        <v>Error?</v>
      </c>
      <c r="E6266" s="2" t="s">
        <v>190</v>
      </c>
    </row>
    <row r="6267" spans="1:5" x14ac:dyDescent="0.2">
      <c r="A6267">
        <v>6206</v>
      </c>
      <c r="B6267" s="138">
        <f>'Acct Summary 7-8'!C82</f>
        <v>11575062</v>
      </c>
      <c r="D6267" s="2" t="str">
        <f t="shared" si="96"/>
        <v>Error?</v>
      </c>
      <c r="E6267" s="2" t="s">
        <v>190</v>
      </c>
    </row>
    <row r="6268" spans="1:5" x14ac:dyDescent="0.2">
      <c r="A6268">
        <v>6207</v>
      </c>
      <c r="B6268" s="138">
        <f>'Acct Summary 7-8'!D82</f>
        <v>735875</v>
      </c>
      <c r="D6268" s="2" t="str">
        <f t="shared" si="96"/>
        <v>Error?</v>
      </c>
      <c r="E6268" s="2" t="s">
        <v>190</v>
      </c>
    </row>
    <row r="6269" spans="1:5" x14ac:dyDescent="0.2">
      <c r="A6269">
        <v>6208</v>
      </c>
      <c r="B6269" s="138">
        <f>'Acct Summary 7-8'!E82</f>
        <v>-208210</v>
      </c>
      <c r="D6269" s="2" t="str">
        <f t="shared" si="96"/>
        <v>Error?</v>
      </c>
      <c r="E6269" s="2" t="s">
        <v>190</v>
      </c>
    </row>
    <row r="6270" spans="1:5" x14ac:dyDescent="0.2">
      <c r="A6270">
        <v>6209</v>
      </c>
      <c r="B6270" s="138">
        <f>'Acct Summary 7-8'!F82</f>
        <v>2017970</v>
      </c>
      <c r="D6270" s="2" t="str">
        <f t="shared" si="96"/>
        <v>Error?</v>
      </c>
      <c r="E6270" s="2" t="s">
        <v>190</v>
      </c>
    </row>
    <row r="6271" spans="1:5" x14ac:dyDescent="0.2">
      <c r="A6271">
        <v>6210</v>
      </c>
      <c r="B6271" s="138">
        <f>'Acct Summary 7-8'!G82</f>
        <v>189756</v>
      </c>
      <c r="D6271" s="2" t="str">
        <f t="shared" ref="D6271:D6334" si="97">IF(ISBLANK(B6271),"OK",IF(A6271-B6271=0,"OK","Error?"))</f>
        <v>Error?</v>
      </c>
      <c r="E6271" s="2" t="s">
        <v>190</v>
      </c>
    </row>
    <row r="6272" spans="1:5" x14ac:dyDescent="0.2">
      <c r="A6272">
        <v>6211</v>
      </c>
      <c r="B6272" s="138">
        <f>'Acct Summary 7-8'!H82</f>
        <v>-8630664</v>
      </c>
      <c r="D6272" s="2" t="str">
        <f t="shared" si="97"/>
        <v>Error?</v>
      </c>
      <c r="E6272" s="2" t="s">
        <v>190</v>
      </c>
    </row>
    <row r="6273" spans="1:5" x14ac:dyDescent="0.2">
      <c r="A6273">
        <v>6212</v>
      </c>
      <c r="B6273" s="138">
        <f>'Acct Summary 7-8'!I82</f>
        <v>0</v>
      </c>
      <c r="D6273" s="2" t="str">
        <f t="shared" si="97"/>
        <v>Error?</v>
      </c>
      <c r="E6273" s="2" t="s">
        <v>190</v>
      </c>
    </row>
    <row r="6274" spans="1:5" x14ac:dyDescent="0.2">
      <c r="A6274">
        <v>6213</v>
      </c>
      <c r="B6274" s="138">
        <f>'Acct Summary 7-8'!J82</f>
        <v>-126605</v>
      </c>
      <c r="D6274" s="2" t="str">
        <f t="shared" si="97"/>
        <v>Error?</v>
      </c>
      <c r="E6274" s="2" t="s">
        <v>190</v>
      </c>
    </row>
    <row r="6275" spans="1:5" x14ac:dyDescent="0.2">
      <c r="A6275">
        <v>6214</v>
      </c>
      <c r="B6275" s="138">
        <f>'Acct Summary 7-8'!K82</f>
        <v>293</v>
      </c>
      <c r="D6275" s="2" t="str">
        <f t="shared" si="97"/>
        <v>Error?</v>
      </c>
      <c r="E6275" s="2" t="s">
        <v>190</v>
      </c>
    </row>
    <row r="6276" spans="1:5" x14ac:dyDescent="0.2">
      <c r="A6276">
        <v>6215</v>
      </c>
      <c r="B6276" s="138">
        <f>'Acct Summary 7-8'!C83</f>
        <v>0.35175934647687629</v>
      </c>
      <c r="D6276" s="2" t="str">
        <f t="shared" si="97"/>
        <v>Error?</v>
      </c>
      <c r="E6276" s="2" t="s">
        <v>190</v>
      </c>
    </row>
    <row r="6277" spans="1:5" x14ac:dyDescent="0.2">
      <c r="A6277">
        <v>6216</v>
      </c>
      <c r="B6277" s="138">
        <f>'Acct Summary 7-8'!D83</f>
        <v>0.32995727313938178</v>
      </c>
      <c r="D6277" s="2" t="str">
        <f t="shared" si="97"/>
        <v>Error?</v>
      </c>
      <c r="E6277" s="2" t="s">
        <v>190</v>
      </c>
    </row>
    <row r="6278" spans="1:5" x14ac:dyDescent="0.2">
      <c r="A6278">
        <v>6217</v>
      </c>
      <c r="B6278" s="138">
        <f>'Acct Summary 7-8'!E83</f>
        <v>-2.1154324459645747E-2</v>
      </c>
      <c r="D6278" s="2" t="str">
        <f t="shared" si="97"/>
        <v>Error?</v>
      </c>
      <c r="E6278" s="2" t="s">
        <v>190</v>
      </c>
    </row>
    <row r="6279" spans="1:5" x14ac:dyDescent="0.2">
      <c r="A6279">
        <v>6218</v>
      </c>
      <c r="B6279" s="138">
        <f>'Acct Summary 7-8'!F83</f>
        <v>0.76765645607536082</v>
      </c>
      <c r="D6279" s="2" t="str">
        <f t="shared" si="97"/>
        <v>Error?</v>
      </c>
      <c r="E6279" s="2" t="s">
        <v>190</v>
      </c>
    </row>
    <row r="6280" spans="1:5" x14ac:dyDescent="0.2">
      <c r="A6280">
        <v>6219</v>
      </c>
      <c r="B6280" s="138">
        <f>'Acct Summary 7-8'!G83</f>
        <v>8.053817749671067</v>
      </c>
      <c r="D6280" s="2" t="str">
        <f t="shared" si="97"/>
        <v>Error?</v>
      </c>
      <c r="E6280" s="2" t="s">
        <v>190</v>
      </c>
    </row>
    <row r="6281" spans="1:5" x14ac:dyDescent="0.2">
      <c r="A6281">
        <v>6220</v>
      </c>
      <c r="B6281" s="138">
        <f>'Acct Summary 7-8'!H83</f>
        <v>-2.7708014030798154</v>
      </c>
      <c r="D6281" s="2" t="str">
        <f t="shared" si="97"/>
        <v>Error?</v>
      </c>
      <c r="E6281" s="2" t="s">
        <v>190</v>
      </c>
    </row>
    <row r="6282" spans="1:5" x14ac:dyDescent="0.2">
      <c r="A6282">
        <v>6221</v>
      </c>
      <c r="B6282" s="138">
        <f>'Acct Summary 7-8'!I83</f>
        <v>0</v>
      </c>
      <c r="D6282" s="2" t="str">
        <f t="shared" si="97"/>
        <v>Error?</v>
      </c>
      <c r="E6282" s="2" t="s">
        <v>190</v>
      </c>
    </row>
    <row r="6283" spans="1:5" x14ac:dyDescent="0.2">
      <c r="A6283">
        <v>6222</v>
      </c>
      <c r="B6283" s="138">
        <f>'Acct Summary 7-8'!J83</f>
        <v>1.0958151209590168</v>
      </c>
      <c r="D6283" s="2" t="str">
        <f t="shared" si="97"/>
        <v>Error?</v>
      </c>
      <c r="E6283" s="2" t="s">
        <v>190</v>
      </c>
    </row>
    <row r="6284" spans="1:5" x14ac:dyDescent="0.2">
      <c r="A6284">
        <v>6223</v>
      </c>
      <c r="B6284" s="138">
        <f>'Acct Summary 7-8'!K83</f>
        <v>1.9659151905528718E-2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3028</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3028</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286299</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3028</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1933</v>
      </c>
    </row>
    <row r="6383" spans="1:6" x14ac:dyDescent="0.2">
      <c r="A6383" s="129">
        <v>6322</v>
      </c>
      <c r="D6383" s="2" t="str">
        <f t="shared" si="98"/>
        <v>OK</v>
      </c>
      <c r="E6383" s="2" t="s">
        <v>190</v>
      </c>
      <c r="F6383" s="1" t="s">
        <v>1933</v>
      </c>
    </row>
    <row r="6384" spans="1:6" x14ac:dyDescent="0.2">
      <c r="A6384" s="129">
        <v>6323</v>
      </c>
      <c r="D6384" s="2" t="str">
        <f t="shared" si="98"/>
        <v>OK</v>
      </c>
      <c r="E6384" s="2" t="s">
        <v>190</v>
      </c>
      <c r="F6384" s="1" t="s">
        <v>1933</v>
      </c>
    </row>
    <row r="6385" spans="1:6" x14ac:dyDescent="0.2">
      <c r="A6385" s="129">
        <v>6324</v>
      </c>
      <c r="D6385" s="2" t="str">
        <f t="shared" si="98"/>
        <v>OK</v>
      </c>
      <c r="E6385" s="2" t="s">
        <v>190</v>
      </c>
      <c r="F6385" s="1" t="s">
        <v>1933</v>
      </c>
    </row>
    <row r="6386" spans="1:6" x14ac:dyDescent="0.2">
      <c r="A6386" s="129">
        <v>6325</v>
      </c>
      <c r="D6386" s="2" t="str">
        <f t="shared" si="98"/>
        <v>OK</v>
      </c>
      <c r="E6386" s="2" t="s">
        <v>190</v>
      </c>
      <c r="F6386" s="1" t="s">
        <v>1933</v>
      </c>
    </row>
    <row r="6387" spans="1:6" x14ac:dyDescent="0.2">
      <c r="A6387" s="129">
        <v>6326</v>
      </c>
      <c r="D6387" s="2" t="str">
        <f t="shared" si="98"/>
        <v>OK</v>
      </c>
      <c r="E6387" s="2" t="s">
        <v>190</v>
      </c>
      <c r="F6387" s="1" t="s">
        <v>1933</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1933</v>
      </c>
    </row>
    <row r="6411" spans="1:6" x14ac:dyDescent="0.2">
      <c r="A6411" s="129">
        <v>6350</v>
      </c>
      <c r="D6411" s="2" t="str">
        <f t="shared" si="99"/>
        <v>OK</v>
      </c>
      <c r="E6411" s="2" t="s">
        <v>190</v>
      </c>
      <c r="F6411" s="1" t="s">
        <v>1933</v>
      </c>
    </row>
    <row r="6412" spans="1:6" x14ac:dyDescent="0.2">
      <c r="A6412" s="129">
        <v>6351</v>
      </c>
      <c r="D6412" s="2" t="str">
        <f t="shared" si="99"/>
        <v>OK</v>
      </c>
      <c r="E6412" s="2" t="s">
        <v>190</v>
      </c>
      <c r="F6412" s="1" t="s">
        <v>1933</v>
      </c>
    </row>
    <row r="6413" spans="1:6" x14ac:dyDescent="0.2">
      <c r="A6413" s="129">
        <v>6352</v>
      </c>
      <c r="D6413" s="2" t="str">
        <f t="shared" si="99"/>
        <v>OK</v>
      </c>
      <c r="E6413" s="2" t="s">
        <v>190</v>
      </c>
      <c r="F6413" s="1" t="s">
        <v>1933</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1551618</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1933</v>
      </c>
    </row>
    <row r="6842" spans="1:5" x14ac:dyDescent="0.2">
      <c r="A6842" s="129">
        <v>6781</v>
      </c>
      <c r="D6842" s="2" t="str">
        <f t="shared" si="105"/>
        <v>OK</v>
      </c>
      <c r="E6842" s="1" t="s">
        <v>1933</v>
      </c>
    </row>
    <row r="6843" spans="1:5" x14ac:dyDescent="0.2">
      <c r="A6843" s="129">
        <v>6782</v>
      </c>
      <c r="D6843" s="2" t="str">
        <f t="shared" si="105"/>
        <v>OK</v>
      </c>
      <c r="E6843" s="1" t="s">
        <v>1933</v>
      </c>
    </row>
    <row r="6844" spans="1:5" x14ac:dyDescent="0.2">
      <c r="A6844">
        <v>6783</v>
      </c>
      <c r="B6844" s="138">
        <f>'Expenditures 15-22'!I5</f>
        <v>29403</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2188864</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110430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4045</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411457</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33448</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198019</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198019</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1980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1980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1980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112900</v>
      </c>
      <c r="D6981" s="2" t="str">
        <f t="shared" si="108"/>
        <v>Error?</v>
      </c>
    </row>
    <row r="6982" spans="1:4" x14ac:dyDescent="0.2">
      <c r="A6982">
        <v>6921</v>
      </c>
      <c r="B6982" s="138">
        <f>'Expenditures 15-22'!K85</f>
        <v>112900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275940</v>
      </c>
      <c r="D6987" s="2" t="str">
        <f t="shared" si="108"/>
        <v>Error?</v>
      </c>
    </row>
    <row r="6988" spans="1:4" x14ac:dyDescent="0.2">
      <c r="A6988">
        <v>6927</v>
      </c>
      <c r="B6988" s="138">
        <f>'Expenditures 15-22'!K88</f>
        <v>275940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388840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543397</v>
      </c>
      <c r="D7016" s="2" t="str">
        <f t="shared" si="108"/>
        <v>Error?</v>
      </c>
    </row>
    <row r="7017" spans="1:4" x14ac:dyDescent="0.2">
      <c r="A7017">
        <v>6956</v>
      </c>
      <c r="B7017" s="138">
        <f>'Expenditures 15-22'!K111</f>
        <v>543397</v>
      </c>
      <c r="D7017" s="2" t="str">
        <f t="shared" si="108"/>
        <v>Error?</v>
      </c>
    </row>
    <row r="7018" spans="1:4" x14ac:dyDescent="0.2">
      <c r="A7018">
        <v>6957</v>
      </c>
      <c r="B7018" s="138">
        <f>'Expenditures 15-22'!H112</f>
        <v>543397</v>
      </c>
      <c r="D7018" s="2" t="str">
        <f t="shared" si="108"/>
        <v>Error?</v>
      </c>
    </row>
    <row r="7019" spans="1:4" x14ac:dyDescent="0.2">
      <c r="A7019">
        <v>6958</v>
      </c>
      <c r="B7019" s="138">
        <f>'Expenditures 15-22'!K112</f>
        <v>543397</v>
      </c>
      <c r="D7019" s="2" t="str">
        <f t="shared" si="108"/>
        <v>Error?</v>
      </c>
    </row>
    <row r="7020" spans="1:4" x14ac:dyDescent="0.2">
      <c r="A7020">
        <v>6959</v>
      </c>
      <c r="B7020" s="138">
        <f>'Expenditures 15-22'!I114</f>
        <v>35428</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38104</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82033</v>
      </c>
      <c r="D7032" s="2" t="str">
        <f t="shared" si="108"/>
        <v>Error?</v>
      </c>
    </row>
    <row r="7033" spans="1:4" x14ac:dyDescent="0.2">
      <c r="A7033">
        <v>6972</v>
      </c>
      <c r="B7033" s="138">
        <f>'Expenditures 15-22'!I127</f>
        <v>120137</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120137</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129633</v>
      </c>
      <c r="D7042" s="2" t="str">
        <f t="shared" si="109"/>
        <v>Error?</v>
      </c>
    </row>
    <row r="7043" spans="1:5" x14ac:dyDescent="0.2">
      <c r="A7043">
        <v>6982</v>
      </c>
      <c r="B7043" s="138">
        <f>'Revenues 9-14'!H9</f>
        <v>0</v>
      </c>
      <c r="D7043" s="2" t="str">
        <f t="shared" si="109"/>
        <v>Error?</v>
      </c>
    </row>
    <row r="7044" spans="1:5" x14ac:dyDescent="0.2">
      <c r="A7044">
        <v>6983</v>
      </c>
      <c r="B7044" s="138">
        <f>'Revenues 9-14'!D106</f>
        <v>379931</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120137</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3028</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62246</v>
      </c>
      <c r="D7067" s="2" t="str">
        <f t="shared" si="109"/>
        <v>Error?</v>
      </c>
    </row>
    <row r="7068" spans="1:4" x14ac:dyDescent="0.2">
      <c r="A7068">
        <v>7007</v>
      </c>
      <c r="B7068" s="138">
        <f>'Expenditures 15-22'!K205</f>
        <v>62246</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85077</v>
      </c>
      <c r="D7073" s="2" t="str">
        <f t="shared" si="109"/>
        <v>Error?</v>
      </c>
    </row>
    <row r="7074" spans="1:4" x14ac:dyDescent="0.2">
      <c r="A7074">
        <v>7013</v>
      </c>
      <c r="B7074" s="138">
        <f>'Expenditures 15-22'!K216</f>
        <v>85077</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4427</v>
      </c>
      <c r="D7079" s="2" t="str">
        <f t="shared" si="109"/>
        <v>Error?</v>
      </c>
    </row>
    <row r="7080" spans="1:4" x14ac:dyDescent="0.2">
      <c r="A7080">
        <v>7019</v>
      </c>
      <c r="B7080" s="138">
        <f>'Expenditures 15-22'!K226</f>
        <v>4427</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129633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129633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129633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129633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129633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129633</v>
      </c>
      <c r="D7224" s="2" t="str">
        <f t="shared" si="111"/>
        <v>Error?</v>
      </c>
    </row>
    <row r="7225" spans="1:4" x14ac:dyDescent="0.2">
      <c r="A7225">
        <v>7164</v>
      </c>
      <c r="B7225" s="138">
        <f>'Expenditures 15-22'!K343</f>
        <v>-126605</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498433</v>
      </c>
      <c r="D7246" s="2" t="str">
        <f t="shared" si="112"/>
        <v>Error?</v>
      </c>
    </row>
    <row r="7247" spans="1:4" x14ac:dyDescent="0.2">
      <c r="A7247">
        <f t="shared" si="113"/>
        <v>7186</v>
      </c>
      <c r="B7247" s="138">
        <f>'Expenditures 15-22'!E7</f>
        <v>21175</v>
      </c>
      <c r="D7247" s="2" t="str">
        <f t="shared" si="112"/>
        <v>Error?</v>
      </c>
    </row>
    <row r="7248" spans="1:4" x14ac:dyDescent="0.2">
      <c r="A7248">
        <f t="shared" si="113"/>
        <v>7187</v>
      </c>
      <c r="B7248" s="138">
        <f>'Expenditures 15-22'!F7</f>
        <v>117638</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102883</v>
      </c>
      <c r="D7251" s="2" t="str">
        <f t="shared" si="112"/>
        <v>Error?</v>
      </c>
    </row>
    <row r="7252" spans="1:4" x14ac:dyDescent="0.2">
      <c r="A7252">
        <f t="shared" si="113"/>
        <v>7191</v>
      </c>
      <c r="B7252" s="138">
        <f>'Expenditures 15-22'!D9</f>
        <v>7547</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297755</v>
      </c>
      <c r="D7263" s="2" t="str">
        <f t="shared" si="112"/>
        <v>Error?</v>
      </c>
    </row>
    <row r="7264" spans="1:4" x14ac:dyDescent="0.2">
      <c r="A7264">
        <f t="shared" si="113"/>
        <v>7203</v>
      </c>
      <c r="B7264" s="138">
        <f>'Expenditures 15-22'!D17</f>
        <v>88554</v>
      </c>
      <c r="D7264" s="2" t="str">
        <f t="shared" si="112"/>
        <v>Error?</v>
      </c>
    </row>
    <row r="7265" spans="1:5" x14ac:dyDescent="0.2">
      <c r="A7265">
        <f t="shared" si="113"/>
        <v>7204</v>
      </c>
      <c r="B7265" s="138">
        <f>'Expenditures 15-22'!E17</f>
        <v>15666</v>
      </c>
      <c r="D7265" s="2" t="str">
        <f t="shared" si="112"/>
        <v>Error?</v>
      </c>
    </row>
    <row r="7266" spans="1:5" x14ac:dyDescent="0.2">
      <c r="A7266">
        <f t="shared" si="113"/>
        <v>7205</v>
      </c>
      <c r="B7266" s="138">
        <f>'Expenditures 15-22'!F17</f>
        <v>9482</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155565</v>
      </c>
      <c r="D7624" s="2" t="str">
        <f t="shared" si="124"/>
        <v>Error?</v>
      </c>
      <c r="E7624" s="2" t="s">
        <v>19</v>
      </c>
    </row>
    <row r="7625" spans="1:5" x14ac:dyDescent="0.2">
      <c r="A7625">
        <f t="shared" si="123"/>
        <v>7564</v>
      </c>
      <c r="B7625" s="138">
        <f>'Cap Outlay Deprec 26'!I17</f>
        <v>15556.5</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8663097.5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162</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82167</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82167</v>
      </c>
      <c r="D7719" s="2" t="str">
        <f t="shared" si="126"/>
        <v>Error?</v>
      </c>
      <c r="E7719" s="2" t="s">
        <v>826</v>
      </c>
    </row>
    <row r="7720" spans="1:6" x14ac:dyDescent="0.2">
      <c r="A7720">
        <v>7659</v>
      </c>
      <c r="B7720" s="138">
        <f>'Rest Tax Levies-Tort Im 25'!H14</f>
        <v>8972748</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82167</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0</v>
      </c>
      <c r="D7758" s="2" t="str">
        <f t="shared" si="127"/>
        <v>Error?</v>
      </c>
      <c r="E7758" s="4" t="s">
        <v>1332</v>
      </c>
    </row>
    <row r="7759" spans="1:6" x14ac:dyDescent="0.2">
      <c r="A7759">
        <v>7698</v>
      </c>
      <c r="B7759" s="138">
        <f>'Aud Quest 2'!J88</f>
        <v>0</v>
      </c>
      <c r="D7759" s="2" t="str">
        <f t="shared" si="127"/>
        <v>Error?</v>
      </c>
      <c r="E7759" s="4" t="s">
        <v>1332</v>
      </c>
    </row>
    <row r="7760" spans="1:6" x14ac:dyDescent="0.2">
      <c r="A7760">
        <v>7699</v>
      </c>
      <c r="B7760" s="138">
        <f>'Aud Quest 2'!J90</f>
        <v>0</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1335586</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1850</v>
      </c>
    </row>
    <row r="7775" spans="1:5" x14ac:dyDescent="0.2">
      <c r="A7775">
        <v>7714</v>
      </c>
      <c r="B7775" s="138">
        <f>'Expenditures 15-22'!H133</f>
        <v>0</v>
      </c>
      <c r="D7775" s="2" t="str">
        <f t="shared" si="127"/>
        <v>Error?</v>
      </c>
      <c r="E7775" s="4" t="s">
        <v>1850</v>
      </c>
    </row>
    <row r="7776" spans="1:5" x14ac:dyDescent="0.2">
      <c r="A7776">
        <v>7715</v>
      </c>
      <c r="B7776" s="138">
        <f>'Expenditures 15-22'!K133</f>
        <v>0</v>
      </c>
      <c r="D7776" s="2" t="str">
        <f t="shared" si="127"/>
        <v>Error?</v>
      </c>
      <c r="E7776" s="4" t="s">
        <v>1850</v>
      </c>
    </row>
    <row r="7777" spans="1:5" x14ac:dyDescent="0.2">
      <c r="A7777">
        <v>7716</v>
      </c>
      <c r="B7777" s="138">
        <f>'Expenditures 15-22'!H157</f>
        <v>0</v>
      </c>
      <c r="D7777" s="2" t="str">
        <f t="shared" si="127"/>
        <v>Error?</v>
      </c>
      <c r="E7777" s="4" t="s">
        <v>1850</v>
      </c>
    </row>
    <row r="7778" spans="1:5" x14ac:dyDescent="0.2">
      <c r="A7778">
        <v>7717</v>
      </c>
      <c r="B7778" s="138">
        <f>'Expenditures 15-22'!K157</f>
        <v>0</v>
      </c>
      <c r="D7778" s="2" t="str">
        <f t="shared" si="127"/>
        <v>Error?</v>
      </c>
      <c r="E7778" s="4" t="s">
        <v>1850</v>
      </c>
    </row>
    <row r="7779" spans="1:5" x14ac:dyDescent="0.2">
      <c r="A7779">
        <v>7718</v>
      </c>
      <c r="B7779" s="138">
        <f>'Expenditures 15-22'!H158</f>
        <v>0</v>
      </c>
      <c r="D7779" s="2" t="str">
        <f t="shared" si="127"/>
        <v>Error?</v>
      </c>
      <c r="E7779" s="4" t="s">
        <v>1850</v>
      </c>
    </row>
    <row r="7780" spans="1:5" x14ac:dyDescent="0.2">
      <c r="A7780">
        <v>7719</v>
      </c>
      <c r="B7780" s="138">
        <f>'Expenditures 15-22'!K158</f>
        <v>0</v>
      </c>
      <c r="D7780" s="2" t="str">
        <f t="shared" si="127"/>
        <v>Error?</v>
      </c>
      <c r="E7780" s="4" t="s">
        <v>1850</v>
      </c>
    </row>
    <row r="7781" spans="1:5" x14ac:dyDescent="0.2">
      <c r="A7781">
        <v>7720</v>
      </c>
      <c r="B7781" s="138">
        <f>'Expenditures 15-22'!H159</f>
        <v>0</v>
      </c>
      <c r="D7781" s="2" t="str">
        <f t="shared" si="127"/>
        <v>Error?</v>
      </c>
      <c r="E7781" s="4" t="s">
        <v>1850</v>
      </c>
    </row>
    <row r="7782" spans="1:5" x14ac:dyDescent="0.2">
      <c r="A7782">
        <v>7721</v>
      </c>
      <c r="B7782" s="138">
        <f>'Expenditures 15-22'!K159</f>
        <v>0</v>
      </c>
      <c r="D7782" s="2" t="str">
        <f t="shared" si="127"/>
        <v>Error?</v>
      </c>
      <c r="E7782" s="4" t="s">
        <v>1850</v>
      </c>
    </row>
    <row r="7783" spans="1:5" x14ac:dyDescent="0.2">
      <c r="A7783">
        <v>7722</v>
      </c>
      <c r="B7783" s="138">
        <f>'Expenditures 15-22'!D282</f>
        <v>0</v>
      </c>
      <c r="D7783" s="2" t="str">
        <f t="shared" si="127"/>
        <v>Error?</v>
      </c>
      <c r="E7783" s="4" t="s">
        <v>1850</v>
      </c>
    </row>
    <row r="7784" spans="1:5" x14ac:dyDescent="0.2">
      <c r="A7784">
        <v>7723</v>
      </c>
      <c r="B7784" s="138">
        <f>'Expenditures 15-22'!K282</f>
        <v>0</v>
      </c>
      <c r="D7784" s="2" t="str">
        <f t="shared" si="127"/>
        <v>Error?</v>
      </c>
      <c r="E7784" s="4" t="s">
        <v>1850</v>
      </c>
    </row>
    <row r="7785" spans="1:5" x14ac:dyDescent="0.2">
      <c r="A7785">
        <v>7724</v>
      </c>
      <c r="B7785" s="138">
        <f>'Expenditures 15-22'!H332</f>
        <v>0</v>
      </c>
      <c r="D7785" s="2" t="str">
        <f t="shared" si="127"/>
        <v>Error?</v>
      </c>
      <c r="E7785" s="4" t="s">
        <v>1850</v>
      </c>
    </row>
    <row r="7786" spans="1:5" x14ac:dyDescent="0.2">
      <c r="A7786">
        <v>7725</v>
      </c>
      <c r="B7786" s="138">
        <f>'Expenditures 15-22'!K332</f>
        <v>0</v>
      </c>
      <c r="D7786" s="2" t="str">
        <f t="shared" si="127"/>
        <v>Error?</v>
      </c>
      <c r="E7786" s="4" t="s">
        <v>1850</v>
      </c>
    </row>
    <row r="7787" spans="1:5" x14ac:dyDescent="0.2">
      <c r="A7787">
        <v>7726</v>
      </c>
      <c r="B7787" s="138">
        <f>'Expenditures 15-22'!H333</f>
        <v>0</v>
      </c>
      <c r="D7787" s="2" t="str">
        <f t="shared" si="127"/>
        <v>Error?</v>
      </c>
      <c r="E7787" s="4" t="s">
        <v>1850</v>
      </c>
    </row>
    <row r="7788" spans="1:5" x14ac:dyDescent="0.2">
      <c r="A7788">
        <v>7727</v>
      </c>
      <c r="B7788" s="138">
        <f>'Expenditures 15-22'!K333</f>
        <v>0</v>
      </c>
      <c r="D7788" s="2" t="str">
        <f t="shared" si="127"/>
        <v>Error?</v>
      </c>
      <c r="E7788" s="4" t="s">
        <v>1850</v>
      </c>
    </row>
    <row r="7789" spans="1:5" x14ac:dyDescent="0.2">
      <c r="A7789">
        <v>7728</v>
      </c>
      <c r="B7789" s="138">
        <f>'Expenditures 15-22'!H334</f>
        <v>0</v>
      </c>
      <c r="D7789" s="2" t="str">
        <f t="shared" si="127"/>
        <v>Error?</v>
      </c>
      <c r="E7789" s="4" t="s">
        <v>1850</v>
      </c>
    </row>
    <row r="7790" spans="1:5" x14ac:dyDescent="0.2">
      <c r="A7790">
        <v>7729</v>
      </c>
      <c r="B7790" s="138">
        <f>'Expenditures 15-22'!K334</f>
        <v>0</v>
      </c>
      <c r="D7790" s="2" t="str">
        <f t="shared" si="127"/>
        <v>Error?</v>
      </c>
      <c r="E7790" s="4" t="s">
        <v>1850</v>
      </c>
    </row>
    <row r="7791" spans="1:5" x14ac:dyDescent="0.2">
      <c r="A7791">
        <v>7730</v>
      </c>
      <c r="B7791" s="138">
        <f>'Expenditures 15-22'!H354</f>
        <v>0</v>
      </c>
      <c r="D7791" s="2" t="str">
        <f t="shared" si="127"/>
        <v>Error?</v>
      </c>
      <c r="E7791" s="4" t="s">
        <v>1850</v>
      </c>
    </row>
    <row r="7792" spans="1:5" x14ac:dyDescent="0.2">
      <c r="A7792">
        <v>7731</v>
      </c>
      <c r="B7792" s="138">
        <f>'Expenditures 15-22'!K354</f>
        <v>0</v>
      </c>
      <c r="D7792" s="2" t="str">
        <f t="shared" si="127"/>
        <v>Error?</v>
      </c>
      <c r="E7792" s="4" t="s">
        <v>1850</v>
      </c>
    </row>
    <row r="7793" spans="1:5" x14ac:dyDescent="0.2">
      <c r="A7793">
        <v>7732</v>
      </c>
      <c r="B7793" s="138">
        <f>'Expenditures 15-22'!H355</f>
        <v>0</v>
      </c>
      <c r="D7793" s="2" t="str">
        <f t="shared" si="127"/>
        <v>Error?</v>
      </c>
      <c r="E7793" s="4" t="s">
        <v>1850</v>
      </c>
    </row>
    <row r="7794" spans="1:5" x14ac:dyDescent="0.2">
      <c r="A7794">
        <v>7733</v>
      </c>
      <c r="B7794" s="138">
        <f>'Expenditures 15-22'!K355</f>
        <v>0</v>
      </c>
      <c r="D7794" s="2" t="str">
        <f t="shared" si="127"/>
        <v>Error?</v>
      </c>
      <c r="E7794" s="4" t="s">
        <v>1850</v>
      </c>
    </row>
    <row r="7795" spans="1:5" x14ac:dyDescent="0.2">
      <c r="A7795">
        <v>7734</v>
      </c>
      <c r="B7795" s="138">
        <f>'Expenditures 15-22'!E138</f>
        <v>0</v>
      </c>
      <c r="D7795" s="2" t="str">
        <f t="shared" si="127"/>
        <v>Error?</v>
      </c>
      <c r="E7795" s="4" t="s">
        <v>1850</v>
      </c>
    </row>
    <row r="7796" spans="1:5" x14ac:dyDescent="0.2">
      <c r="A7796">
        <v>7735</v>
      </c>
      <c r="B7796" s="138">
        <f>'Acct Summary 7-8'!J15</f>
        <v>0</v>
      </c>
      <c r="D7796" s="2" t="str">
        <f t="shared" si="127"/>
        <v>Error?</v>
      </c>
      <c r="E7796" s="4" t="s">
        <v>1850</v>
      </c>
    </row>
    <row r="7797" spans="1:5" x14ac:dyDescent="0.2">
      <c r="A7797">
        <v>7736</v>
      </c>
      <c r="B7797" s="138">
        <f>'Contracts Paid in CY 29'!D142</f>
        <v>0</v>
      </c>
      <c r="D7797" s="2" t="str">
        <f t="shared" si="127"/>
        <v>Error?</v>
      </c>
      <c r="E7797" s="4" t="s">
        <v>1899</v>
      </c>
    </row>
    <row r="7798" spans="1:5" x14ac:dyDescent="0.2">
      <c r="A7798">
        <v>7737</v>
      </c>
      <c r="B7798" s="138">
        <f>'Contracts Paid in CY 29'!F142</f>
        <v>0</v>
      </c>
      <c r="D7798" s="2" t="str">
        <f t="shared" si="127"/>
        <v>Error?</v>
      </c>
      <c r="E7798" s="4" t="s">
        <v>1899</v>
      </c>
    </row>
    <row r="7799" spans="1:5" x14ac:dyDescent="0.2">
      <c r="A7799">
        <v>7738</v>
      </c>
      <c r="B7799" s="138">
        <f>'Contracts Paid in CY 29'!G142</f>
        <v>0</v>
      </c>
      <c r="D7799" s="2" t="str">
        <f t="shared" si="127"/>
        <v>Error?</v>
      </c>
      <c r="E7799" s="4" t="s">
        <v>1899</v>
      </c>
    </row>
    <row r="7800" spans="1:5" x14ac:dyDescent="0.2">
      <c r="A7800">
        <v>7739</v>
      </c>
      <c r="D7800" s="2" t="str">
        <f t="shared" si="127"/>
        <v>OK</v>
      </c>
    </row>
    <row r="7801" spans="1:5" x14ac:dyDescent="0.2">
      <c r="A7801">
        <v>7740</v>
      </c>
      <c r="B7801" s="138">
        <f>'Revenues 9-14'!C120</f>
        <v>0</v>
      </c>
      <c r="D7801" s="2" t="str">
        <f t="shared" si="127"/>
        <v>Error?</v>
      </c>
      <c r="E7801" s="4" t="s">
        <v>1935</v>
      </c>
    </row>
    <row r="7802" spans="1:5" x14ac:dyDescent="0.2">
      <c r="A7802">
        <v>7741</v>
      </c>
      <c r="B7802" s="138">
        <f>'Revenues 9-14'!D120</f>
        <v>0</v>
      </c>
      <c r="D7802" s="2" t="str">
        <f t="shared" si="127"/>
        <v>Error?</v>
      </c>
      <c r="E7802" s="4" t="s">
        <v>1935</v>
      </c>
    </row>
    <row r="7803" spans="1:5" x14ac:dyDescent="0.2">
      <c r="A7803">
        <v>7742</v>
      </c>
      <c r="B7803" s="138">
        <f>'Revenues 9-14'!E120</f>
        <v>0</v>
      </c>
      <c r="D7803" s="2" t="str">
        <f t="shared" si="127"/>
        <v>Error?</v>
      </c>
      <c r="E7803" s="4" t="s">
        <v>1935</v>
      </c>
    </row>
    <row r="7804" spans="1:5" x14ac:dyDescent="0.2">
      <c r="A7804">
        <v>7743</v>
      </c>
      <c r="B7804" s="138">
        <f>'Revenues 9-14'!F120</f>
        <v>0</v>
      </c>
      <c r="D7804" s="2" t="str">
        <f t="shared" si="127"/>
        <v>Error?</v>
      </c>
      <c r="E7804" s="4" t="s">
        <v>1935</v>
      </c>
    </row>
    <row r="7805" spans="1:5" x14ac:dyDescent="0.2">
      <c r="A7805">
        <v>7744</v>
      </c>
      <c r="B7805" s="138">
        <f>'Revenues 9-14'!G120</f>
        <v>0</v>
      </c>
      <c r="D7805" s="2" t="str">
        <f t="shared" si="127"/>
        <v>Error?</v>
      </c>
      <c r="E7805" s="4" t="s">
        <v>1935</v>
      </c>
    </row>
    <row r="7806" spans="1:5" x14ac:dyDescent="0.2">
      <c r="A7806">
        <v>7745</v>
      </c>
      <c r="B7806" s="138">
        <f>'Revenues 9-14'!H120</f>
        <v>0</v>
      </c>
      <c r="D7806" s="2" t="str">
        <f t="shared" si="127"/>
        <v>Error?</v>
      </c>
      <c r="E7806" s="4" t="s">
        <v>1935</v>
      </c>
    </row>
    <row r="7807" spans="1:5" x14ac:dyDescent="0.2">
      <c r="A7807">
        <v>7746</v>
      </c>
      <c r="B7807" s="138">
        <f>'Revenues 9-14'!J120</f>
        <v>0</v>
      </c>
      <c r="D7807" s="2" t="str">
        <f t="shared" ref="D7807:D7816" si="128">IF(ISBLANK(B7807),"OK",IF(A7807-B7807=0,"OK","Error?"))</f>
        <v>Error?</v>
      </c>
      <c r="E7807" s="4" t="s">
        <v>1935</v>
      </c>
    </row>
    <row r="7808" spans="1:5" x14ac:dyDescent="0.2">
      <c r="A7808">
        <v>7747</v>
      </c>
      <c r="B7808" s="138">
        <f>'Revenues 9-14'!K120</f>
        <v>0</v>
      </c>
      <c r="D7808" s="2" t="str">
        <f t="shared" si="128"/>
        <v>Error?</v>
      </c>
      <c r="E7808" s="4" t="s">
        <v>1935</v>
      </c>
    </row>
    <row r="7809" spans="1:5" x14ac:dyDescent="0.2">
      <c r="A7809">
        <v>7748</v>
      </c>
      <c r="B7809" s="138">
        <f>'Revenues 9-14'!C261</f>
        <v>0</v>
      </c>
      <c r="D7809" s="2" t="str">
        <f t="shared" si="128"/>
        <v>Error?</v>
      </c>
      <c r="E7809" s="4" t="s">
        <v>1936</v>
      </c>
    </row>
    <row r="7810" spans="1:5" x14ac:dyDescent="0.2">
      <c r="A7810">
        <v>7749</v>
      </c>
      <c r="B7810" s="138">
        <f>'Revenues 9-14'!D261</f>
        <v>0</v>
      </c>
      <c r="D7810" s="2" t="str">
        <f t="shared" si="128"/>
        <v>Error?</v>
      </c>
      <c r="E7810" s="4" t="s">
        <v>1936</v>
      </c>
    </row>
    <row r="7811" spans="1:5" x14ac:dyDescent="0.2">
      <c r="A7811">
        <v>7750</v>
      </c>
      <c r="B7811" s="138">
        <f>'Revenues 9-14'!F261</f>
        <v>0</v>
      </c>
      <c r="D7811" s="2" t="str">
        <f t="shared" si="128"/>
        <v>Error?</v>
      </c>
      <c r="E7811" s="4" t="s">
        <v>1936</v>
      </c>
    </row>
    <row r="7812" spans="1:5" x14ac:dyDescent="0.2">
      <c r="A7812">
        <v>7751</v>
      </c>
      <c r="B7812" s="138">
        <f>'Revenues 9-14'!G261</f>
        <v>0</v>
      </c>
      <c r="D7812" s="2" t="str">
        <f t="shared" si="128"/>
        <v>Error?</v>
      </c>
      <c r="E7812" s="4" t="s">
        <v>1936</v>
      </c>
    </row>
    <row r="7813" spans="1:5" x14ac:dyDescent="0.2">
      <c r="A7813">
        <v>7752</v>
      </c>
      <c r="B7813" s="138">
        <f>'Revenues 9-14'!C262</f>
        <v>0</v>
      </c>
      <c r="D7813" s="2" t="str">
        <f t="shared" si="128"/>
        <v>Error?</v>
      </c>
      <c r="E7813" s="4" t="s">
        <v>1937</v>
      </c>
    </row>
    <row r="7814" spans="1:5" x14ac:dyDescent="0.2">
      <c r="A7814">
        <v>7753</v>
      </c>
      <c r="B7814" s="138">
        <f>'Revenues 9-14'!D262</f>
        <v>0</v>
      </c>
      <c r="D7814" s="2" t="str">
        <f t="shared" si="128"/>
        <v>Error?</v>
      </c>
      <c r="E7814" s="4" t="s">
        <v>1937</v>
      </c>
    </row>
    <row r="7815" spans="1:5" x14ac:dyDescent="0.2">
      <c r="A7815">
        <v>7754</v>
      </c>
      <c r="B7815" s="138">
        <f>'Revenues 9-14'!F262</f>
        <v>0</v>
      </c>
      <c r="D7815" s="2" t="str">
        <f t="shared" si="128"/>
        <v>Error?</v>
      </c>
      <c r="E7815" s="4" t="s">
        <v>1937</v>
      </c>
    </row>
    <row r="7816" spans="1:5" x14ac:dyDescent="0.2">
      <c r="A7816">
        <v>7755</v>
      </c>
      <c r="B7816" s="138">
        <f>'Revenues 9-14'!G262</f>
        <v>0</v>
      </c>
      <c r="D7816" s="2" t="str">
        <f t="shared" si="128"/>
        <v>Error?</v>
      </c>
      <c r="E7816" s="4" t="s">
        <v>1937</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AC59"/>
  <sheetViews>
    <sheetView showGridLines="0" showZeros="0" topLeftCell="A13" zoomScale="110" zoomScaleNormal="110" workbookViewId="0">
      <selection activeCell="B43" sqref="B43"/>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37" t="s">
        <v>1190</v>
      </c>
      <c r="B2" s="2437"/>
      <c r="C2" s="2437"/>
      <c r="D2" s="2437"/>
      <c r="E2" s="2437"/>
      <c r="F2" s="2437"/>
      <c r="G2" s="2437"/>
      <c r="H2" s="2437"/>
      <c r="I2" s="2437"/>
      <c r="J2" s="2437"/>
      <c r="K2" s="2437"/>
      <c r="L2" s="2437"/>
    </row>
    <row r="3" spans="1:29" ht="13.5" customHeight="1" x14ac:dyDescent="0.2">
      <c r="A3" s="2468" t="s">
        <v>1189</v>
      </c>
      <c r="B3" s="2468"/>
      <c r="C3" s="2468"/>
      <c r="D3" s="2468"/>
      <c r="E3" s="2468"/>
      <c r="F3" s="2468"/>
      <c r="G3" s="2468"/>
      <c r="H3" s="2468"/>
      <c r="I3" s="2468"/>
      <c r="J3" s="2468"/>
      <c r="K3" s="2468"/>
      <c r="L3" s="2468"/>
    </row>
    <row r="4" spans="1:29" ht="13.5" customHeight="1" x14ac:dyDescent="0.2">
      <c r="A4" s="2437" t="s">
        <v>1983</v>
      </c>
      <c r="B4" s="2458"/>
      <c r="C4" s="2458"/>
      <c r="D4" s="2458"/>
      <c r="E4" s="2458"/>
      <c r="F4" s="2458"/>
      <c r="G4" s="2458"/>
      <c r="H4" s="2458"/>
      <c r="I4" s="2458"/>
      <c r="J4" s="2458"/>
      <c r="K4" s="2458"/>
      <c r="L4" s="2458"/>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459" t="str">
        <f>COVER!A17</f>
        <v>Aurora West USD 129</v>
      </c>
      <c r="B7" s="2460"/>
      <c r="C7" s="2460"/>
      <c r="D7" s="2461"/>
      <c r="E7" s="2462">
        <f>COVER!A13</f>
        <v>31045129022</v>
      </c>
      <c r="F7" s="2463"/>
      <c r="G7" s="2469" t="str">
        <f>COVER!T23</f>
        <v>066-004207</v>
      </c>
      <c r="H7" s="2470"/>
      <c r="I7" s="2470"/>
      <c r="J7" s="2470"/>
      <c r="K7" s="2470"/>
      <c r="L7" s="2471"/>
    </row>
    <row r="8" spans="1:29" ht="13.5" customHeight="1" x14ac:dyDescent="0.2">
      <c r="A8" s="1184" t="s">
        <v>1516</v>
      </c>
      <c r="B8" s="1185"/>
      <c r="C8" s="1186"/>
      <c r="D8" s="1186"/>
      <c r="E8" s="1191"/>
      <c r="F8" s="1190"/>
      <c r="G8" s="1192" t="s">
        <v>1185</v>
      </c>
      <c r="H8" s="1193"/>
      <c r="I8" s="1193"/>
      <c r="J8" s="1193"/>
      <c r="K8" s="1193"/>
      <c r="L8" s="1194"/>
    </row>
    <row r="9" spans="1:29" ht="13.5" customHeight="1" x14ac:dyDescent="0.2">
      <c r="A9" s="2472"/>
      <c r="B9" s="2473"/>
      <c r="C9" s="2473"/>
      <c r="D9" s="2473"/>
      <c r="E9" s="2473"/>
      <c r="F9" s="2474"/>
      <c r="G9" s="2443" t="str">
        <f>COVER!T13</f>
        <v>Crowe LLP</v>
      </c>
      <c r="H9" s="2475"/>
      <c r="I9" s="2475"/>
      <c r="J9" s="2475"/>
      <c r="K9" s="2475"/>
      <c r="L9" s="2476"/>
    </row>
    <row r="10" spans="1:29" ht="13.5" customHeight="1" x14ac:dyDescent="0.2">
      <c r="A10" s="2449" t="str">
        <f>COVER!A38</f>
        <v>Dr. Jeff Criag</v>
      </c>
      <c r="B10" s="2450"/>
      <c r="C10" s="2450"/>
      <c r="D10" s="2450"/>
      <c r="E10" s="2450"/>
      <c r="F10" s="2451"/>
      <c r="G10" s="2443" t="str">
        <f>COVER!T17</f>
        <v>One Mid America Plaza</v>
      </c>
      <c r="H10" s="2444"/>
      <c r="I10" s="2444"/>
      <c r="J10" s="2444"/>
      <c r="K10" s="2444"/>
      <c r="L10" s="2445"/>
    </row>
    <row r="11" spans="1:29" ht="13.5" customHeight="1" x14ac:dyDescent="0.2">
      <c r="A11" s="1184" t="s">
        <v>1518</v>
      </c>
      <c r="B11" s="1185"/>
      <c r="C11" s="1186"/>
      <c r="D11" s="1191"/>
      <c r="E11" s="1186"/>
      <c r="F11" s="1190"/>
      <c r="G11" s="2443" t="str">
        <f>COVER!T19</f>
        <v>Oak Brook</v>
      </c>
      <c r="H11" s="2444"/>
      <c r="I11" s="2444"/>
      <c r="J11" s="2444"/>
      <c r="K11" s="2444"/>
      <c r="L11" s="2445"/>
    </row>
    <row r="12" spans="1:29" ht="13.5" customHeight="1" x14ac:dyDescent="0.2">
      <c r="A12" s="2452" t="s">
        <v>1517</v>
      </c>
      <c r="B12" s="2453"/>
      <c r="C12" s="2453"/>
      <c r="D12" s="2453"/>
      <c r="E12" s="2453"/>
      <c r="F12" s="2454"/>
      <c r="G12" s="2446"/>
      <c r="H12" s="2447"/>
      <c r="I12" s="2447"/>
      <c r="J12" s="2447"/>
      <c r="K12" s="2447"/>
      <c r="L12" s="2448"/>
    </row>
    <row r="13" spans="1:29" ht="13.5" customHeight="1" x14ac:dyDescent="0.2">
      <c r="A13" s="2443"/>
      <c r="B13" s="2444"/>
      <c r="C13" s="2444"/>
      <c r="D13" s="2444"/>
      <c r="E13" s="2444"/>
      <c r="F13" s="2445"/>
      <c r="G13" s="2438" t="s">
        <v>1519</v>
      </c>
      <c r="H13" s="2439"/>
      <c r="I13" s="2455" t="str">
        <f>COVER!T25</f>
        <v>christine.torres@crowe.com</v>
      </c>
      <c r="J13" s="2456"/>
      <c r="K13" s="2456"/>
      <c r="L13" s="2457"/>
    </row>
    <row r="14" spans="1:29" ht="13.5" customHeight="1" x14ac:dyDescent="0.2">
      <c r="A14" s="2443" t="str">
        <f>COVER!A19</f>
        <v>1877 Downers Place</v>
      </c>
      <c r="B14" s="2444"/>
      <c r="C14" s="2444"/>
      <c r="D14" s="2444"/>
      <c r="E14" s="2444"/>
      <c r="F14" s="2445"/>
      <c r="G14" s="1195" t="s">
        <v>1184</v>
      </c>
      <c r="H14" s="1193"/>
      <c r="I14" s="1193"/>
      <c r="J14" s="1193"/>
      <c r="K14" s="1193"/>
      <c r="L14" s="1194"/>
    </row>
    <row r="15" spans="1:29" ht="13.5" customHeight="1" x14ac:dyDescent="0.2">
      <c r="A15" s="2443" t="str">
        <f>COVER!A21</f>
        <v>Aurora</v>
      </c>
      <c r="B15" s="2444"/>
      <c r="C15" s="2444"/>
      <c r="D15" s="2444"/>
      <c r="E15" s="2444"/>
      <c r="F15" s="2445"/>
      <c r="G15" s="2440" t="str">
        <f>COVER!T15</f>
        <v>Christine Torres</v>
      </c>
      <c r="H15" s="2441"/>
      <c r="I15" s="2441"/>
      <c r="J15" s="2441"/>
      <c r="K15" s="2441"/>
      <c r="L15" s="2442"/>
    </row>
    <row r="16" spans="1:29" ht="12.2" customHeight="1" x14ac:dyDescent="0.2">
      <c r="A16" s="2465">
        <f>COVER!A25</f>
        <v>60506</v>
      </c>
      <c r="B16" s="2466"/>
      <c r="C16" s="2466"/>
      <c r="D16" s="2466"/>
      <c r="E16" s="2466"/>
      <c r="F16" s="2467"/>
      <c r="G16" s="2477"/>
      <c r="H16" s="2478"/>
      <c r="I16" s="2478"/>
      <c r="J16" s="2478"/>
      <c r="K16" s="2478"/>
      <c r="L16" s="2479"/>
    </row>
    <row r="17" spans="1:13" ht="12.2" customHeight="1" x14ac:dyDescent="0.2">
      <c r="A17" s="2480"/>
      <c r="B17" s="2466"/>
      <c r="C17" s="2466"/>
      <c r="D17" s="2466"/>
      <c r="E17" s="2466"/>
      <c r="F17" s="2467"/>
      <c r="G17" s="1195" t="s">
        <v>1183</v>
      </c>
      <c r="H17" s="1193"/>
      <c r="I17" s="1193"/>
      <c r="J17" s="1193"/>
      <c r="K17" s="1197" t="s">
        <v>1182</v>
      </c>
      <c r="L17" s="1190"/>
      <c r="M17" s="1183"/>
    </row>
    <row r="18" spans="1:13" ht="12.2" customHeight="1" x14ac:dyDescent="0.2">
      <c r="A18" s="2449"/>
      <c r="B18" s="2450"/>
      <c r="C18" s="2450"/>
      <c r="D18" s="2450"/>
      <c r="E18" s="2450"/>
      <c r="F18" s="2451"/>
      <c r="G18" s="2459" t="str">
        <f>COVER!T21</f>
        <v>630-574-7878</v>
      </c>
      <c r="H18" s="2460"/>
      <c r="I18" s="2460"/>
      <c r="J18" s="2460"/>
      <c r="K18" s="2459" t="str">
        <f>COVER!X21</f>
        <v>630-574-1608</v>
      </c>
      <c r="L18" s="2464"/>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1168</v>
      </c>
      <c r="K20" s="1176" t="s">
        <v>1168</v>
      </c>
    </row>
    <row r="21" spans="1:13" ht="12.2" customHeight="1" x14ac:dyDescent="0.2">
      <c r="A21" s="1199" t="s">
        <v>1697</v>
      </c>
    </row>
    <row r="22" spans="1:13" ht="12.2" customHeight="1" x14ac:dyDescent="0.2">
      <c r="A22" s="1200"/>
    </row>
    <row r="23" spans="1:13" ht="12.2" customHeight="1" x14ac:dyDescent="0.2">
      <c r="A23" s="1200"/>
      <c r="B23" s="1201"/>
      <c r="C23" s="1202" t="s">
        <v>1181</v>
      </c>
    </row>
    <row r="24" spans="1:13" ht="10.15" customHeight="1" x14ac:dyDescent="0.2">
      <c r="A24" s="1200"/>
      <c r="C24" s="1202" t="s">
        <v>1180</v>
      </c>
    </row>
    <row r="25" spans="1:13" ht="9" customHeight="1" x14ac:dyDescent="0.2">
      <c r="B25" s="1203" t="s">
        <v>1168</v>
      </c>
      <c r="C25" s="1204"/>
    </row>
    <row r="26" spans="1:13" s="1198" customFormat="1" ht="12.2" customHeight="1" x14ac:dyDescent="0.2">
      <c r="B26" s="1201" t="s">
        <v>2061</v>
      </c>
      <c r="C26" s="1202" t="s">
        <v>1698</v>
      </c>
    </row>
    <row r="27" spans="1:13" s="1198" customFormat="1" ht="9" customHeight="1" x14ac:dyDescent="0.2">
      <c r="B27" s="1203"/>
      <c r="C27" s="1202"/>
    </row>
    <row r="28" spans="1:13" s="1198" customFormat="1" ht="12.2" customHeight="1" x14ac:dyDescent="0.2">
      <c r="A28" s="1205"/>
      <c r="B28" s="1201" t="s">
        <v>2061</v>
      </c>
      <c r="C28" s="1202" t="s">
        <v>1699</v>
      </c>
    </row>
    <row r="29" spans="1:13" s="1198" customFormat="1" ht="9" customHeight="1" x14ac:dyDescent="0.2">
      <c r="A29" s="1205"/>
      <c r="B29" s="1203"/>
      <c r="C29" s="1202"/>
    </row>
    <row r="30" spans="1:13" s="1198" customFormat="1" ht="12.2" customHeight="1" x14ac:dyDescent="0.2">
      <c r="B30" s="1201" t="s">
        <v>2061</v>
      </c>
      <c r="C30" s="1202" t="s">
        <v>1561</v>
      </c>
      <c r="D30" s="1196"/>
      <c r="E30" s="1196"/>
    </row>
    <row r="31" spans="1:13" s="1198" customFormat="1" ht="9" customHeight="1" x14ac:dyDescent="0.2">
      <c r="B31" s="1203"/>
      <c r="C31" s="1202"/>
      <c r="D31" s="1196"/>
      <c r="E31" s="1196"/>
    </row>
    <row r="32" spans="1:13" s="1198" customFormat="1" ht="12.2" customHeight="1" x14ac:dyDescent="0.2">
      <c r="B32" s="1201" t="s">
        <v>2061</v>
      </c>
      <c r="C32" s="1202" t="s">
        <v>1562</v>
      </c>
      <c r="D32" s="1196"/>
      <c r="E32" s="1196"/>
    </row>
    <row r="33" spans="1:8" s="1198" customFormat="1" ht="10.9" customHeight="1" x14ac:dyDescent="0.2">
      <c r="B33" s="1203"/>
      <c r="C33" s="1206" t="s">
        <v>1700</v>
      </c>
      <c r="D33" s="1196"/>
      <c r="E33" s="1196"/>
    </row>
    <row r="34" spans="1:8" ht="9" customHeight="1" x14ac:dyDescent="0.2">
      <c r="B34" s="1203"/>
      <c r="C34" s="1206"/>
    </row>
    <row r="35" spans="1:8" s="1198" customFormat="1" ht="13.5" customHeight="1" x14ac:dyDescent="0.2">
      <c r="B35" s="1201" t="s">
        <v>2061</v>
      </c>
      <c r="C35" s="1202" t="s">
        <v>1563</v>
      </c>
    </row>
    <row r="36" spans="1:8" s="1198" customFormat="1" ht="10.9" customHeight="1" x14ac:dyDescent="0.2">
      <c r="B36" s="1203"/>
      <c r="C36" s="1206" t="s">
        <v>1564</v>
      </c>
    </row>
    <row r="37" spans="1:8" ht="9" customHeight="1" x14ac:dyDescent="0.2">
      <c r="B37" s="1203"/>
      <c r="C37" s="1206"/>
    </row>
    <row r="38" spans="1:8" s="1198" customFormat="1" ht="12.2" customHeight="1" x14ac:dyDescent="0.2">
      <c r="B38" s="1201" t="s">
        <v>2061</v>
      </c>
      <c r="C38" s="1202" t="s">
        <v>1565</v>
      </c>
    </row>
    <row r="39" spans="1:8" ht="9" customHeight="1" x14ac:dyDescent="0.2">
      <c r="B39" s="1203"/>
      <c r="C39" s="1206"/>
    </row>
    <row r="40" spans="1:8" s="1198" customFormat="1" ht="13.5" customHeight="1" x14ac:dyDescent="0.2">
      <c r="B40" s="1201" t="s">
        <v>2061</v>
      </c>
      <c r="C40" s="1202" t="s">
        <v>1566</v>
      </c>
    </row>
    <row r="41" spans="1:8" ht="9" customHeight="1" x14ac:dyDescent="0.2">
      <c r="A41" s="1207"/>
      <c r="B41" s="1203"/>
      <c r="C41" s="1206"/>
    </row>
    <row r="42" spans="1:8" s="1198" customFormat="1" ht="13.5" customHeight="1" x14ac:dyDescent="0.2">
      <c r="B42" s="1201" t="s">
        <v>2061</v>
      </c>
      <c r="C42" s="1202" t="s">
        <v>1832</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1567</v>
      </c>
      <c r="D46" s="1196"/>
      <c r="E46" s="1196"/>
      <c r="F46" s="1196"/>
      <c r="G46" s="1196"/>
      <c r="H46" s="1196"/>
    </row>
    <row r="47" spans="1:8" ht="9" customHeight="1" x14ac:dyDescent="0.2"/>
    <row r="48" spans="1:8" ht="12.2" customHeight="1" x14ac:dyDescent="0.2">
      <c r="B48" s="1936"/>
      <c r="C48" s="1210" t="s">
        <v>1568</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81" t="str">
        <f>'Single Audit Cover'!A7</f>
        <v>Aurora West USD 129</v>
      </c>
      <c r="B1" s="2458"/>
      <c r="C1" s="2458"/>
      <c r="D1" s="2458"/>
    </row>
    <row r="2" spans="1:11" s="1212" customFormat="1" ht="12.75" x14ac:dyDescent="0.2">
      <c r="A2" s="2482">
        <f>'Single Audit Cover'!E7</f>
        <v>31045129022</v>
      </c>
      <c r="B2" s="2483"/>
      <c r="C2" s="2483"/>
      <c r="D2" s="2483"/>
    </row>
    <row r="3" spans="1:11" s="1212" customFormat="1" ht="12.75" x14ac:dyDescent="0.2">
      <c r="A3" s="2481" t="s">
        <v>1512</v>
      </c>
      <c r="B3" s="2458"/>
      <c r="C3" s="2458"/>
      <c r="D3" s="2458"/>
    </row>
    <row r="4" spans="1:11" s="1212" customFormat="1" ht="4.5" customHeight="1" x14ac:dyDescent="0.2">
      <c r="A4" s="1213"/>
      <c r="B4" s="1214"/>
      <c r="C4" s="1214"/>
      <c r="D4" s="1214"/>
    </row>
    <row r="5" spans="1:11" x14ac:dyDescent="0.2">
      <c r="B5" s="1216" t="s">
        <v>1513</v>
      </c>
      <c r="C5" s="1217"/>
      <c r="D5" s="1218"/>
    </row>
    <row r="6" spans="1:11" x14ac:dyDescent="0.2">
      <c r="B6" s="1216" t="s">
        <v>1224</v>
      </c>
      <c r="C6" s="1217"/>
      <c r="D6" s="1218"/>
    </row>
    <row r="7" spans="1:11" x14ac:dyDescent="0.2">
      <c r="B7" s="1216" t="s">
        <v>1514</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c r="C11" s="1223">
        <v>1</v>
      </c>
      <c r="D11" s="1224" t="s">
        <v>1701</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1702</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1703</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1704</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1725</v>
      </c>
      <c r="E24" s="1225"/>
      <c r="F24" s="1225"/>
      <c r="G24" s="1225"/>
      <c r="H24" s="1225"/>
      <c r="I24" s="1225"/>
      <c r="J24" s="1225"/>
      <c r="K24" s="1225"/>
    </row>
    <row r="25" spans="1:11" x14ac:dyDescent="0.2">
      <c r="A25" s="1219"/>
      <c r="B25" s="1228"/>
      <c r="D25" s="1227" t="s">
        <v>1705</v>
      </c>
      <c r="E25" s="1225"/>
      <c r="F25" s="1225"/>
      <c r="G25" s="1225"/>
      <c r="H25" s="1225"/>
      <c r="I25" s="1225"/>
      <c r="J25" s="1225"/>
      <c r="K25" s="1225"/>
    </row>
    <row r="26" spans="1:11" x14ac:dyDescent="0.2">
      <c r="A26" s="1219"/>
      <c r="B26" s="1228"/>
      <c r="D26" s="1232" t="s">
        <v>1706</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1569</v>
      </c>
      <c r="E28" s="1225"/>
      <c r="F28" s="1225"/>
      <c r="G28" s="1225"/>
      <c r="H28" s="1225"/>
      <c r="I28" s="1225"/>
      <c r="J28" s="1225"/>
      <c r="K28" s="1225"/>
    </row>
    <row r="29" spans="1:11" ht="10.5" customHeight="1" x14ac:dyDescent="0.2">
      <c r="A29" s="1219"/>
      <c r="D29" s="1233" t="s">
        <v>1570</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c r="C33" s="1223">
        <v>8</v>
      </c>
      <c r="D33" s="1234" t="s">
        <v>1217</v>
      </c>
    </row>
    <row r="34" spans="1:5" ht="10.5" customHeight="1" x14ac:dyDescent="0.2">
      <c r="A34" s="1219"/>
      <c r="B34" s="1235"/>
      <c r="C34" s="1223"/>
      <c r="D34" s="1234" t="s">
        <v>1571</v>
      </c>
    </row>
    <row r="35" spans="1:5" ht="3" customHeight="1" x14ac:dyDescent="0.2">
      <c r="A35" s="1219"/>
      <c r="B35" s="1228"/>
      <c r="D35" s="1218"/>
    </row>
    <row r="36" spans="1:5" x14ac:dyDescent="0.2">
      <c r="A36" s="1219"/>
      <c r="B36" s="1222"/>
      <c r="C36" s="1223">
        <f>C33+1</f>
        <v>9</v>
      </c>
      <c r="D36" s="1234" t="s">
        <v>1216</v>
      </c>
    </row>
    <row r="37" spans="1:5" ht="10.5" customHeight="1" x14ac:dyDescent="0.2">
      <c r="A37" s="1219"/>
      <c r="B37" s="1228"/>
      <c r="D37" s="1234" t="s">
        <v>1571</v>
      </c>
    </row>
    <row r="38" spans="1:5" ht="3" customHeight="1" x14ac:dyDescent="0.2">
      <c r="A38" s="1219"/>
      <c r="B38" s="1236"/>
      <c r="C38" s="1237"/>
      <c r="D38" s="1218"/>
    </row>
    <row r="39" spans="1:5" x14ac:dyDescent="0.2">
      <c r="A39" s="1219"/>
      <c r="B39" s="1238"/>
      <c r="C39" s="1229">
        <f>C36+1</f>
        <v>10</v>
      </c>
      <c r="D39" s="1218" t="s">
        <v>1215</v>
      </c>
    </row>
    <row r="40" spans="1:5" ht="10.5" customHeight="1" x14ac:dyDescent="0.2">
      <c r="A40" s="1219"/>
      <c r="B40" s="1239"/>
      <c r="C40" s="1237"/>
      <c r="D40" s="1218" t="s">
        <v>1572</v>
      </c>
    </row>
    <row r="41" spans="1:5" ht="3" customHeight="1" x14ac:dyDescent="0.2">
      <c r="A41" s="1219"/>
      <c r="B41" s="1236"/>
      <c r="C41" s="1237"/>
      <c r="D41" s="1218"/>
    </row>
    <row r="42" spans="1:5" ht="10.5" customHeight="1" x14ac:dyDescent="0.2">
      <c r="A42" s="1219"/>
      <c r="B42" s="1238"/>
      <c r="C42" s="1229">
        <v>11</v>
      </c>
      <c r="D42" s="1240" t="s">
        <v>1573</v>
      </c>
      <c r="E42" s="312"/>
    </row>
    <row r="43" spans="1:5" ht="3" customHeight="1" x14ac:dyDescent="0.2">
      <c r="A43" s="1219"/>
      <c r="B43" s="1236"/>
      <c r="C43" s="1237"/>
      <c r="D43" s="1218"/>
    </row>
    <row r="44" spans="1:5" x14ac:dyDescent="0.2">
      <c r="A44" s="1219"/>
      <c r="B44" s="1222"/>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c r="C48" s="1223">
        <f>C44+1</f>
        <v>13</v>
      </c>
      <c r="D48" s="1234" t="s">
        <v>1574</v>
      </c>
    </row>
    <row r="49" spans="1:4" ht="3" customHeight="1" x14ac:dyDescent="0.2">
      <c r="A49" s="1219"/>
      <c r="B49" s="1226"/>
      <c r="C49" s="1223"/>
      <c r="D49" s="1234"/>
    </row>
    <row r="50" spans="1:4" x14ac:dyDescent="0.2">
      <c r="A50" s="1219"/>
      <c r="B50" s="1222"/>
      <c r="C50" s="1223">
        <f>C48+1</f>
        <v>14</v>
      </c>
      <c r="D50" s="1234" t="s">
        <v>1211</v>
      </c>
    </row>
    <row r="51" spans="1:4" ht="3" customHeight="1" x14ac:dyDescent="0.2">
      <c r="A51" s="1219"/>
      <c r="B51" s="1226"/>
      <c r="C51" s="1223"/>
      <c r="D51" s="1234"/>
    </row>
    <row r="52" spans="1:4" x14ac:dyDescent="0.2">
      <c r="A52" s="1219"/>
      <c r="B52" s="1222"/>
      <c r="C52" s="1223">
        <f>C50+1</f>
        <v>15</v>
      </c>
      <c r="D52" s="1234" t="s">
        <v>1210</v>
      </c>
    </row>
    <row r="53" spans="1:4" ht="3" customHeight="1" x14ac:dyDescent="0.2">
      <c r="A53" s="1219"/>
      <c r="B53" s="1226"/>
      <c r="C53" s="1223"/>
      <c r="D53" s="1234"/>
    </row>
    <row r="54" spans="1:4" x14ac:dyDescent="0.2">
      <c r="A54" s="1219"/>
      <c r="B54" s="1222"/>
      <c r="C54" s="1223">
        <f>C52+1</f>
        <v>16</v>
      </c>
      <c r="D54" s="1234" t="s">
        <v>1209</v>
      </c>
    </row>
    <row r="55" spans="1:4" ht="3" customHeight="1" x14ac:dyDescent="0.2">
      <c r="A55" s="1219"/>
      <c r="B55" s="1226"/>
      <c r="C55" s="1223"/>
      <c r="D55" s="1234"/>
    </row>
    <row r="56" spans="1:4" x14ac:dyDescent="0.2">
      <c r="A56" s="1219"/>
      <c r="B56" s="1222"/>
      <c r="C56" s="1223">
        <f>C54+1</f>
        <v>17</v>
      </c>
      <c r="D56" s="1218" t="s">
        <v>1707</v>
      </c>
    </row>
    <row r="57" spans="1:4" ht="10.5" customHeight="1" x14ac:dyDescent="0.2">
      <c r="A57" s="1219"/>
      <c r="D57" s="1234" t="s">
        <v>1708</v>
      </c>
    </row>
    <row r="58" spans="1:4" x14ac:dyDescent="0.2">
      <c r="A58" s="1219"/>
      <c r="C58" s="1241"/>
      <c r="D58" s="1234" t="s">
        <v>1709</v>
      </c>
    </row>
    <row r="59" spans="1:4" ht="10.5" customHeight="1" x14ac:dyDescent="0.2">
      <c r="A59" s="1219"/>
      <c r="D59" s="1218" t="s">
        <v>1208</v>
      </c>
    </row>
    <row r="60" spans="1:4" ht="10.5" customHeight="1" x14ac:dyDescent="0.2">
      <c r="A60" s="1219"/>
      <c r="D60" s="1242" t="s">
        <v>1598</v>
      </c>
    </row>
    <row r="61" spans="1:4" ht="10.5" customHeight="1" x14ac:dyDescent="0.2">
      <c r="A61" s="1219"/>
      <c r="C61" s="1241"/>
      <c r="D61" s="1234" t="s">
        <v>1710</v>
      </c>
    </row>
    <row r="62" spans="1:4" ht="10.5" customHeight="1" x14ac:dyDescent="0.2">
      <c r="A62" s="1219"/>
      <c r="D62" s="1243" t="s">
        <v>1207</v>
      </c>
    </row>
    <row r="63" spans="1:4" ht="10.5" customHeight="1" x14ac:dyDescent="0.2">
      <c r="A63" s="1219"/>
      <c r="D63" s="1218" t="s">
        <v>1575</v>
      </c>
    </row>
    <row r="64" spans="1:4" ht="10.5" customHeight="1" x14ac:dyDescent="0.2">
      <c r="A64" s="1219"/>
      <c r="D64" s="1242" t="s">
        <v>1597</v>
      </c>
    </row>
    <row r="65" spans="1:4" x14ac:dyDescent="0.2">
      <c r="A65" s="1219"/>
      <c r="C65" s="1241"/>
      <c r="D65" s="1234" t="s">
        <v>1711</v>
      </c>
    </row>
    <row r="66" spans="1:4" ht="10.5" customHeight="1" x14ac:dyDescent="0.2">
      <c r="A66" s="1219"/>
      <c r="D66" s="1244" t="s">
        <v>1206</v>
      </c>
    </row>
    <row r="67" spans="1:4" ht="10.5" customHeight="1" x14ac:dyDescent="0.2">
      <c r="A67" s="1219"/>
      <c r="D67" s="1218" t="s">
        <v>1576</v>
      </c>
    </row>
    <row r="68" spans="1:4" ht="10.5" customHeight="1" x14ac:dyDescent="0.2">
      <c r="A68" s="1219"/>
      <c r="D68" s="1242" t="s">
        <v>1597</v>
      </c>
    </row>
    <row r="69" spans="1:4" ht="10.5" customHeight="1" x14ac:dyDescent="0.2">
      <c r="A69" s="1219"/>
      <c r="C69" s="1241"/>
      <c r="D69" s="1234" t="s">
        <v>1712</v>
      </c>
    </row>
    <row r="70" spans="1:4" x14ac:dyDescent="0.2">
      <c r="A70" s="1219"/>
      <c r="D70" s="1243" t="s">
        <v>1205</v>
      </c>
    </row>
    <row r="71" spans="1:4" ht="3" customHeight="1" x14ac:dyDescent="0.2">
      <c r="A71" s="1219"/>
      <c r="D71" s="1218"/>
    </row>
    <row r="72" spans="1:4" x14ac:dyDescent="0.2">
      <c r="A72" s="1219"/>
      <c r="B72" s="1222"/>
      <c r="C72" s="1223">
        <f>C56+1</f>
        <v>18</v>
      </c>
      <c r="D72" s="1244" t="s">
        <v>1713</v>
      </c>
    </row>
    <row r="73" spans="1:4" ht="3" customHeight="1" x14ac:dyDescent="0.2">
      <c r="A73" s="1219"/>
      <c r="B73" s="1226"/>
      <c r="C73" s="1223"/>
      <c r="D73" s="1244"/>
    </row>
    <row r="74" spans="1:4" x14ac:dyDescent="0.2">
      <c r="A74" s="1219"/>
      <c r="B74" s="1222"/>
      <c r="C74" s="1223">
        <f>C72+1</f>
        <v>19</v>
      </c>
      <c r="D74" s="1234" t="s">
        <v>1204</v>
      </c>
    </row>
    <row r="75" spans="1:4" ht="3" customHeight="1" x14ac:dyDescent="0.2">
      <c r="A75" s="1219"/>
      <c r="B75" s="1226"/>
      <c r="C75" s="1223"/>
      <c r="D75" s="1234"/>
    </row>
    <row r="76" spans="1:4" x14ac:dyDescent="0.2">
      <c r="A76" s="1219"/>
      <c r="B76" s="1222"/>
      <c r="C76" s="1223">
        <f>C74+1</f>
        <v>20</v>
      </c>
      <c r="D76" s="1245" t="s">
        <v>1714</v>
      </c>
    </row>
    <row r="77" spans="1:4" ht="3" customHeight="1" x14ac:dyDescent="0.2">
      <c r="A77" s="1219"/>
      <c r="B77" s="1226"/>
      <c r="C77" s="1223"/>
      <c r="D77" s="1245"/>
    </row>
    <row r="78" spans="1:4" x14ac:dyDescent="0.2">
      <c r="A78" s="1219"/>
      <c r="B78" s="1222"/>
      <c r="C78" s="1223">
        <f>C76+1</f>
        <v>21</v>
      </c>
      <c r="D78" s="1218" t="s">
        <v>1715</v>
      </c>
    </row>
    <row r="79" spans="1:4" ht="3" customHeight="1" x14ac:dyDescent="0.2">
      <c r="A79" s="1219"/>
      <c r="B79" s="1226"/>
      <c r="C79" s="1223"/>
      <c r="D79" s="1218"/>
    </row>
    <row r="80" spans="1:4" x14ac:dyDescent="0.2">
      <c r="A80" s="1219"/>
      <c r="B80" s="1222"/>
      <c r="C80" s="1223">
        <f>C78+1</f>
        <v>22</v>
      </c>
      <c r="D80" s="1246" t="s">
        <v>1716</v>
      </c>
    </row>
    <row r="81" spans="1:4" ht="3" customHeight="1" x14ac:dyDescent="0.2">
      <c r="A81" s="1219"/>
      <c r="B81" s="1226"/>
      <c r="C81" s="1223"/>
      <c r="D81" s="1246"/>
    </row>
    <row r="82" spans="1:4" x14ac:dyDescent="0.2">
      <c r="A82" s="1219"/>
      <c r="B82" s="1222"/>
      <c r="C82" s="1223">
        <f>C80+1</f>
        <v>23</v>
      </c>
      <c r="D82" s="1245" t="s">
        <v>1717</v>
      </c>
    </row>
    <row r="83" spans="1:4" ht="10.5" customHeight="1" x14ac:dyDescent="0.2">
      <c r="A83" s="1219"/>
      <c r="B83" s="1228"/>
      <c r="D83" s="1234" t="s">
        <v>1203</v>
      </c>
    </row>
    <row r="84" spans="1:4" ht="3" customHeight="1" x14ac:dyDescent="0.2">
      <c r="A84" s="1219"/>
      <c r="B84" s="1228"/>
      <c r="D84" s="1234"/>
    </row>
    <row r="85" spans="1:4" x14ac:dyDescent="0.2">
      <c r="A85" s="1219"/>
      <c r="B85" s="1222"/>
      <c r="C85" s="1223">
        <f>C82+1</f>
        <v>24</v>
      </c>
      <c r="D85" s="1234" t="s">
        <v>1202</v>
      </c>
    </row>
    <row r="86" spans="1:4" ht="3" customHeight="1" x14ac:dyDescent="0.2">
      <c r="A86" s="1219"/>
      <c r="B86" s="1226"/>
      <c r="C86" s="1223"/>
      <c r="D86" s="1234"/>
    </row>
    <row r="87" spans="1:4" x14ac:dyDescent="0.2">
      <c r="A87" s="1219"/>
      <c r="B87" s="1222"/>
      <c r="C87" s="1223">
        <f>C85+1</f>
        <v>25</v>
      </c>
      <c r="D87" s="1234" t="s">
        <v>1201</v>
      </c>
    </row>
    <row r="88" spans="1:4" ht="3" customHeight="1" x14ac:dyDescent="0.2">
      <c r="A88" s="1219"/>
      <c r="B88" s="1226"/>
      <c r="C88" s="1223"/>
      <c r="D88" s="1234"/>
    </row>
    <row r="89" spans="1:4" x14ac:dyDescent="0.2">
      <c r="A89" s="1219"/>
      <c r="B89" s="1222"/>
      <c r="C89" s="1223">
        <f>C87+1</f>
        <v>26</v>
      </c>
      <c r="D89" s="1234" t="s">
        <v>1200</v>
      </c>
    </row>
    <row r="90" spans="1:4" ht="3" customHeight="1" x14ac:dyDescent="0.2">
      <c r="A90" s="1219"/>
      <c r="B90" s="1226"/>
      <c r="C90" s="1223"/>
      <c r="D90" s="1234"/>
    </row>
    <row r="91" spans="1:4" x14ac:dyDescent="0.2">
      <c r="A91" s="1219"/>
      <c r="B91" s="1222"/>
      <c r="C91" s="1223">
        <f>C89+1</f>
        <v>27</v>
      </c>
      <c r="D91" s="1234" t="s">
        <v>1718</v>
      </c>
    </row>
    <row r="92" spans="1:4" x14ac:dyDescent="0.2">
      <c r="A92" s="1219"/>
      <c r="B92" s="1247"/>
      <c r="C92" s="1241"/>
      <c r="D92" s="1234" t="s">
        <v>1199</v>
      </c>
    </row>
    <row r="93" spans="1:4" ht="4.5" customHeight="1" x14ac:dyDescent="0.2">
      <c r="A93" s="1219"/>
      <c r="D93" s="1218"/>
    </row>
    <row r="94" spans="1:4" x14ac:dyDescent="0.2">
      <c r="A94" s="1219"/>
      <c r="B94" s="1220" t="s">
        <v>1577</v>
      </c>
      <c r="C94" s="1221"/>
      <c r="D94" s="1218"/>
    </row>
    <row r="95" spans="1:4" ht="4.5" customHeight="1" x14ac:dyDescent="0.2">
      <c r="A95" s="1219"/>
      <c r="B95" s="1220"/>
      <c r="C95" s="1221"/>
      <c r="D95" s="1218"/>
    </row>
    <row r="96" spans="1:4" x14ac:dyDescent="0.2">
      <c r="A96" s="1219"/>
      <c r="B96" s="1222"/>
      <c r="C96" s="1223">
        <f>C91+1</f>
        <v>28</v>
      </c>
      <c r="D96" s="1234" t="s">
        <v>1719</v>
      </c>
    </row>
    <row r="97" spans="1:4" ht="3" customHeight="1" x14ac:dyDescent="0.2">
      <c r="A97" s="1219"/>
      <c r="B97" s="1226"/>
      <c r="C97" s="1223"/>
      <c r="D97" s="1234"/>
    </row>
    <row r="98" spans="1:4" x14ac:dyDescent="0.2">
      <c r="A98" s="1219"/>
      <c r="B98" s="1222"/>
      <c r="C98" s="1223">
        <f>C96+1</f>
        <v>29</v>
      </c>
      <c r="D98" s="1248" t="s">
        <v>1720</v>
      </c>
    </row>
    <row r="99" spans="1:4" ht="3" customHeight="1" x14ac:dyDescent="0.2">
      <c r="A99" s="1219"/>
      <c r="B99" s="1226"/>
      <c r="C99" s="1223"/>
      <c r="D99" s="1248"/>
    </row>
    <row r="100" spans="1:4" x14ac:dyDescent="0.2">
      <c r="A100" s="1219"/>
      <c r="B100" s="1222"/>
      <c r="C100" s="1223">
        <f>C98+1</f>
        <v>30</v>
      </c>
      <c r="D100" s="1234" t="s">
        <v>1721</v>
      </c>
    </row>
    <row r="101" spans="1:4" ht="3" customHeight="1" x14ac:dyDescent="0.2">
      <c r="A101" s="1219"/>
      <c r="B101" s="1226"/>
      <c r="C101" s="1223"/>
      <c r="D101" s="1249"/>
    </row>
    <row r="102" spans="1:4" x14ac:dyDescent="0.2">
      <c r="A102" s="1219"/>
      <c r="B102" s="1222"/>
      <c r="C102" s="1223">
        <f>C100+1</f>
        <v>31</v>
      </c>
      <c r="D102" s="1234" t="s">
        <v>1578</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c r="C106" s="1223">
        <f>C102+1</f>
        <v>32</v>
      </c>
      <c r="D106" s="1218" t="s">
        <v>1579</v>
      </c>
    </row>
    <row r="107" spans="1:4" ht="3" customHeight="1" x14ac:dyDescent="0.2">
      <c r="A107" s="1219"/>
      <c r="B107" s="1226"/>
      <c r="C107" s="1223"/>
      <c r="D107" s="1218"/>
    </row>
    <row r="108" spans="1:4" x14ac:dyDescent="0.2">
      <c r="A108" s="1219"/>
      <c r="B108" s="1222"/>
      <c r="C108" s="1223">
        <v>33</v>
      </c>
      <c r="D108" s="1218" t="s">
        <v>1722</v>
      </c>
    </row>
    <row r="109" spans="1:4" ht="3" customHeight="1" x14ac:dyDescent="0.2">
      <c r="A109" s="1219"/>
      <c r="B109" s="1226"/>
      <c r="C109" s="1223"/>
      <c r="D109" s="1218"/>
    </row>
    <row r="110" spans="1:4" x14ac:dyDescent="0.2">
      <c r="A110" s="1219"/>
      <c r="B110" s="1222"/>
      <c r="C110" s="1223">
        <f>C108+1</f>
        <v>34</v>
      </c>
      <c r="D110" s="1218" t="s">
        <v>1197</v>
      </c>
    </row>
    <row r="111" spans="1:4" ht="3" customHeight="1" x14ac:dyDescent="0.2">
      <c r="A111" s="1219"/>
      <c r="B111" s="1226"/>
      <c r="C111" s="1223"/>
      <c r="D111" s="1218"/>
    </row>
    <row r="112" spans="1:4" x14ac:dyDescent="0.2">
      <c r="A112" s="1219"/>
      <c r="B112" s="1222"/>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c r="C115" s="1223">
        <f>C112+1</f>
        <v>36</v>
      </c>
      <c r="D115" s="1234" t="s">
        <v>1194</v>
      </c>
    </row>
    <row r="116" spans="1:4" ht="3" customHeight="1" x14ac:dyDescent="0.2">
      <c r="A116" s="1219"/>
      <c r="B116" s="1226"/>
      <c r="C116" s="1223"/>
      <c r="D116" s="1234"/>
    </row>
    <row r="117" spans="1:4" x14ac:dyDescent="0.2">
      <c r="A117" s="1219"/>
      <c r="B117" s="1222"/>
      <c r="C117" s="1223">
        <f>C115+1</f>
        <v>37</v>
      </c>
      <c r="D117" s="1234" t="s">
        <v>1723</v>
      </c>
    </row>
    <row r="118" spans="1:4" ht="3" customHeight="1" x14ac:dyDescent="0.2">
      <c r="A118" s="1219"/>
      <c r="B118" s="1226"/>
      <c r="C118" s="1223"/>
      <c r="D118" s="1234"/>
    </row>
    <row r="119" spans="1:4" x14ac:dyDescent="0.2">
      <c r="A119" s="1219"/>
      <c r="B119" s="1222"/>
      <c r="C119" s="1223">
        <f>C117+1</f>
        <v>38</v>
      </c>
      <c r="D119" s="1234" t="s">
        <v>1724</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c r="C123" s="1223">
        <f>C119+1</f>
        <v>39</v>
      </c>
      <c r="D123" s="1244" t="s">
        <v>1833</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E49"/>
  <sheetViews>
    <sheetView showGridLines="0" zoomScale="110" zoomScaleNormal="110" zoomScaleSheetLayoutView="100" workbookViewId="0">
      <selection activeCell="D35" sqref="D35"/>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85" t="str">
        <f>'Single Audit Cover'!A7</f>
        <v>Aurora West USD 129</v>
      </c>
      <c r="B1" s="2485"/>
      <c r="C1" s="2485"/>
      <c r="D1" s="2485"/>
      <c r="E1" s="2485"/>
    </row>
    <row r="2" spans="1:5" x14ac:dyDescent="0.2">
      <c r="A2" s="2486">
        <f>'Single Audit Cover'!E7</f>
        <v>31045129022</v>
      </c>
      <c r="B2" s="2486"/>
      <c r="C2" s="2486"/>
      <c r="D2" s="2486"/>
      <c r="E2" s="2486"/>
    </row>
    <row r="3" spans="1:5" ht="4.5" customHeight="1" x14ac:dyDescent="0.2"/>
    <row r="4" spans="1:5" x14ac:dyDescent="0.2">
      <c r="A4" s="2485" t="s">
        <v>1244</v>
      </c>
      <c r="B4" s="2485"/>
      <c r="C4" s="2485"/>
      <c r="D4" s="2485"/>
      <c r="E4" s="2485"/>
    </row>
    <row r="5" spans="1:5" x14ac:dyDescent="0.2">
      <c r="A5" s="2488" t="str">
        <f>'Single Audit Cover'!A4</f>
        <v>Year Ending June 30, 2019</v>
      </c>
      <c r="B5" s="2488"/>
      <c r="C5" s="2488"/>
      <c r="D5" s="2488"/>
      <c r="E5" s="2488"/>
    </row>
    <row r="6" spans="1:5" x14ac:dyDescent="0.2">
      <c r="A6" s="2485" t="s">
        <v>1243</v>
      </c>
      <c r="B6" s="2485"/>
      <c r="C6" s="2485"/>
      <c r="D6" s="2485"/>
      <c r="E6" s="2485"/>
    </row>
    <row r="8" spans="1:5" x14ac:dyDescent="0.2">
      <c r="A8" s="1257" t="s">
        <v>1242</v>
      </c>
    </row>
    <row r="10" spans="1:5" x14ac:dyDescent="0.2">
      <c r="A10" s="1258" t="s">
        <v>1241</v>
      </c>
      <c r="B10" s="1259" t="s">
        <v>1240</v>
      </c>
      <c r="C10" s="1259"/>
      <c r="D10" s="1260">
        <f>SUM('Acct Summary 7-8'!C7:K7)</f>
        <v>16501563</v>
      </c>
    </row>
    <row r="11" spans="1:5" ht="18" customHeight="1" x14ac:dyDescent="0.2">
      <c r="A11" s="1258" t="s">
        <v>1239</v>
      </c>
      <c r="B11" s="1259"/>
      <c r="C11" s="1259"/>
    </row>
    <row r="12" spans="1:5" x14ac:dyDescent="0.2">
      <c r="A12" s="1258" t="s">
        <v>1238</v>
      </c>
      <c r="B12" s="1259" t="s">
        <v>1237</v>
      </c>
      <c r="C12" s="1259"/>
      <c r="D12" s="1261">
        <f>SUM('Revenues 9-14'!C112:D112,'Revenues 9-14'!F112:G112)</f>
        <v>0</v>
      </c>
    </row>
    <row r="13" spans="1:5" x14ac:dyDescent="0.2">
      <c r="A13" s="1258" t="s">
        <v>1236</v>
      </c>
      <c r="B13" s="1259"/>
      <c r="C13" s="1259"/>
    </row>
    <row r="14" spans="1:5" x14ac:dyDescent="0.2">
      <c r="A14" s="1258" t="s">
        <v>1726</v>
      </c>
      <c r="B14" s="1259"/>
      <c r="C14" s="1259"/>
      <c r="D14" s="1261">
        <f>'ICR Computation 30'!E11</f>
        <v>379384</v>
      </c>
    </row>
    <row r="15" spans="1:5" x14ac:dyDescent="0.2">
      <c r="A15" s="1258"/>
      <c r="B15" s="1259"/>
      <c r="C15" s="1259"/>
    </row>
    <row r="16" spans="1:5" x14ac:dyDescent="0.2">
      <c r="A16" s="1258" t="s">
        <v>1839</v>
      </c>
      <c r="B16" s="1259"/>
      <c r="C16" s="1259"/>
    </row>
    <row r="17" spans="1:4" x14ac:dyDescent="0.2">
      <c r="A17" s="1258" t="s">
        <v>2055</v>
      </c>
      <c r="B17" s="1259" t="s">
        <v>1235</v>
      </c>
      <c r="C17" s="1259"/>
      <c r="D17" s="1261">
        <f>-SUM('Revenues 9-14'!C264:D264,'Revenues 9-14'!F264:G264)</f>
        <v>-1286052</v>
      </c>
    </row>
    <row r="19" spans="1:4" ht="13.5" thickBot="1" x14ac:dyDescent="0.25">
      <c r="A19" s="1262" t="s">
        <v>1234</v>
      </c>
      <c r="D19" s="1263">
        <f>SUM(D10:D17)</f>
        <v>15594895</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487"/>
      <c r="B24" s="2487"/>
      <c r="D24" s="1265"/>
    </row>
    <row r="25" spans="1:4" x14ac:dyDescent="0.2">
      <c r="A25" s="2484" t="s">
        <v>2259</v>
      </c>
      <c r="B25" s="2484"/>
      <c r="D25" s="1265">
        <f>-D14</f>
        <v>-379384</v>
      </c>
    </row>
    <row r="26" spans="1:4" x14ac:dyDescent="0.2">
      <c r="A26" s="2484"/>
      <c r="B26" s="2484"/>
      <c r="D26" s="1265"/>
    </row>
    <row r="27" spans="1:4" x14ac:dyDescent="0.2">
      <c r="A27" s="2484"/>
      <c r="B27" s="2484"/>
      <c r="D27" s="1265"/>
    </row>
    <row r="28" spans="1:4" x14ac:dyDescent="0.2">
      <c r="A28" s="2484"/>
      <c r="B28" s="2484"/>
      <c r="D28" s="1265"/>
    </row>
    <row r="29" spans="1:4" x14ac:dyDescent="0.2">
      <c r="A29" s="2484"/>
      <c r="B29" s="2484"/>
      <c r="D29" s="1265"/>
    </row>
    <row r="30" spans="1:4" x14ac:dyDescent="0.2">
      <c r="A30" s="2484"/>
      <c r="B30" s="2484"/>
      <c r="D30" s="1265"/>
    </row>
    <row r="32" spans="1:4" x14ac:dyDescent="0.2">
      <c r="A32" s="1257" t="s">
        <v>1232</v>
      </c>
      <c r="D32" s="1260">
        <f>SUM(D19:D30)</f>
        <v>15215511</v>
      </c>
    </row>
    <row r="33" spans="1:4" x14ac:dyDescent="0.2">
      <c r="D33" s="1266"/>
    </row>
    <row r="34" spans="1:4" x14ac:dyDescent="0.2">
      <c r="A34" s="317" t="s">
        <v>1231</v>
      </c>
    </row>
    <row r="35" spans="1:4" x14ac:dyDescent="0.2">
      <c r="A35" s="317" t="s">
        <v>1230</v>
      </c>
      <c r="B35" s="1255" t="s">
        <v>1229</v>
      </c>
      <c r="D35" s="1267">
        <f>'SEFA-1A'!G84</f>
        <v>15215510.640000001</v>
      </c>
    </row>
    <row r="37" spans="1:4" x14ac:dyDescent="0.2">
      <c r="A37" s="1257" t="s">
        <v>1228</v>
      </c>
    </row>
    <row r="39" spans="1:4" ht="13.35" customHeight="1" x14ac:dyDescent="0.2">
      <c r="A39" s="1264" t="s">
        <v>1227</v>
      </c>
    </row>
    <row r="40" spans="1:4" x14ac:dyDescent="0.2">
      <c r="A40" s="2484"/>
      <c r="B40" s="2484"/>
      <c r="D40" s="1265"/>
    </row>
    <row r="41" spans="1:4" x14ac:dyDescent="0.2">
      <c r="A41" s="2484"/>
      <c r="B41" s="2484"/>
      <c r="D41" s="1268"/>
    </row>
    <row r="42" spans="1:4" x14ac:dyDescent="0.2">
      <c r="A42" s="2484"/>
      <c r="B42" s="2484"/>
      <c r="D42" s="1268"/>
    </row>
    <row r="43" spans="1:4" x14ac:dyDescent="0.2">
      <c r="A43" s="2484"/>
      <c r="B43" s="2484"/>
      <c r="D43" s="1268"/>
    </row>
    <row r="44" spans="1:4" x14ac:dyDescent="0.2">
      <c r="A44" s="2484"/>
      <c r="B44" s="2484"/>
      <c r="D44" s="1268"/>
    </row>
    <row r="45" spans="1:4" x14ac:dyDescent="0.2">
      <c r="A45" s="2484"/>
      <c r="B45" s="2484"/>
      <c r="D45" s="1268"/>
    </row>
    <row r="47" spans="1:4" x14ac:dyDescent="0.2">
      <c r="B47" s="1269" t="s">
        <v>1226</v>
      </c>
      <c r="C47" s="1269"/>
      <c r="D47" s="1270">
        <f>SUM(D35:D45)</f>
        <v>15215510.640000001</v>
      </c>
    </row>
    <row r="49" spans="2:4" x14ac:dyDescent="0.2">
      <c r="B49" s="1269" t="s">
        <v>1225</v>
      </c>
      <c r="C49" s="1269"/>
      <c r="D49" s="1270">
        <f>D32-D47</f>
        <v>0.35999999940395355</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68" t="str">
        <f>'Single Audit Cover'!A7</f>
        <v>Aurora West USD 129</v>
      </c>
      <c r="C1" s="2489"/>
      <c r="D1" s="2489"/>
      <c r="E1" s="2489"/>
      <c r="F1" s="2489"/>
      <c r="G1" s="2489"/>
      <c r="H1" s="2489"/>
      <c r="I1" s="2489"/>
      <c r="J1" s="2489"/>
      <c r="K1" s="2489"/>
      <c r="L1" s="2489"/>
      <c r="M1" s="2489"/>
    </row>
    <row r="2" spans="2:14" ht="15" x14ac:dyDescent="0.2">
      <c r="B2" s="2490">
        <f>'Single Audit Cover'!E7</f>
        <v>31045129022</v>
      </c>
      <c r="C2" s="2490"/>
      <c r="D2" s="2490"/>
      <c r="E2" s="2490"/>
      <c r="F2" s="2490"/>
      <c r="G2" s="2490"/>
      <c r="H2" s="2490"/>
      <c r="I2" s="2490"/>
      <c r="J2" s="2490"/>
      <c r="K2" s="2490"/>
      <c r="L2" s="2490"/>
      <c r="M2" s="2490"/>
      <c r="N2" s="1299"/>
    </row>
    <row r="3" spans="2:14" ht="15" x14ac:dyDescent="0.2">
      <c r="B3" s="2491" t="s">
        <v>1218</v>
      </c>
      <c r="C3" s="2491"/>
      <c r="D3" s="2491"/>
      <c r="E3" s="2491"/>
      <c r="F3" s="2491"/>
      <c r="G3" s="2491"/>
      <c r="H3" s="2491"/>
      <c r="I3" s="2491"/>
      <c r="J3" s="2491"/>
      <c r="K3" s="2491"/>
      <c r="L3" s="2491"/>
      <c r="M3" s="2491"/>
      <c r="N3" s="1299"/>
    </row>
    <row r="4" spans="2:14" ht="15" x14ac:dyDescent="0.2">
      <c r="B4" s="2492" t="str">
        <f>'Single Audit Cover'!A4</f>
        <v>Year Ending June 30, 2019</v>
      </c>
      <c r="C4" s="2492"/>
      <c r="D4" s="2492"/>
      <c r="E4" s="2492"/>
      <c r="F4" s="2492"/>
      <c r="G4" s="2492"/>
      <c r="H4" s="2492"/>
      <c r="I4" s="2492"/>
      <c r="J4" s="2492"/>
      <c r="K4" s="2492"/>
      <c r="L4" s="2492"/>
      <c r="M4" s="2492"/>
      <c r="N4" s="1299"/>
    </row>
    <row r="6" spans="2:14" x14ac:dyDescent="0.2">
      <c r="B6" s="1300"/>
      <c r="C6" s="1301"/>
      <c r="D6" s="1302" t="s">
        <v>1264</v>
      </c>
      <c r="E6" s="1303" t="s">
        <v>526</v>
      </c>
      <c r="F6" s="1304"/>
      <c r="G6" s="1305" t="s">
        <v>1730</v>
      </c>
      <c r="H6" s="1303"/>
      <c r="I6" s="1303"/>
      <c r="J6" s="1303"/>
      <c r="K6" s="1306"/>
      <c r="L6" s="1307"/>
      <c r="M6" s="1308"/>
    </row>
    <row r="7" spans="2:14" x14ac:dyDescent="0.2">
      <c r="B7" s="1309" t="s">
        <v>1580</v>
      </c>
      <c r="C7" s="1310"/>
      <c r="D7" s="1311"/>
      <c r="E7" s="1312"/>
      <c r="F7" s="1313"/>
      <c r="G7" s="1312"/>
      <c r="H7" s="1314" t="s">
        <v>1261</v>
      </c>
      <c r="I7" s="1312"/>
      <c r="J7" s="1315" t="s">
        <v>1261</v>
      </c>
      <c r="K7" s="1316"/>
      <c r="L7" s="1317" t="s">
        <v>1259</v>
      </c>
      <c r="M7" s="1318"/>
    </row>
    <row r="8" spans="2:14" x14ac:dyDescent="0.2">
      <c r="B8" s="1665"/>
      <c r="C8" s="1310" t="s">
        <v>1263</v>
      </c>
      <c r="D8" s="1311" t="s">
        <v>1262</v>
      </c>
      <c r="E8" s="1319" t="s">
        <v>1261</v>
      </c>
      <c r="F8" s="1320" t="s">
        <v>1261</v>
      </c>
      <c r="G8" s="1321" t="s">
        <v>1261</v>
      </c>
      <c r="H8" s="1314" t="s">
        <v>1835</v>
      </c>
      <c r="I8" s="1316" t="s">
        <v>1261</v>
      </c>
      <c r="J8" s="1315" t="s">
        <v>1984</v>
      </c>
      <c r="K8" s="1316" t="s">
        <v>1260</v>
      </c>
      <c r="L8" s="1317" t="s">
        <v>1256</v>
      </c>
      <c r="M8" s="1318" t="s">
        <v>30</v>
      </c>
    </row>
    <row r="9" spans="2:14" ht="14.25" x14ac:dyDescent="0.2">
      <c r="B9" s="1322" t="s">
        <v>1258</v>
      </c>
      <c r="C9" s="1310" t="s">
        <v>1731</v>
      </c>
      <c r="D9" s="1311" t="s">
        <v>1732</v>
      </c>
      <c r="E9" s="1319" t="s">
        <v>1835</v>
      </c>
      <c r="F9" s="1320" t="s">
        <v>1984</v>
      </c>
      <c r="G9" s="1321" t="s">
        <v>1835</v>
      </c>
      <c r="H9" s="1314" t="s">
        <v>1581</v>
      </c>
      <c r="I9" s="1316" t="s">
        <v>1984</v>
      </c>
      <c r="J9" s="1315" t="s">
        <v>1581</v>
      </c>
      <c r="K9" s="1316" t="s">
        <v>1257</v>
      </c>
      <c r="L9" s="1323" t="s">
        <v>1582</v>
      </c>
      <c r="M9" s="1318"/>
    </row>
    <row r="10" spans="2:14" ht="11.85" customHeight="1" x14ac:dyDescent="0.2">
      <c r="B10" s="1322" t="s">
        <v>1255</v>
      </c>
      <c r="C10" s="1324" t="s">
        <v>1254</v>
      </c>
      <c r="D10" s="1325" t="s">
        <v>1253</v>
      </c>
      <c r="E10" s="1326" t="s">
        <v>1252</v>
      </c>
      <c r="F10" s="1327" t="s">
        <v>1251</v>
      </c>
      <c r="G10" s="1328" t="s">
        <v>1250</v>
      </c>
      <c r="H10" s="1329" t="s">
        <v>1265</v>
      </c>
      <c r="I10" s="1330" t="s">
        <v>1249</v>
      </c>
      <c r="J10" s="1331" t="s">
        <v>1265</v>
      </c>
      <c r="K10" s="1332" t="s">
        <v>1248</v>
      </c>
      <c r="L10" s="1332" t="s">
        <v>1247</v>
      </c>
      <c r="M10" s="1333" t="s">
        <v>1246</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1168</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1733</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1836</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1245</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1734</v>
      </c>
      <c r="C37" s="1362"/>
      <c r="D37" s="1362"/>
      <c r="E37" s="1362"/>
      <c r="F37" s="1362"/>
      <c r="G37" s="1362"/>
      <c r="H37" s="1362"/>
      <c r="I37" s="1363"/>
      <c r="J37" s="1363"/>
      <c r="K37" s="1363"/>
      <c r="L37" s="1363"/>
      <c r="M37" s="1363"/>
    </row>
    <row r="38" spans="2:13" ht="11.25" customHeight="1" x14ac:dyDescent="0.2">
      <c r="B38" s="1364" t="s">
        <v>1583</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1735</v>
      </c>
      <c r="C40" s="1363"/>
      <c r="D40" s="1363"/>
      <c r="E40" s="1363"/>
      <c r="F40" s="1363"/>
      <c r="G40" s="1363"/>
      <c r="H40" s="1363"/>
      <c r="I40" s="1363"/>
      <c r="J40" s="1363"/>
      <c r="K40" s="1363"/>
      <c r="L40" s="1363"/>
      <c r="M40" s="1363"/>
    </row>
    <row r="41" spans="2:13" ht="11.25" customHeight="1" x14ac:dyDescent="0.2">
      <c r="B41" s="1297" t="s">
        <v>1584</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1736</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1737</v>
      </c>
      <c r="C45" s="1365"/>
      <c r="D45" s="1366"/>
      <c r="E45" s="1297"/>
      <c r="F45" s="1297"/>
      <c r="G45" s="1297"/>
      <c r="H45" s="1297"/>
      <c r="I45" s="1297"/>
      <c r="J45" s="1297"/>
      <c r="K45" s="1367"/>
      <c r="L45" s="1367"/>
      <c r="M45" s="1297"/>
    </row>
    <row r="46" spans="2:13" ht="11.25" customHeight="1" x14ac:dyDescent="0.2">
      <c r="B46" s="1297" t="s">
        <v>1585</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393E-F9AA-4CED-A89D-96160ABEA75D}">
  <sheetPr>
    <tabColor rgb="FF92D050"/>
  </sheetPr>
  <dimension ref="A1:N84"/>
  <sheetViews>
    <sheetView zoomScale="85" zoomScaleNormal="85" zoomScaleSheetLayoutView="110" workbookViewId="0">
      <selection activeCell="B13" sqref="B13"/>
    </sheetView>
  </sheetViews>
  <sheetFormatPr defaultColWidth="10.28515625" defaultRowHeight="12.75" x14ac:dyDescent="0.2"/>
  <cols>
    <col min="1" max="1" width="58" style="1950" bestFit="1" customWidth="1"/>
    <col min="2" max="2" width="9" style="1950" customWidth="1"/>
    <col min="3" max="3" width="11.7109375" style="1950" bestFit="1" customWidth="1"/>
    <col min="4" max="7" width="14.140625" style="1953" customWidth="1"/>
    <col min="8" max="11" width="14.140625" style="1950" customWidth="1"/>
    <col min="12" max="12" width="10.28515625" style="1949" customWidth="1"/>
    <col min="13" max="13" width="10.28515625" style="1950" customWidth="1"/>
    <col min="14" max="14" width="9.140625" style="1950" customWidth="1"/>
    <col min="15" max="16384" width="10.28515625" style="1950"/>
  </cols>
  <sheetData>
    <row r="1" spans="1:14" x14ac:dyDescent="0.2">
      <c r="A1" s="1947" t="s">
        <v>2155</v>
      </c>
      <c r="B1" s="1948"/>
      <c r="C1" s="1948"/>
      <c r="D1" s="1948"/>
      <c r="E1" s="1948"/>
      <c r="F1" s="1948"/>
      <c r="G1" s="1948"/>
      <c r="H1" s="1948"/>
      <c r="I1" s="1948"/>
      <c r="J1" s="1948"/>
      <c r="K1" s="1948"/>
    </row>
    <row r="2" spans="1:14" x14ac:dyDescent="0.2">
      <c r="A2" s="1947" t="s">
        <v>2156</v>
      </c>
      <c r="B2" s="1948"/>
      <c r="C2" s="1948"/>
      <c r="D2" s="1948"/>
      <c r="E2" s="1948"/>
      <c r="F2" s="1948"/>
      <c r="G2" s="1948"/>
      <c r="H2" s="1948"/>
      <c r="I2" s="1948"/>
      <c r="J2" s="1948"/>
      <c r="K2" s="1948"/>
    </row>
    <row r="3" spans="1:14" x14ac:dyDescent="0.2">
      <c r="A3" s="1947" t="s">
        <v>2062</v>
      </c>
      <c r="B3" s="1948"/>
      <c r="C3" s="1948"/>
      <c r="D3" s="1948"/>
      <c r="E3" s="1948"/>
      <c r="F3" s="1948"/>
      <c r="G3" s="1948"/>
      <c r="H3" s="1948"/>
      <c r="I3" s="1948"/>
      <c r="J3" s="1948"/>
      <c r="K3" s="1948"/>
    </row>
    <row r="4" spans="1:14" x14ac:dyDescent="0.2">
      <c r="A4" s="1947" t="s">
        <v>1983</v>
      </c>
      <c r="B4" s="1947"/>
      <c r="C4" s="1947"/>
      <c r="D4" s="1951"/>
      <c r="E4" s="1951"/>
      <c r="F4" s="1951"/>
      <c r="G4" s="1951"/>
      <c r="H4" s="1951"/>
      <c r="I4" s="1951"/>
      <c r="J4" s="1951"/>
      <c r="K4" s="1951"/>
    </row>
    <row r="5" spans="1:14" x14ac:dyDescent="0.2">
      <c r="A5" s="1952"/>
      <c r="M5" s="1954"/>
    </row>
    <row r="6" spans="1:14" x14ac:dyDescent="0.2">
      <c r="A6" s="1955" t="s">
        <v>2157</v>
      </c>
      <c r="B6" s="1956" t="s">
        <v>1263</v>
      </c>
      <c r="C6" s="1956" t="s">
        <v>1264</v>
      </c>
      <c r="D6" s="1957" t="s">
        <v>526</v>
      </c>
      <c r="E6" s="1957"/>
      <c r="F6" s="1957" t="s">
        <v>2158</v>
      </c>
      <c r="G6" s="1957"/>
      <c r="H6" s="1956" t="s">
        <v>1260</v>
      </c>
      <c r="I6" s="1956" t="s">
        <v>2159</v>
      </c>
      <c r="J6" s="1956" t="s">
        <v>30</v>
      </c>
      <c r="K6" s="1956" t="s">
        <v>2160</v>
      </c>
    </row>
    <row r="7" spans="1:14" x14ac:dyDescent="0.2">
      <c r="A7" s="1958" t="s">
        <v>2161</v>
      </c>
      <c r="B7" s="1959" t="s">
        <v>2162</v>
      </c>
      <c r="C7" s="1959" t="s">
        <v>1262</v>
      </c>
      <c r="D7" s="1959" t="s">
        <v>1261</v>
      </c>
      <c r="E7" s="1959" t="s">
        <v>1261</v>
      </c>
      <c r="F7" s="1959" t="s">
        <v>1261</v>
      </c>
      <c r="G7" s="1959" t="s">
        <v>1261</v>
      </c>
      <c r="H7" s="1959" t="s">
        <v>16</v>
      </c>
      <c r="I7" s="1959" t="s">
        <v>1256</v>
      </c>
      <c r="J7" s="1959"/>
      <c r="K7" s="1959" t="s">
        <v>2163</v>
      </c>
    </row>
    <row r="8" spans="1:14" x14ac:dyDescent="0.2">
      <c r="A8" s="1960"/>
      <c r="B8" s="1959"/>
      <c r="C8" s="1959" t="s">
        <v>2164</v>
      </c>
      <c r="D8" s="1959">
        <v>2018</v>
      </c>
      <c r="E8" s="1959">
        <v>2019</v>
      </c>
      <c r="F8" s="1959">
        <v>2018</v>
      </c>
      <c r="G8" s="1959">
        <v>2019</v>
      </c>
      <c r="H8" s="1959"/>
      <c r="I8" s="1959"/>
      <c r="J8" s="1959"/>
      <c r="K8" s="1959" t="s">
        <v>1265</v>
      </c>
    </row>
    <row r="9" spans="1:14" x14ac:dyDescent="0.2">
      <c r="A9" s="1961"/>
      <c r="B9" s="1962" t="s">
        <v>1254</v>
      </c>
      <c r="C9" s="1962" t="s">
        <v>1253</v>
      </c>
      <c r="D9" s="1962" t="s">
        <v>1251</v>
      </c>
      <c r="E9" s="1962" t="s">
        <v>1251</v>
      </c>
      <c r="F9" s="1962" t="s">
        <v>1250</v>
      </c>
      <c r="G9" s="1962" t="s">
        <v>1249</v>
      </c>
      <c r="H9" s="1962" t="s">
        <v>1248</v>
      </c>
      <c r="I9" s="1962" t="s">
        <v>1247</v>
      </c>
      <c r="J9" s="1962" t="s">
        <v>1246</v>
      </c>
      <c r="K9" s="1962" t="s">
        <v>2165</v>
      </c>
    </row>
    <row r="10" spans="1:14" x14ac:dyDescent="0.2">
      <c r="A10" s="1963" t="s">
        <v>2166</v>
      </c>
      <c r="B10" s="1964"/>
      <c r="C10" s="1965"/>
      <c r="D10" s="1966"/>
      <c r="E10" s="1966"/>
      <c r="F10" s="1966"/>
      <c r="G10" s="1966"/>
      <c r="H10" s="1966"/>
      <c r="I10" s="1966"/>
      <c r="J10" s="1966"/>
      <c r="K10" s="1966"/>
      <c r="L10" s="1967"/>
      <c r="M10" s="1954"/>
    </row>
    <row r="11" spans="1:14" x14ac:dyDescent="0.2">
      <c r="A11" s="1968" t="s">
        <v>2167</v>
      </c>
      <c r="B11" s="1969"/>
      <c r="C11" s="1970"/>
      <c r="D11" s="1966"/>
      <c r="E11" s="1966"/>
      <c r="F11" s="1966"/>
      <c r="G11" s="1966"/>
      <c r="H11" s="1966"/>
      <c r="I11" s="1966"/>
      <c r="J11" s="1966"/>
      <c r="K11" s="1966"/>
      <c r="L11" s="1967"/>
      <c r="M11" s="1954"/>
    </row>
    <row r="12" spans="1:14" x14ac:dyDescent="0.2">
      <c r="A12" s="1971" t="s">
        <v>917</v>
      </c>
      <c r="B12" s="1972" t="s">
        <v>2104</v>
      </c>
      <c r="C12" s="1973" t="s">
        <v>2168</v>
      </c>
      <c r="D12" s="1974">
        <v>22641</v>
      </c>
      <c r="E12" s="1975">
        <v>0</v>
      </c>
      <c r="F12" s="1974">
        <v>22641</v>
      </c>
      <c r="G12" s="1975">
        <v>0</v>
      </c>
      <c r="H12" s="1975">
        <v>0</v>
      </c>
      <c r="I12" s="1975">
        <v>3934595</v>
      </c>
      <c r="J12" s="1974">
        <v>4011091</v>
      </c>
      <c r="K12" s="1975">
        <v>0</v>
      </c>
      <c r="L12" s="1967"/>
      <c r="M12" s="1954"/>
    </row>
    <row r="13" spans="1:14" x14ac:dyDescent="0.2">
      <c r="A13" s="1971" t="s">
        <v>917</v>
      </c>
      <c r="B13" s="1972" t="s">
        <v>2104</v>
      </c>
      <c r="C13" s="1973" t="s">
        <v>2169</v>
      </c>
      <c r="D13" s="1974">
        <v>3122249</v>
      </c>
      <c r="E13" s="1974">
        <f>3192539-D13</f>
        <v>70290</v>
      </c>
      <c r="F13" s="1974">
        <v>3122249</v>
      </c>
      <c r="G13" s="1974">
        <f>E13</f>
        <v>70290</v>
      </c>
      <c r="H13" s="1974">
        <v>0</v>
      </c>
      <c r="I13" s="1974">
        <f>F13+G13+H13</f>
        <v>3192539</v>
      </c>
      <c r="J13" s="1974">
        <v>3493292</v>
      </c>
      <c r="K13" s="1974">
        <v>0</v>
      </c>
      <c r="L13" s="1967"/>
      <c r="M13" s="1954"/>
    </row>
    <row r="14" spans="1:14" ht="15" x14ac:dyDescent="0.35">
      <c r="A14" s="1971" t="s">
        <v>917</v>
      </c>
      <c r="B14" s="1972" t="s">
        <v>2104</v>
      </c>
      <c r="C14" s="1973" t="s">
        <v>2170</v>
      </c>
      <c r="D14" s="1976">
        <v>0</v>
      </c>
      <c r="E14" s="1976">
        <v>3435162</v>
      </c>
      <c r="F14" s="1976">
        <v>0</v>
      </c>
      <c r="G14" s="1976">
        <f>E14</f>
        <v>3435162</v>
      </c>
      <c r="H14" s="1976">
        <v>0</v>
      </c>
      <c r="I14" s="1976">
        <f>F14+G14+H14</f>
        <v>3435162</v>
      </c>
      <c r="J14" s="1974">
        <v>3863827</v>
      </c>
      <c r="K14" s="1976">
        <v>0</v>
      </c>
      <c r="L14" s="1967"/>
      <c r="M14" s="1954"/>
    </row>
    <row r="15" spans="1:14" ht="15" x14ac:dyDescent="0.35">
      <c r="A15" s="1977" t="s">
        <v>2171</v>
      </c>
      <c r="B15" s="1969"/>
      <c r="C15" s="1973"/>
      <c r="D15" s="1976">
        <f>SUM(D12:D14)</f>
        <v>3144890</v>
      </c>
      <c r="E15" s="1976">
        <f>SUM(E12:E14)</f>
        <v>3505452</v>
      </c>
      <c r="F15" s="1976">
        <f t="shared" ref="F15:I15" si="0">SUM(F12:F14)</f>
        <v>3144890</v>
      </c>
      <c r="G15" s="1976">
        <f t="shared" si="0"/>
        <v>3505452</v>
      </c>
      <c r="H15" s="1976">
        <f t="shared" si="0"/>
        <v>0</v>
      </c>
      <c r="I15" s="1976">
        <f t="shared" si="0"/>
        <v>10562296</v>
      </c>
      <c r="J15" s="1974"/>
      <c r="K15" s="1976">
        <f>SUM(K12:K14)</f>
        <v>0</v>
      </c>
      <c r="L15" s="1967"/>
      <c r="M15" s="1954"/>
      <c r="N15" s="1954"/>
    </row>
    <row r="16" spans="1:14" x14ac:dyDescent="0.2">
      <c r="A16" s="1971" t="s">
        <v>2172</v>
      </c>
      <c r="B16" s="1969" t="s">
        <v>2173</v>
      </c>
      <c r="C16" s="1973" t="s">
        <v>2174</v>
      </c>
      <c r="D16" s="1974">
        <v>0</v>
      </c>
      <c r="E16" s="1974">
        <v>240694</v>
      </c>
      <c r="F16" s="1974">
        <v>0</v>
      </c>
      <c r="G16" s="1974">
        <f>E16</f>
        <v>240694</v>
      </c>
      <c r="H16" s="1974">
        <v>0</v>
      </c>
      <c r="I16" s="1974">
        <f>F16+G16+H16</f>
        <v>240694</v>
      </c>
      <c r="J16" s="1974">
        <v>240694</v>
      </c>
      <c r="K16" s="1974">
        <v>0</v>
      </c>
      <c r="L16" s="1967"/>
      <c r="M16" s="1954"/>
      <c r="N16" s="1954"/>
    </row>
    <row r="17" spans="1:14" x14ac:dyDescent="0.2">
      <c r="A17" s="1971" t="s">
        <v>2175</v>
      </c>
      <c r="B17" s="1969" t="s">
        <v>2100</v>
      </c>
      <c r="C17" s="1973" t="s">
        <v>2176</v>
      </c>
      <c r="D17" s="1974">
        <v>54941</v>
      </c>
      <c r="E17" s="1974">
        <v>0</v>
      </c>
      <c r="F17" s="1974">
        <v>54941</v>
      </c>
      <c r="G17" s="1974">
        <v>0</v>
      </c>
      <c r="H17" s="1974">
        <v>0</v>
      </c>
      <c r="I17" s="1974">
        <f t="shared" ref="I17:I24" si="1">G17+F17+H17</f>
        <v>54941</v>
      </c>
      <c r="J17" s="1974">
        <v>71876</v>
      </c>
      <c r="K17" s="1974">
        <v>0</v>
      </c>
      <c r="L17" s="1967"/>
      <c r="M17" s="1954"/>
      <c r="N17" s="1954"/>
    </row>
    <row r="18" spans="1:14" x14ac:dyDescent="0.2">
      <c r="A18" s="1971" t="s">
        <v>2175</v>
      </c>
      <c r="B18" s="1969" t="s">
        <v>2100</v>
      </c>
      <c r="C18" s="1973" t="s">
        <v>2177</v>
      </c>
      <c r="D18" s="1974">
        <v>0</v>
      </c>
      <c r="E18" s="1974">
        <v>60812</v>
      </c>
      <c r="F18" s="1974">
        <v>0</v>
      </c>
      <c r="G18" s="1974">
        <f>E18</f>
        <v>60812</v>
      </c>
      <c r="H18" s="1974">
        <v>0</v>
      </c>
      <c r="I18" s="1974">
        <f t="shared" si="1"/>
        <v>60812</v>
      </c>
      <c r="J18" s="1974">
        <v>81342</v>
      </c>
      <c r="K18" s="1974">
        <f>I18</f>
        <v>60812</v>
      </c>
      <c r="L18" s="1967"/>
      <c r="M18" s="1954"/>
      <c r="N18" s="1954"/>
    </row>
    <row r="19" spans="1:14" x14ac:dyDescent="0.2">
      <c r="A19" s="1971" t="s">
        <v>2178</v>
      </c>
      <c r="B19" s="1969" t="s">
        <v>2179</v>
      </c>
      <c r="C19" s="1973" t="s">
        <v>2180</v>
      </c>
      <c r="D19" s="1974">
        <v>27917</v>
      </c>
      <c r="E19" s="1974">
        <v>0</v>
      </c>
      <c r="F19" s="1974">
        <v>27917</v>
      </c>
      <c r="G19" s="1974">
        <v>0</v>
      </c>
      <c r="H19" s="1974">
        <v>0</v>
      </c>
      <c r="I19" s="1974">
        <v>2800463</v>
      </c>
      <c r="J19" s="1974">
        <v>3289297</v>
      </c>
      <c r="K19" s="1974">
        <v>0</v>
      </c>
      <c r="L19" s="1967"/>
      <c r="M19" s="1954"/>
      <c r="N19" s="1954"/>
    </row>
    <row r="20" spans="1:14" x14ac:dyDescent="0.2">
      <c r="A20" s="1971" t="s">
        <v>2178</v>
      </c>
      <c r="B20" s="1969" t="s">
        <v>2179</v>
      </c>
      <c r="C20" s="1973" t="s">
        <v>2181</v>
      </c>
      <c r="D20" s="1974">
        <v>2796271</v>
      </c>
      <c r="E20" s="1974">
        <f>2811386-D20</f>
        <v>15115</v>
      </c>
      <c r="F20" s="1974">
        <v>2796271</v>
      </c>
      <c r="G20" s="1974">
        <f>E20</f>
        <v>15115</v>
      </c>
      <c r="H20" s="1974">
        <v>0</v>
      </c>
      <c r="I20" s="1974">
        <f t="shared" si="1"/>
        <v>2811386</v>
      </c>
      <c r="J20" s="1974">
        <v>3267414</v>
      </c>
      <c r="K20" s="1974">
        <v>0</v>
      </c>
      <c r="L20" s="1967"/>
      <c r="M20" s="1954"/>
      <c r="N20" s="1954"/>
    </row>
    <row r="21" spans="1:14" x14ac:dyDescent="0.2">
      <c r="A21" s="1971" t="s">
        <v>2178</v>
      </c>
      <c r="B21" s="1969" t="s">
        <v>2179</v>
      </c>
      <c r="C21" s="1973" t="s">
        <v>2182</v>
      </c>
      <c r="D21" s="1974">
        <v>0</v>
      </c>
      <c r="E21" s="1974">
        <v>2865707</v>
      </c>
      <c r="F21" s="1974">
        <v>0</v>
      </c>
      <c r="G21" s="1974">
        <f>E21</f>
        <v>2865707</v>
      </c>
      <c r="H21" s="1974">
        <v>0</v>
      </c>
      <c r="I21" s="1974">
        <f t="shared" si="1"/>
        <v>2865707</v>
      </c>
      <c r="J21" s="1974">
        <v>3279089</v>
      </c>
      <c r="K21" s="1974">
        <v>0</v>
      </c>
      <c r="L21" s="1967"/>
      <c r="M21" s="1954"/>
      <c r="N21" s="1954"/>
    </row>
    <row r="22" spans="1:14" hidden="1" x14ac:dyDescent="0.2">
      <c r="A22" s="1971" t="s">
        <v>2183</v>
      </c>
      <c r="B22" s="1969" t="s">
        <v>2179</v>
      </c>
      <c r="C22" s="1973" t="s">
        <v>2184</v>
      </c>
      <c r="D22" s="1974">
        <v>0</v>
      </c>
      <c r="E22" s="1974">
        <v>0</v>
      </c>
      <c r="F22" s="1974">
        <v>0</v>
      </c>
      <c r="G22" s="1974">
        <v>0</v>
      </c>
      <c r="H22" s="1974">
        <v>0</v>
      </c>
      <c r="I22" s="1974">
        <v>0</v>
      </c>
      <c r="J22" s="1974" t="s">
        <v>2185</v>
      </c>
      <c r="K22" s="1974">
        <v>0</v>
      </c>
      <c r="L22" s="1967"/>
      <c r="M22" s="1954"/>
      <c r="N22" s="1954"/>
    </row>
    <row r="23" spans="1:14" x14ac:dyDescent="0.2">
      <c r="A23" s="1971" t="s">
        <v>2183</v>
      </c>
      <c r="B23" s="1969" t="s">
        <v>2179</v>
      </c>
      <c r="C23" s="1973" t="s">
        <v>2186</v>
      </c>
      <c r="D23" s="1974">
        <v>10177</v>
      </c>
      <c r="E23" s="1974">
        <v>0</v>
      </c>
      <c r="F23" s="1974">
        <v>10177</v>
      </c>
      <c r="G23" s="1974">
        <v>0</v>
      </c>
      <c r="H23" s="1974">
        <v>0</v>
      </c>
      <c r="I23" s="1974">
        <f t="shared" si="1"/>
        <v>10177</v>
      </c>
      <c r="J23" s="1974" t="s">
        <v>2185</v>
      </c>
      <c r="K23" s="1974">
        <v>0</v>
      </c>
      <c r="L23" s="1967"/>
      <c r="M23" s="1954"/>
      <c r="N23" s="1954"/>
    </row>
    <row r="24" spans="1:14" ht="15" x14ac:dyDescent="0.35">
      <c r="A24" s="1971" t="s">
        <v>2183</v>
      </c>
      <c r="B24" s="1969" t="s">
        <v>2179</v>
      </c>
      <c r="C24" s="1973" t="s">
        <v>2187</v>
      </c>
      <c r="D24" s="1976">
        <v>0</v>
      </c>
      <c r="E24" s="1976">
        <v>24512</v>
      </c>
      <c r="F24" s="1976">
        <v>0</v>
      </c>
      <c r="G24" s="1976">
        <f>E24</f>
        <v>24512</v>
      </c>
      <c r="H24" s="1976">
        <v>0</v>
      </c>
      <c r="I24" s="1976">
        <f t="shared" si="1"/>
        <v>24512</v>
      </c>
      <c r="J24" s="1974" t="s">
        <v>2185</v>
      </c>
      <c r="K24" s="1976">
        <v>0</v>
      </c>
      <c r="L24" s="1967"/>
      <c r="M24" s="1954"/>
      <c r="N24" s="1954"/>
    </row>
    <row r="25" spans="1:14" ht="15" x14ac:dyDescent="0.35">
      <c r="A25" s="1977" t="s">
        <v>2188</v>
      </c>
      <c r="B25" s="1969"/>
      <c r="C25" s="1973"/>
      <c r="D25" s="1976">
        <f t="shared" ref="D25:I25" si="2">SUM(D17:D24)</f>
        <v>2889306</v>
      </c>
      <c r="E25" s="1976">
        <f t="shared" si="2"/>
        <v>2966146</v>
      </c>
      <c r="F25" s="1976">
        <f t="shared" si="2"/>
        <v>2889306</v>
      </c>
      <c r="G25" s="1976">
        <f>SUM(G17:G24)</f>
        <v>2966146</v>
      </c>
      <c r="H25" s="1976">
        <f t="shared" si="2"/>
        <v>0</v>
      </c>
      <c r="I25" s="1976">
        <f t="shared" si="2"/>
        <v>8627998</v>
      </c>
      <c r="J25" s="1974"/>
      <c r="K25" s="1976">
        <f>SUM(K17:K24)</f>
        <v>60812</v>
      </c>
      <c r="M25" s="1954"/>
      <c r="N25" s="1954"/>
    </row>
    <row r="26" spans="1:14" ht="15" x14ac:dyDescent="0.35">
      <c r="A26" s="1971" t="s">
        <v>2189</v>
      </c>
      <c r="B26" s="1969" t="s">
        <v>2190</v>
      </c>
      <c r="C26" s="1973" t="s">
        <v>2191</v>
      </c>
      <c r="D26" s="1974">
        <v>5190</v>
      </c>
      <c r="E26" s="1974">
        <v>0</v>
      </c>
      <c r="F26" s="1974">
        <v>4008</v>
      </c>
      <c r="G26" s="1974">
        <v>0</v>
      </c>
      <c r="H26" s="1976"/>
      <c r="I26" s="1974">
        <v>27922</v>
      </c>
      <c r="J26" s="1974">
        <v>48175</v>
      </c>
      <c r="K26" s="1974"/>
      <c r="L26" s="1967"/>
      <c r="M26" s="1954"/>
      <c r="N26" s="1954"/>
    </row>
    <row r="27" spans="1:14" ht="15" x14ac:dyDescent="0.35">
      <c r="A27" s="1971" t="s">
        <v>2189</v>
      </c>
      <c r="B27" s="1969" t="s">
        <v>2190</v>
      </c>
      <c r="C27" s="1973" t="s">
        <v>2192</v>
      </c>
      <c r="D27" s="1974">
        <v>20312</v>
      </c>
      <c r="E27" s="1974">
        <f>20740-D27</f>
        <v>428</v>
      </c>
      <c r="F27" s="1974">
        <v>20312</v>
      </c>
      <c r="G27" s="1974">
        <f>E27</f>
        <v>428</v>
      </c>
      <c r="H27" s="1976"/>
      <c r="I27" s="1974">
        <f>G27+F27+H27</f>
        <v>20740</v>
      </c>
      <c r="J27" s="1974">
        <v>55535</v>
      </c>
      <c r="K27" s="1974"/>
      <c r="L27" s="1967"/>
      <c r="M27" s="1954"/>
      <c r="N27" s="1954"/>
    </row>
    <row r="28" spans="1:14" x14ac:dyDescent="0.2">
      <c r="A28" s="1971" t="s">
        <v>2189</v>
      </c>
      <c r="B28" s="1969" t="s">
        <v>2190</v>
      </c>
      <c r="C28" s="1973" t="s">
        <v>2193</v>
      </c>
      <c r="D28" s="1974">
        <v>0</v>
      </c>
      <c r="E28" s="1974">
        <v>34400</v>
      </c>
      <c r="F28" s="1974">
        <v>0</v>
      </c>
      <c r="G28" s="1974">
        <f>E28</f>
        <v>34400</v>
      </c>
      <c r="H28" s="1974">
        <v>0</v>
      </c>
      <c r="I28" s="1974">
        <f>G28+F28+H28</f>
        <v>34400</v>
      </c>
      <c r="J28" s="1974">
        <v>34795</v>
      </c>
      <c r="K28" s="1974">
        <v>0</v>
      </c>
      <c r="L28" s="1967"/>
      <c r="M28" s="1954"/>
      <c r="N28" s="1954"/>
    </row>
    <row r="29" spans="1:14" x14ac:dyDescent="0.2">
      <c r="A29" s="1971" t="s">
        <v>2194</v>
      </c>
      <c r="B29" s="1969" t="s">
        <v>2190</v>
      </c>
      <c r="C29" s="1973" t="s">
        <v>2195</v>
      </c>
      <c r="D29" s="1974">
        <f>562-11401</f>
        <v>-10839</v>
      </c>
      <c r="E29" s="1974">
        <v>0</v>
      </c>
      <c r="F29" s="1974">
        <f>562-10219</f>
        <v>-9657</v>
      </c>
      <c r="G29" s="1974">
        <v>0</v>
      </c>
      <c r="H29" s="1974">
        <v>0</v>
      </c>
      <c r="I29" s="1974">
        <v>247105</v>
      </c>
      <c r="J29" s="1974">
        <v>298082</v>
      </c>
      <c r="K29" s="1974">
        <v>0</v>
      </c>
      <c r="L29" s="1967"/>
      <c r="M29" s="1954"/>
      <c r="N29" s="1954"/>
    </row>
    <row r="30" spans="1:14" x14ac:dyDescent="0.2">
      <c r="A30" s="1971" t="s">
        <v>2194</v>
      </c>
      <c r="B30" s="1969" t="s">
        <v>2190</v>
      </c>
      <c r="C30" s="1973" t="s">
        <v>2196</v>
      </c>
      <c r="D30" s="1974">
        <v>303319</v>
      </c>
      <c r="E30" s="1974">
        <f>305906-D30</f>
        <v>2587</v>
      </c>
      <c r="F30" s="1974">
        <v>303319</v>
      </c>
      <c r="G30" s="1974">
        <f>E30</f>
        <v>2587</v>
      </c>
      <c r="H30" s="1974">
        <v>0</v>
      </c>
      <c r="I30" s="1974">
        <f>G30+F30+H30</f>
        <v>305906</v>
      </c>
      <c r="J30" s="1974">
        <v>330287</v>
      </c>
      <c r="K30" s="1974">
        <v>0</v>
      </c>
      <c r="L30" s="1967"/>
      <c r="M30" s="1954"/>
      <c r="N30" s="1954"/>
    </row>
    <row r="31" spans="1:14" ht="15" x14ac:dyDescent="0.35">
      <c r="A31" s="1971" t="s">
        <v>2194</v>
      </c>
      <c r="B31" s="1969" t="s">
        <v>2190</v>
      </c>
      <c r="C31" s="1973" t="s">
        <v>2197</v>
      </c>
      <c r="D31" s="1976">
        <v>0</v>
      </c>
      <c r="E31" s="1976">
        <v>308621</v>
      </c>
      <c r="F31" s="1976">
        <v>0</v>
      </c>
      <c r="G31" s="1976">
        <f>E31</f>
        <v>308621</v>
      </c>
      <c r="H31" s="1976">
        <v>0</v>
      </c>
      <c r="I31" s="1976">
        <f>G31+F31+H31</f>
        <v>308621</v>
      </c>
      <c r="J31" s="1974">
        <v>314081</v>
      </c>
      <c r="K31" s="1976">
        <v>0</v>
      </c>
      <c r="L31" s="1967"/>
      <c r="M31" s="1954"/>
      <c r="N31" s="1954"/>
    </row>
    <row r="32" spans="1:14" ht="15" x14ac:dyDescent="0.35">
      <c r="A32" s="1977" t="s">
        <v>2198</v>
      </c>
      <c r="B32" s="1969"/>
      <c r="C32" s="1973"/>
      <c r="D32" s="1976">
        <f>SUM(D26:D31)</f>
        <v>317982</v>
      </c>
      <c r="E32" s="1976">
        <f>SUM(E26:E31)</f>
        <v>346036</v>
      </c>
      <c r="F32" s="1976">
        <f>SUM(F26:F31)</f>
        <v>317982</v>
      </c>
      <c r="G32" s="1976">
        <f>SUM(G26:G31)</f>
        <v>346036</v>
      </c>
      <c r="H32" s="1976">
        <f>SUM(H29:H31)</f>
        <v>0</v>
      </c>
      <c r="I32" s="1976">
        <f>SUM(I28:I31)</f>
        <v>896032</v>
      </c>
      <c r="J32" s="1974"/>
      <c r="K32" s="1976">
        <f>SUM(K28:K31)</f>
        <v>0</v>
      </c>
      <c r="M32" s="1954"/>
      <c r="N32" s="1954"/>
    </row>
    <row r="33" spans="1:14" x14ac:dyDescent="0.2">
      <c r="A33" s="1971" t="s">
        <v>2199</v>
      </c>
      <c r="B33" s="1969" t="s">
        <v>2200</v>
      </c>
      <c r="C33" s="1973" t="s">
        <v>2201</v>
      </c>
      <c r="D33" s="1974">
        <v>8973</v>
      </c>
      <c r="E33" s="1974">
        <v>0</v>
      </c>
      <c r="F33" s="1974">
        <v>8973</v>
      </c>
      <c r="G33" s="1974">
        <v>0</v>
      </c>
      <c r="H33" s="1974">
        <v>0</v>
      </c>
      <c r="I33" s="1974">
        <v>318824</v>
      </c>
      <c r="J33" s="1974">
        <v>523986</v>
      </c>
      <c r="K33" s="1974">
        <v>0</v>
      </c>
      <c r="L33" s="1967"/>
      <c r="M33" s="1954"/>
      <c r="N33" s="1954"/>
    </row>
    <row r="34" spans="1:14" x14ac:dyDescent="0.2">
      <c r="A34" s="1971" t="s">
        <v>2199</v>
      </c>
      <c r="B34" s="1969" t="s">
        <v>2200</v>
      </c>
      <c r="C34" s="1973" t="s">
        <v>2202</v>
      </c>
      <c r="D34" s="1974">
        <v>512515</v>
      </c>
      <c r="E34" s="1974">
        <f>552537-D34</f>
        <v>40022</v>
      </c>
      <c r="F34" s="1974">
        <v>512515</v>
      </c>
      <c r="G34" s="1974">
        <f>E34</f>
        <v>40022</v>
      </c>
      <c r="H34" s="1974">
        <v>0</v>
      </c>
      <c r="I34" s="1974">
        <f>G34+F34+H34</f>
        <v>552537</v>
      </c>
      <c r="J34" s="1974">
        <v>811758</v>
      </c>
      <c r="K34" s="1974">
        <v>0</v>
      </c>
      <c r="L34" s="1967"/>
      <c r="M34" s="1954"/>
      <c r="N34" s="1954"/>
    </row>
    <row r="35" spans="1:14" ht="15" x14ac:dyDescent="0.35">
      <c r="A35" s="1971" t="s">
        <v>2199</v>
      </c>
      <c r="B35" s="1969" t="s">
        <v>2200</v>
      </c>
      <c r="C35" s="1973" t="s">
        <v>2203</v>
      </c>
      <c r="D35" s="1976">
        <v>0</v>
      </c>
      <c r="E35" s="1976">
        <v>585680</v>
      </c>
      <c r="F35" s="1976">
        <v>0</v>
      </c>
      <c r="G35" s="1976">
        <f>E35</f>
        <v>585680</v>
      </c>
      <c r="H35" s="1976">
        <v>0</v>
      </c>
      <c r="I35" s="1976">
        <f>G35+F35+H35</f>
        <v>585680</v>
      </c>
      <c r="J35" s="1974">
        <v>982845</v>
      </c>
      <c r="K35" s="1976">
        <v>0</v>
      </c>
      <c r="L35" s="1967"/>
      <c r="M35" s="1954"/>
      <c r="N35" s="1954"/>
    </row>
    <row r="36" spans="1:14" ht="15" x14ac:dyDescent="0.35">
      <c r="A36" s="1977" t="s">
        <v>2204</v>
      </c>
      <c r="B36" s="1969"/>
      <c r="C36" s="1973"/>
      <c r="D36" s="1976">
        <f>SUM(D33:D35)</f>
        <v>521488</v>
      </c>
      <c r="E36" s="1976">
        <f>SUM(E33:E35)</f>
        <v>625702</v>
      </c>
      <c r="F36" s="1976">
        <f t="shared" ref="F36:K36" si="3">SUM(F33:F35)</f>
        <v>521488</v>
      </c>
      <c r="G36" s="1976">
        <f t="shared" si="3"/>
        <v>625702</v>
      </c>
      <c r="H36" s="1976">
        <f t="shared" si="3"/>
        <v>0</v>
      </c>
      <c r="I36" s="1976">
        <f t="shared" si="3"/>
        <v>1457041</v>
      </c>
      <c r="J36" s="1974"/>
      <c r="K36" s="1976">
        <f t="shared" si="3"/>
        <v>0</v>
      </c>
      <c r="L36" s="1967"/>
      <c r="M36" s="1954"/>
      <c r="N36" s="1954"/>
    </row>
    <row r="37" spans="1:14" ht="15" x14ac:dyDescent="0.35">
      <c r="A37" s="1971" t="s">
        <v>2205</v>
      </c>
      <c r="B37" s="1969" t="s">
        <v>2206</v>
      </c>
      <c r="C37" s="1973" t="s">
        <v>2207</v>
      </c>
      <c r="D37" s="1974">
        <v>17174</v>
      </c>
      <c r="E37" s="1974">
        <v>0</v>
      </c>
      <c r="F37" s="1974">
        <v>0</v>
      </c>
      <c r="G37" s="1974">
        <v>0</v>
      </c>
      <c r="H37" s="1976"/>
      <c r="I37" s="1974">
        <v>510396</v>
      </c>
      <c r="J37" s="1974">
        <v>540000</v>
      </c>
      <c r="K37" s="1974">
        <v>0</v>
      </c>
      <c r="L37" s="1967"/>
      <c r="M37" s="1954"/>
      <c r="N37" s="1954"/>
    </row>
    <row r="38" spans="1:14" x14ac:dyDescent="0.2">
      <c r="A38" s="1971" t="s">
        <v>2205</v>
      </c>
      <c r="B38" s="1969" t="s">
        <v>2206</v>
      </c>
      <c r="C38" s="1973" t="s">
        <v>2208</v>
      </c>
      <c r="D38" s="1974">
        <v>471782</v>
      </c>
      <c r="E38" s="1974">
        <f>494480-D38</f>
        <v>22698</v>
      </c>
      <c r="F38" s="1974">
        <v>471782</v>
      </c>
      <c r="G38" s="1974">
        <f>E38</f>
        <v>22698</v>
      </c>
      <c r="H38" s="1974">
        <v>0</v>
      </c>
      <c r="I38" s="1974">
        <f>G38+F38+H38</f>
        <v>494480</v>
      </c>
      <c r="J38" s="1974">
        <v>540000</v>
      </c>
      <c r="K38" s="1974">
        <v>0</v>
      </c>
      <c r="L38" s="1967"/>
      <c r="M38" s="1954"/>
      <c r="N38" s="1954"/>
    </row>
    <row r="39" spans="1:14" ht="15" x14ac:dyDescent="0.35">
      <c r="A39" s="1971" t="s">
        <v>2205</v>
      </c>
      <c r="B39" s="1969" t="s">
        <v>2206</v>
      </c>
      <c r="C39" s="1973" t="s">
        <v>2209</v>
      </c>
      <c r="D39" s="1976">
        <v>0</v>
      </c>
      <c r="E39" s="1976">
        <v>471070</v>
      </c>
      <c r="F39" s="1976">
        <v>0</v>
      </c>
      <c r="G39" s="1976">
        <f>E39</f>
        <v>471070</v>
      </c>
      <c r="H39" s="1974"/>
      <c r="I39" s="1976">
        <f>G39+F39+H39</f>
        <v>471070</v>
      </c>
      <c r="J39" s="1974">
        <v>540000</v>
      </c>
      <c r="K39" s="1976">
        <v>0</v>
      </c>
      <c r="L39" s="1967"/>
      <c r="M39" s="1954"/>
      <c r="N39" s="1954"/>
    </row>
    <row r="40" spans="1:14" ht="15" x14ac:dyDescent="0.35">
      <c r="A40" s="1977" t="s">
        <v>2210</v>
      </c>
      <c r="B40" s="1969"/>
      <c r="C40" s="1973"/>
      <c r="D40" s="1976">
        <f>SUM(D37:D39)</f>
        <v>488956</v>
      </c>
      <c r="E40" s="1976">
        <f>SUM(E37:E39)</f>
        <v>493768</v>
      </c>
      <c r="F40" s="1976">
        <f>SUM(F37:F39)</f>
        <v>471782</v>
      </c>
      <c r="G40" s="1976">
        <f>SUM(G37:G39)</f>
        <v>493768</v>
      </c>
      <c r="H40" s="1976"/>
      <c r="I40" s="1976">
        <f>SUM(I38:I39)</f>
        <v>965550</v>
      </c>
      <c r="J40" s="1974"/>
      <c r="K40" s="1976">
        <f>SUM(K38:K39)</f>
        <v>0</v>
      </c>
      <c r="L40" s="1967"/>
      <c r="M40" s="1954"/>
      <c r="N40" s="1954"/>
    </row>
    <row r="41" spans="1:14" x14ac:dyDescent="0.2">
      <c r="A41" s="1971" t="s">
        <v>2211</v>
      </c>
      <c r="B41" s="1969" t="s">
        <v>2212</v>
      </c>
      <c r="C41" s="1973" t="s">
        <v>2213</v>
      </c>
      <c r="D41" s="1974">
        <v>25487</v>
      </c>
      <c r="E41" s="1974"/>
      <c r="F41" s="1974">
        <v>25487</v>
      </c>
      <c r="G41" s="1974"/>
      <c r="H41" s="1974"/>
      <c r="I41" s="1974">
        <v>1330653</v>
      </c>
      <c r="J41" s="1974">
        <v>1241473</v>
      </c>
      <c r="K41" s="1974"/>
      <c r="L41" s="1967"/>
      <c r="M41" s="1954"/>
      <c r="N41" s="1954"/>
    </row>
    <row r="42" spans="1:14" x14ac:dyDescent="0.2">
      <c r="A42" s="1971" t="s">
        <v>2211</v>
      </c>
      <c r="B42" s="1969" t="s">
        <v>2212</v>
      </c>
      <c r="C42" s="1973" t="s">
        <v>2214</v>
      </c>
      <c r="D42" s="1974">
        <v>1330653</v>
      </c>
      <c r="E42" s="1974">
        <f>1341761-D42</f>
        <v>11108</v>
      </c>
      <c r="F42" s="1974">
        <v>1330653</v>
      </c>
      <c r="G42" s="1974">
        <f>E42</f>
        <v>11108</v>
      </c>
      <c r="H42" s="1974"/>
      <c r="I42" s="1974">
        <f>G42+F42+H42</f>
        <v>1341761</v>
      </c>
      <c r="J42" s="1974">
        <v>1358473</v>
      </c>
      <c r="K42" s="1974">
        <v>0</v>
      </c>
      <c r="L42" s="1967"/>
      <c r="M42" s="1954"/>
      <c r="N42" s="1954"/>
    </row>
    <row r="43" spans="1:14" ht="15" x14ac:dyDescent="0.35">
      <c r="A43" s="1971" t="s">
        <v>2211</v>
      </c>
      <c r="B43" s="1969" t="s">
        <v>2212</v>
      </c>
      <c r="C43" s="1973" t="s">
        <v>2215</v>
      </c>
      <c r="D43" s="1976">
        <v>0</v>
      </c>
      <c r="E43" s="1976">
        <v>1324478</v>
      </c>
      <c r="F43" s="1976">
        <v>0</v>
      </c>
      <c r="G43" s="1976">
        <f>E43</f>
        <v>1324478</v>
      </c>
      <c r="H43" s="1976">
        <v>0</v>
      </c>
      <c r="I43" s="1976">
        <f>G43+F43+H43</f>
        <v>1324478</v>
      </c>
      <c r="J43" s="1974">
        <v>1358473</v>
      </c>
      <c r="K43" s="1976">
        <v>0</v>
      </c>
      <c r="L43" s="1967"/>
      <c r="M43" s="1954"/>
      <c r="N43" s="1954"/>
    </row>
    <row r="44" spans="1:14" ht="15" x14ac:dyDescent="0.35">
      <c r="A44" s="1977" t="s">
        <v>2216</v>
      </c>
      <c r="B44" s="1969"/>
      <c r="C44" s="1973"/>
      <c r="D44" s="1976">
        <f t="shared" ref="D44:I44" si="4">SUM(D41:D43)</f>
        <v>1356140</v>
      </c>
      <c r="E44" s="1976">
        <f t="shared" si="4"/>
        <v>1335586</v>
      </c>
      <c r="F44" s="1976">
        <f t="shared" si="4"/>
        <v>1356140</v>
      </c>
      <c r="G44" s="1976">
        <f t="shared" si="4"/>
        <v>1335586</v>
      </c>
      <c r="H44" s="1976">
        <f t="shared" si="4"/>
        <v>0</v>
      </c>
      <c r="I44" s="1976">
        <f t="shared" si="4"/>
        <v>3996892</v>
      </c>
      <c r="J44" s="1976"/>
      <c r="K44" s="1976"/>
      <c r="L44" s="1967"/>
      <c r="M44" s="1954"/>
      <c r="N44" s="1954"/>
    </row>
    <row r="45" spans="1:14" ht="15" x14ac:dyDescent="0.35">
      <c r="A45" s="1963" t="s">
        <v>2217</v>
      </c>
      <c r="B45" s="1969"/>
      <c r="C45" s="1973"/>
      <c r="D45" s="1976">
        <f t="shared" ref="D45:F45" si="5">D15+D16+D25+D32+D36+D40+D44</f>
        <v>8718762</v>
      </c>
      <c r="E45" s="1976">
        <f t="shared" si="5"/>
        <v>9513384</v>
      </c>
      <c r="F45" s="1976">
        <f t="shared" si="5"/>
        <v>8701588</v>
      </c>
      <c r="G45" s="1976">
        <f>G15+G16+G25+G32+G36+G40+G44</f>
        <v>9513384</v>
      </c>
      <c r="H45" s="1976">
        <f t="shared" ref="H45:I45" si="6">H15+H16+H25+H32+H36+H40+H44</f>
        <v>0</v>
      </c>
      <c r="I45" s="1976">
        <f t="shared" si="6"/>
        <v>26746503</v>
      </c>
      <c r="J45" s="1974"/>
      <c r="K45" s="1976">
        <f>K15+K16+K25+K32+K36+K40+K44</f>
        <v>60812</v>
      </c>
      <c r="L45" s="1967"/>
      <c r="M45" s="1954"/>
      <c r="N45" s="1954"/>
    </row>
    <row r="46" spans="1:14" x14ac:dyDescent="0.2">
      <c r="A46" s="1978"/>
      <c r="B46" s="1979"/>
      <c r="C46" s="1980"/>
      <c r="D46" s="1981"/>
      <c r="E46" s="1981"/>
      <c r="F46" s="1981"/>
      <c r="G46" s="1981"/>
      <c r="H46" s="1981"/>
      <c r="I46" s="1981"/>
      <c r="J46" s="1981"/>
      <c r="K46" s="1981"/>
      <c r="L46" s="1967"/>
      <c r="M46" s="1954"/>
      <c r="N46" s="1954"/>
    </row>
    <row r="47" spans="1:14" x14ac:dyDescent="0.2">
      <c r="A47" s="1963" t="s">
        <v>2218</v>
      </c>
      <c r="B47" s="1969"/>
      <c r="C47" s="1973"/>
      <c r="D47" s="1974"/>
      <c r="E47" s="1974"/>
      <c r="F47" s="1974"/>
      <c r="G47" s="1974"/>
      <c r="H47" s="1974"/>
      <c r="I47" s="1974"/>
      <c r="J47" s="1974"/>
      <c r="K47" s="1974"/>
      <c r="L47" s="1967"/>
      <c r="M47" s="1954"/>
      <c r="N47" s="1954"/>
    </row>
    <row r="48" spans="1:14" x14ac:dyDescent="0.2">
      <c r="A48" s="1968" t="s">
        <v>2219</v>
      </c>
      <c r="B48" s="1969"/>
      <c r="C48" s="1973"/>
      <c r="D48" s="1974"/>
      <c r="E48" s="1974"/>
      <c r="F48" s="1974"/>
      <c r="G48" s="1974"/>
      <c r="H48" s="1974"/>
      <c r="I48" s="1974"/>
      <c r="J48" s="1974"/>
      <c r="K48" s="1974"/>
      <c r="L48" s="1967"/>
      <c r="M48" s="1954"/>
      <c r="N48" s="1954"/>
    </row>
    <row r="49" spans="1:14" x14ac:dyDescent="0.2">
      <c r="A49" s="1971" t="s">
        <v>2220</v>
      </c>
      <c r="B49" s="1969">
        <v>84.048000000000002</v>
      </c>
      <c r="C49" s="1973" t="s">
        <v>2221</v>
      </c>
      <c r="D49" s="1974">
        <v>135379</v>
      </c>
      <c r="E49" s="1974">
        <v>0</v>
      </c>
      <c r="F49" s="1974">
        <v>135379</v>
      </c>
      <c r="G49" s="1974">
        <v>0</v>
      </c>
      <c r="H49" s="1974">
        <v>0</v>
      </c>
      <c r="I49" s="1974">
        <f>+F49+G49+H49</f>
        <v>135379</v>
      </c>
      <c r="J49" s="1974">
        <v>130530</v>
      </c>
      <c r="K49" s="1974">
        <v>0</v>
      </c>
      <c r="L49" s="1967"/>
      <c r="M49" s="1954"/>
      <c r="N49" s="1954"/>
    </row>
    <row r="50" spans="1:14" ht="15" x14ac:dyDescent="0.35">
      <c r="A50" s="1971" t="s">
        <v>2220</v>
      </c>
      <c r="B50" s="1969">
        <v>84.048000000000002</v>
      </c>
      <c r="C50" s="1973" t="s">
        <v>2222</v>
      </c>
      <c r="D50" s="1976">
        <v>0</v>
      </c>
      <c r="E50" s="1976">
        <v>129964</v>
      </c>
      <c r="F50" s="1976">
        <v>0</v>
      </c>
      <c r="G50" s="1976">
        <f>E50</f>
        <v>129964</v>
      </c>
      <c r="H50" s="1976">
        <v>0</v>
      </c>
      <c r="I50" s="1976">
        <f>+F50+G50+H50</f>
        <v>129964</v>
      </c>
      <c r="J50" s="1974">
        <v>129964</v>
      </c>
      <c r="K50" s="1976">
        <v>0</v>
      </c>
    </row>
    <row r="51" spans="1:14" ht="15" x14ac:dyDescent="0.35">
      <c r="A51" s="1963" t="s">
        <v>2223</v>
      </c>
      <c r="B51" s="1969"/>
      <c r="C51" s="1973"/>
      <c r="D51" s="1976">
        <f>SUM(D49:D50)</f>
        <v>135379</v>
      </c>
      <c r="E51" s="1976">
        <f t="shared" ref="E51:K51" si="7">SUM(E49:E50)</f>
        <v>129964</v>
      </c>
      <c r="F51" s="1976">
        <f t="shared" si="7"/>
        <v>135379</v>
      </c>
      <c r="G51" s="1976">
        <f t="shared" si="7"/>
        <v>129964</v>
      </c>
      <c r="H51" s="1976">
        <f t="shared" si="7"/>
        <v>0</v>
      </c>
      <c r="I51" s="1976">
        <f t="shared" si="7"/>
        <v>265343</v>
      </c>
      <c r="J51" s="1974"/>
      <c r="K51" s="1976">
        <f t="shared" si="7"/>
        <v>0</v>
      </c>
      <c r="L51" s="1967"/>
      <c r="M51" s="1954"/>
      <c r="N51" s="1954"/>
    </row>
    <row r="52" spans="1:14" x14ac:dyDescent="0.2">
      <c r="A52" s="1978"/>
      <c r="B52" s="1979"/>
      <c r="C52" s="1980"/>
      <c r="D52" s="1981"/>
      <c r="E52" s="1981"/>
      <c r="F52" s="1981"/>
      <c r="G52" s="1981"/>
      <c r="H52" s="1981"/>
      <c r="I52" s="1981"/>
      <c r="J52" s="1981"/>
      <c r="K52" s="1981"/>
      <c r="L52" s="1967"/>
      <c r="M52" s="1954"/>
      <c r="N52" s="1954"/>
    </row>
    <row r="53" spans="1:14" x14ac:dyDescent="0.2">
      <c r="A53" s="1963" t="s">
        <v>2218</v>
      </c>
      <c r="B53" s="1969"/>
      <c r="C53" s="1973"/>
      <c r="D53" s="1974"/>
      <c r="E53" s="1974"/>
      <c r="F53" s="1974"/>
      <c r="G53" s="1974"/>
      <c r="H53" s="1974"/>
      <c r="I53" s="1974"/>
      <c r="J53" s="1974"/>
      <c r="K53" s="1974"/>
      <c r="L53" s="1967"/>
      <c r="M53" s="1954"/>
      <c r="N53" s="1954"/>
    </row>
    <row r="54" spans="1:14" x14ac:dyDescent="0.2">
      <c r="A54" s="1968" t="s">
        <v>2224</v>
      </c>
      <c r="B54" s="1969"/>
      <c r="C54" s="1973"/>
      <c r="D54" s="1974"/>
      <c r="E54" s="1974"/>
      <c r="F54" s="1974"/>
      <c r="G54" s="1974"/>
      <c r="H54" s="1974"/>
      <c r="I54" s="1974"/>
      <c r="J54" s="1974"/>
      <c r="K54" s="1974"/>
      <c r="L54" s="1967"/>
      <c r="M54" s="1954"/>
      <c r="N54" s="1954"/>
    </row>
    <row r="55" spans="1:14" ht="15" x14ac:dyDescent="0.35">
      <c r="A55" s="1971" t="s">
        <v>2225</v>
      </c>
      <c r="B55" s="1969">
        <v>84.126000000000005</v>
      </c>
      <c r="C55" s="1973" t="s">
        <v>2226</v>
      </c>
      <c r="D55" s="1976">
        <v>68604</v>
      </c>
      <c r="E55" s="1976">
        <v>0</v>
      </c>
      <c r="F55" s="1976">
        <v>68604</v>
      </c>
      <c r="G55" s="1976">
        <v>0</v>
      </c>
      <c r="H55" s="1976">
        <v>0</v>
      </c>
      <c r="I55" s="1976">
        <f>+F55+G55+H55</f>
        <v>68604</v>
      </c>
      <c r="J55" s="1974" t="s">
        <v>2185</v>
      </c>
      <c r="K55" s="1976">
        <v>0</v>
      </c>
    </row>
    <row r="56" spans="1:14" ht="15" x14ac:dyDescent="0.35">
      <c r="A56" s="1982" t="s">
        <v>2227</v>
      </c>
      <c r="B56" s="1969"/>
      <c r="C56" s="1973"/>
      <c r="D56" s="1976">
        <f t="shared" ref="D56:I56" si="8">SUM(D55:D55)</f>
        <v>68604</v>
      </c>
      <c r="E56" s="1976">
        <f t="shared" si="8"/>
        <v>0</v>
      </c>
      <c r="F56" s="1976">
        <f t="shared" si="8"/>
        <v>68604</v>
      </c>
      <c r="G56" s="1976">
        <f t="shared" si="8"/>
        <v>0</v>
      </c>
      <c r="H56" s="1976">
        <f t="shared" si="8"/>
        <v>0</v>
      </c>
      <c r="I56" s="1976">
        <f t="shared" si="8"/>
        <v>68604</v>
      </c>
      <c r="J56" s="1974"/>
      <c r="K56" s="1976">
        <f>SUM(K55:K55)</f>
        <v>0</v>
      </c>
      <c r="L56" s="1967"/>
      <c r="M56" s="1954"/>
      <c r="N56" s="1954"/>
    </row>
    <row r="57" spans="1:14" ht="15" x14ac:dyDescent="0.35">
      <c r="A57" s="1963" t="s">
        <v>2228</v>
      </c>
      <c r="B57" s="1969"/>
      <c r="C57" s="1973"/>
      <c r="D57" s="1976">
        <f t="shared" ref="D57:I57" si="9">D45+D51+D56</f>
        <v>8922745</v>
      </c>
      <c r="E57" s="1976">
        <f t="shared" si="9"/>
        <v>9643348</v>
      </c>
      <c r="F57" s="1976">
        <f t="shared" si="9"/>
        <v>8905571</v>
      </c>
      <c r="G57" s="1976">
        <f>G45+G51+G56</f>
        <v>9643348</v>
      </c>
      <c r="H57" s="1976">
        <f t="shared" si="9"/>
        <v>0</v>
      </c>
      <c r="I57" s="1976">
        <f t="shared" si="9"/>
        <v>27080450</v>
      </c>
      <c r="J57" s="1974"/>
      <c r="K57" s="1976">
        <f>K45+K51+K56</f>
        <v>60812</v>
      </c>
      <c r="L57" s="1967"/>
      <c r="M57" s="1954"/>
      <c r="N57" s="1954"/>
    </row>
    <row r="58" spans="1:14" x14ac:dyDescent="0.2">
      <c r="A58" s="1968"/>
      <c r="B58" s="1969"/>
      <c r="C58" s="1973"/>
      <c r="D58" s="1974"/>
      <c r="E58" s="1974"/>
      <c r="F58" s="1974"/>
      <c r="G58" s="1974"/>
      <c r="H58" s="1974"/>
      <c r="I58" s="1974"/>
      <c r="J58" s="1974"/>
      <c r="K58" s="1974"/>
      <c r="L58" s="1967"/>
      <c r="M58" s="1954"/>
      <c r="N58" s="1954"/>
    </row>
    <row r="59" spans="1:14" ht="17.25" customHeight="1" x14ac:dyDescent="0.2">
      <c r="A59" s="1963" t="s">
        <v>2229</v>
      </c>
      <c r="B59" s="1983"/>
      <c r="C59" s="1973"/>
      <c r="D59" s="1974"/>
      <c r="E59" s="1974"/>
      <c r="F59" s="1974"/>
      <c r="G59" s="1974"/>
      <c r="H59" s="1974"/>
      <c r="I59" s="1974"/>
      <c r="J59" s="1974"/>
      <c r="K59" s="1974"/>
      <c r="L59" s="1967"/>
      <c r="M59" s="1954"/>
      <c r="N59" s="1954"/>
    </row>
    <row r="60" spans="1:14" x14ac:dyDescent="0.2">
      <c r="A60" s="1971" t="s">
        <v>2230</v>
      </c>
      <c r="B60" s="1969">
        <v>10.555</v>
      </c>
      <c r="C60" s="1973" t="s">
        <v>2231</v>
      </c>
      <c r="D60" s="1974">
        <v>634939</v>
      </c>
      <c r="E60" s="1974">
        <v>0</v>
      </c>
      <c r="F60" s="1974">
        <v>634939</v>
      </c>
      <c r="G60" s="1974">
        <v>0</v>
      </c>
      <c r="H60" s="1974">
        <v>0</v>
      </c>
      <c r="I60" s="1974">
        <v>3410990</v>
      </c>
      <c r="J60" s="1974" t="s">
        <v>2185</v>
      </c>
      <c r="K60" s="1974">
        <v>0</v>
      </c>
      <c r="L60" s="1967"/>
      <c r="M60" s="1954"/>
      <c r="N60" s="1954"/>
    </row>
    <row r="61" spans="1:14" x14ac:dyDescent="0.2">
      <c r="A61" s="1971" t="s">
        <v>2230</v>
      </c>
      <c r="B61" s="1969">
        <v>10.555</v>
      </c>
      <c r="C61" s="1973" t="s">
        <v>2232</v>
      </c>
      <c r="D61" s="1974">
        <v>2821258</v>
      </c>
      <c r="E61" s="1974">
        <f>3443015-D61</f>
        <v>621757</v>
      </c>
      <c r="F61" s="1974">
        <f>D61</f>
        <v>2821258</v>
      </c>
      <c r="G61" s="1974">
        <f>E61</f>
        <v>621757</v>
      </c>
      <c r="H61" s="1974">
        <v>0</v>
      </c>
      <c r="I61" s="1974">
        <f>+F61+G61+H61</f>
        <v>3443015</v>
      </c>
      <c r="J61" s="1974" t="s">
        <v>2185</v>
      </c>
      <c r="K61" s="1974">
        <v>0</v>
      </c>
      <c r="L61" s="1967"/>
      <c r="M61" s="1954"/>
      <c r="N61" s="1954"/>
    </row>
    <row r="62" spans="1:14" x14ac:dyDescent="0.2">
      <c r="A62" s="1971" t="s">
        <v>2230</v>
      </c>
      <c r="B62" s="1969">
        <v>10.555</v>
      </c>
      <c r="C62" s="1973" t="s">
        <v>2233</v>
      </c>
      <c r="D62" s="1974">
        <v>0</v>
      </c>
      <c r="E62" s="1974">
        <v>2811287</v>
      </c>
      <c r="F62" s="1974">
        <v>0</v>
      </c>
      <c r="G62" s="1974">
        <f>E62</f>
        <v>2811287</v>
      </c>
      <c r="H62" s="1974">
        <v>0</v>
      </c>
      <c r="I62" s="1974">
        <f t="shared" ref="I62:I65" si="10">+F62+G62+H62</f>
        <v>2811287</v>
      </c>
      <c r="J62" s="1974" t="s">
        <v>2185</v>
      </c>
      <c r="K62" s="1974">
        <v>0</v>
      </c>
      <c r="L62" s="1967"/>
      <c r="M62" s="1954"/>
      <c r="N62" s="1954"/>
    </row>
    <row r="63" spans="1:14" x14ac:dyDescent="0.2">
      <c r="A63" s="1971" t="s">
        <v>2230</v>
      </c>
      <c r="B63" s="1969">
        <v>10.555</v>
      </c>
      <c r="C63" s="1973" t="s">
        <v>2234</v>
      </c>
      <c r="D63" s="1974">
        <v>0</v>
      </c>
      <c r="E63" s="1974">
        <v>7602</v>
      </c>
      <c r="F63" s="1974">
        <v>0</v>
      </c>
      <c r="G63" s="1974">
        <f>E63</f>
        <v>7602</v>
      </c>
      <c r="H63" s="1974">
        <v>0</v>
      </c>
      <c r="I63" s="1974">
        <f t="shared" si="10"/>
        <v>7602</v>
      </c>
      <c r="J63" s="1974" t="s">
        <v>2185</v>
      </c>
      <c r="K63" s="1974">
        <v>0</v>
      </c>
      <c r="L63" s="1967"/>
      <c r="M63" s="1954"/>
      <c r="N63" s="1954"/>
    </row>
    <row r="64" spans="1:14" x14ac:dyDescent="0.2">
      <c r="A64" s="1971" t="s">
        <v>2235</v>
      </c>
      <c r="B64" s="1969">
        <v>10.555</v>
      </c>
      <c r="C64" s="1973" t="s">
        <v>2236</v>
      </c>
      <c r="D64" s="1974">
        <v>377768</v>
      </c>
      <c r="E64" s="1974">
        <v>0</v>
      </c>
      <c r="F64" s="1974">
        <v>377768</v>
      </c>
      <c r="G64" s="1974">
        <v>0</v>
      </c>
      <c r="H64" s="1974">
        <v>0</v>
      </c>
      <c r="I64" s="1974">
        <f t="shared" si="10"/>
        <v>377768</v>
      </c>
      <c r="J64" s="1974" t="s">
        <v>2185</v>
      </c>
      <c r="K64" s="1974">
        <v>0</v>
      </c>
      <c r="L64" s="1967"/>
      <c r="M64" s="1954"/>
      <c r="N64" s="1954"/>
    </row>
    <row r="65" spans="1:14" x14ac:dyDescent="0.2">
      <c r="A65" s="1971" t="s">
        <v>2235</v>
      </c>
      <c r="B65" s="1969">
        <v>10.555</v>
      </c>
      <c r="C65" s="1973" t="s">
        <v>2237</v>
      </c>
      <c r="D65" s="1974">
        <v>0</v>
      </c>
      <c r="E65" s="1974">
        <v>379384</v>
      </c>
      <c r="F65" s="1974">
        <v>0</v>
      </c>
      <c r="G65" s="1974">
        <f>E65</f>
        <v>379384</v>
      </c>
      <c r="H65" s="1974">
        <v>0</v>
      </c>
      <c r="I65" s="1974">
        <f t="shared" si="10"/>
        <v>379384</v>
      </c>
      <c r="J65" s="1974" t="s">
        <v>2185</v>
      </c>
      <c r="K65" s="1974">
        <v>0</v>
      </c>
      <c r="L65" s="1967"/>
      <c r="M65" s="1954"/>
      <c r="N65" s="1954"/>
    </row>
    <row r="66" spans="1:14" x14ac:dyDescent="0.2">
      <c r="A66" s="1984" t="s">
        <v>2238</v>
      </c>
      <c r="B66" s="1985">
        <v>10.553000000000001</v>
      </c>
      <c r="C66" s="1986" t="s">
        <v>2239</v>
      </c>
      <c r="D66" s="1987">
        <v>228275</v>
      </c>
      <c r="E66" s="1987">
        <v>0</v>
      </c>
      <c r="F66" s="1987">
        <v>228275</v>
      </c>
      <c r="G66" s="1987">
        <v>0</v>
      </c>
      <c r="H66" s="1987">
        <v>0</v>
      </c>
      <c r="I66" s="1974">
        <v>1269855</v>
      </c>
      <c r="J66" s="1974" t="s">
        <v>2185</v>
      </c>
      <c r="K66" s="1974">
        <v>0</v>
      </c>
      <c r="L66" s="1967"/>
      <c r="M66" s="1954"/>
      <c r="N66" s="1954"/>
    </row>
    <row r="67" spans="1:14" x14ac:dyDescent="0.2">
      <c r="A67" s="1984" t="s">
        <v>2238</v>
      </c>
      <c r="B67" s="1985">
        <v>10.553000000000001</v>
      </c>
      <c r="C67" s="1986" t="s">
        <v>2240</v>
      </c>
      <c r="D67" s="1987">
        <v>1064149</v>
      </c>
      <c r="E67" s="1987">
        <f>1281449-D67</f>
        <v>217300</v>
      </c>
      <c r="F67" s="1987">
        <v>1064149</v>
      </c>
      <c r="G67" s="1987">
        <f>E67</f>
        <v>217300</v>
      </c>
      <c r="H67" s="1987">
        <v>0</v>
      </c>
      <c r="I67" s="1974">
        <f>+F67+G67+H67</f>
        <v>1281449</v>
      </c>
      <c r="J67" s="1974" t="s">
        <v>2185</v>
      </c>
      <c r="K67" s="1974">
        <v>0</v>
      </c>
      <c r="L67" s="1967"/>
      <c r="M67" s="1954"/>
      <c r="N67" s="1954"/>
    </row>
    <row r="68" spans="1:14" x14ac:dyDescent="0.2">
      <c r="A68" s="1984" t="s">
        <v>2238</v>
      </c>
      <c r="B68" s="1985">
        <v>10.553000000000001</v>
      </c>
      <c r="C68" s="1986" t="s">
        <v>2241</v>
      </c>
      <c r="D68" s="1987">
        <v>0</v>
      </c>
      <c r="E68" s="1987">
        <v>1039520</v>
      </c>
      <c r="F68" s="1987">
        <v>0</v>
      </c>
      <c r="G68" s="1987">
        <f>E68</f>
        <v>1039520</v>
      </c>
      <c r="H68" s="1987">
        <v>0</v>
      </c>
      <c r="I68" s="1974">
        <f t="shared" ref="I68:I69" si="11">+F68+G68+H68</f>
        <v>1039520</v>
      </c>
      <c r="J68" s="1974" t="s">
        <v>2185</v>
      </c>
      <c r="K68" s="1974">
        <v>0</v>
      </c>
      <c r="L68" s="1967"/>
      <c r="M68" s="1954"/>
      <c r="N68" s="1954"/>
    </row>
    <row r="69" spans="1:14" ht="15" x14ac:dyDescent="0.35">
      <c r="A69" s="1971" t="s">
        <v>2238</v>
      </c>
      <c r="B69" s="1969">
        <v>10.553000000000001</v>
      </c>
      <c r="C69" s="1973" t="s">
        <v>2242</v>
      </c>
      <c r="D69" s="1976">
        <v>0</v>
      </c>
      <c r="E69" s="1976">
        <v>6435</v>
      </c>
      <c r="F69" s="1976">
        <v>0</v>
      </c>
      <c r="G69" s="1976">
        <f>E69</f>
        <v>6435</v>
      </c>
      <c r="H69" s="1976">
        <v>0</v>
      </c>
      <c r="I69" s="1976">
        <f t="shared" si="11"/>
        <v>6435</v>
      </c>
      <c r="J69" s="1974" t="s">
        <v>2185</v>
      </c>
      <c r="K69" s="1976">
        <v>0</v>
      </c>
    </row>
    <row r="70" spans="1:14" ht="15" x14ac:dyDescent="0.2">
      <c r="A70" s="1988" t="s">
        <v>2243</v>
      </c>
      <c r="B70" s="1985"/>
      <c r="C70" s="1986"/>
      <c r="D70" s="1989">
        <f t="shared" ref="D70:K70" si="12">SUM(D60:D69)</f>
        <v>5126389</v>
      </c>
      <c r="E70" s="1989">
        <f t="shared" si="12"/>
        <v>5083285</v>
      </c>
      <c r="F70" s="1989">
        <f t="shared" si="12"/>
        <v>5126389</v>
      </c>
      <c r="G70" s="1989">
        <f t="shared" si="12"/>
        <v>5083285</v>
      </c>
      <c r="H70" s="1989">
        <f t="shared" si="12"/>
        <v>0</v>
      </c>
      <c r="I70" s="1989">
        <f t="shared" si="12"/>
        <v>14027305</v>
      </c>
      <c r="J70" s="1974">
        <f t="shared" si="12"/>
        <v>0</v>
      </c>
      <c r="K70" s="1989">
        <f t="shared" si="12"/>
        <v>0</v>
      </c>
    </row>
    <row r="71" spans="1:14" x14ac:dyDescent="0.2">
      <c r="A71" s="1971" t="s">
        <v>2244</v>
      </c>
      <c r="B71" s="1969">
        <v>10.582000000000001</v>
      </c>
      <c r="C71" s="1973" t="s">
        <v>2245</v>
      </c>
      <c r="D71" s="1987">
        <v>1700</v>
      </c>
      <c r="E71" s="1987">
        <v>0</v>
      </c>
      <c r="F71" s="1987">
        <v>1700</v>
      </c>
      <c r="G71" s="1987">
        <v>0</v>
      </c>
      <c r="H71" s="1987">
        <v>0</v>
      </c>
      <c r="I71" s="1987">
        <v>65150</v>
      </c>
      <c r="J71" s="1974" t="s">
        <v>2185</v>
      </c>
      <c r="K71" s="1974">
        <v>0</v>
      </c>
    </row>
    <row r="72" spans="1:14" x14ac:dyDescent="0.2">
      <c r="A72" s="1971" t="s">
        <v>2244</v>
      </c>
      <c r="B72" s="1969">
        <v>10.582000000000001</v>
      </c>
      <c r="C72" s="1973" t="s">
        <v>2246</v>
      </c>
      <c r="D72" s="1974">
        <v>9442</v>
      </c>
      <c r="E72" s="1974">
        <f>9442-D72</f>
        <v>0</v>
      </c>
      <c r="F72" s="1974">
        <v>9442</v>
      </c>
      <c r="G72" s="1974">
        <f>E72</f>
        <v>0</v>
      </c>
      <c r="H72" s="1974">
        <v>0</v>
      </c>
      <c r="I72" s="1974">
        <f>+F72+G72+H72</f>
        <v>9442</v>
      </c>
      <c r="J72" s="1974" t="s">
        <v>2185</v>
      </c>
      <c r="K72" s="1974">
        <v>0</v>
      </c>
    </row>
    <row r="73" spans="1:14" ht="15" x14ac:dyDescent="0.35">
      <c r="A73" s="1971" t="s">
        <v>2244</v>
      </c>
      <c r="B73" s="1969">
        <v>10.582000000000001</v>
      </c>
      <c r="C73" s="1973" t="s">
        <v>2247</v>
      </c>
      <c r="D73" s="1976">
        <v>74579</v>
      </c>
      <c r="E73" s="1976">
        <f>74741-D73</f>
        <v>162</v>
      </c>
      <c r="F73" s="1976">
        <f>D73</f>
        <v>74579</v>
      </c>
      <c r="G73" s="1976">
        <f>E73</f>
        <v>162</v>
      </c>
      <c r="H73" s="1976">
        <v>0</v>
      </c>
      <c r="I73" s="1976">
        <f>+F73+G73+H73</f>
        <v>74741</v>
      </c>
      <c r="J73" s="1974" t="s">
        <v>2185</v>
      </c>
      <c r="K73" s="1976">
        <v>0</v>
      </c>
    </row>
    <row r="74" spans="1:14" ht="15" x14ac:dyDescent="0.35">
      <c r="A74" s="1988" t="s">
        <v>2248</v>
      </c>
      <c r="B74" s="1969"/>
      <c r="C74" s="1973"/>
      <c r="D74" s="1976">
        <f t="shared" ref="D74:I74" si="13">SUM(D71:D73)</f>
        <v>85721</v>
      </c>
      <c r="E74" s="1976">
        <f t="shared" si="13"/>
        <v>162</v>
      </c>
      <c r="F74" s="1976">
        <f t="shared" si="13"/>
        <v>85721</v>
      </c>
      <c r="G74" s="1976">
        <f t="shared" si="13"/>
        <v>162</v>
      </c>
      <c r="H74" s="1976">
        <f t="shared" si="13"/>
        <v>0</v>
      </c>
      <c r="I74" s="1976">
        <f t="shared" si="13"/>
        <v>149333</v>
      </c>
      <c r="J74" s="1974"/>
      <c r="K74" s="1976">
        <f>SUM(K71:K73)</f>
        <v>0</v>
      </c>
    </row>
    <row r="75" spans="1:14" ht="15" x14ac:dyDescent="0.35">
      <c r="A75" s="1971" t="s">
        <v>2249</v>
      </c>
      <c r="B75" s="1969">
        <v>10.579000000000001</v>
      </c>
      <c r="C75" s="1973" t="s">
        <v>2250</v>
      </c>
      <c r="D75" s="1976">
        <v>0</v>
      </c>
      <c r="E75" s="1976">
        <v>48818.64</v>
      </c>
      <c r="F75" s="1976">
        <v>0</v>
      </c>
      <c r="G75" s="1976">
        <f>E75</f>
        <v>48818.64</v>
      </c>
      <c r="H75" s="1976"/>
      <c r="I75" s="1976">
        <f>+F75+G75+H75</f>
        <v>48818.64</v>
      </c>
      <c r="J75" s="1974" t="s">
        <v>2185</v>
      </c>
      <c r="K75" s="1976">
        <v>0</v>
      </c>
    </row>
    <row r="76" spans="1:14" ht="15" x14ac:dyDescent="0.35">
      <c r="A76" s="1963" t="s">
        <v>2251</v>
      </c>
      <c r="B76" s="1983"/>
      <c r="C76" s="1973"/>
      <c r="D76" s="1976">
        <f>D70+D74+D75</f>
        <v>5212110</v>
      </c>
      <c r="E76" s="1976">
        <f t="shared" ref="E76:I76" si="14">E70+E74+E75</f>
        <v>5132265.6399999997</v>
      </c>
      <c r="F76" s="1976">
        <f t="shared" si="14"/>
        <v>5212110</v>
      </c>
      <c r="G76" s="1976">
        <f t="shared" si="14"/>
        <v>5132265.6399999997</v>
      </c>
      <c r="H76" s="1976">
        <f t="shared" si="14"/>
        <v>0</v>
      </c>
      <c r="I76" s="1976">
        <f t="shared" si="14"/>
        <v>14225456.640000001</v>
      </c>
      <c r="J76" s="1974"/>
      <c r="K76" s="1976">
        <f>K70+K74+K75</f>
        <v>0</v>
      </c>
    </row>
    <row r="77" spans="1:14" x14ac:dyDescent="0.2">
      <c r="A77" s="1978"/>
      <c r="B77" s="1979"/>
      <c r="C77" s="1980"/>
      <c r="D77" s="1981"/>
      <c r="E77" s="1981"/>
      <c r="F77" s="1981"/>
      <c r="G77" s="1981"/>
      <c r="H77" s="1981"/>
      <c r="I77" s="1981"/>
      <c r="J77" s="1981"/>
      <c r="K77" s="1981"/>
    </row>
    <row r="78" spans="1:14" x14ac:dyDescent="0.2">
      <c r="A78" s="1963" t="s">
        <v>2252</v>
      </c>
      <c r="B78" s="1969"/>
      <c r="C78" s="1973"/>
      <c r="D78" s="1974"/>
      <c r="E78" s="1974"/>
      <c r="F78" s="1974"/>
      <c r="G78" s="1974"/>
      <c r="H78" s="1974"/>
      <c r="I78" s="1974"/>
      <c r="J78" s="1974"/>
      <c r="K78" s="1974"/>
    </row>
    <row r="79" spans="1:14" x14ac:dyDescent="0.2">
      <c r="A79" s="1968" t="s">
        <v>2253</v>
      </c>
      <c r="B79" s="1969"/>
      <c r="C79" s="1973"/>
      <c r="D79" s="1974"/>
      <c r="E79" s="1974"/>
      <c r="F79" s="1974"/>
      <c r="G79" s="1974"/>
      <c r="H79" s="1974"/>
      <c r="I79" s="1974"/>
      <c r="J79" s="1974"/>
      <c r="K79" s="1974"/>
    </row>
    <row r="80" spans="1:14" x14ac:dyDescent="0.2">
      <c r="A80" s="1971" t="s">
        <v>2254</v>
      </c>
      <c r="B80" s="1969">
        <v>93.778000000000006</v>
      </c>
      <c r="C80" s="1973" t="s">
        <v>2255</v>
      </c>
      <c r="D80" s="1974">
        <v>430729</v>
      </c>
      <c r="E80" s="1974">
        <v>0</v>
      </c>
      <c r="F80" s="1974">
        <v>430729</v>
      </c>
      <c r="G80" s="1974">
        <v>0</v>
      </c>
      <c r="H80" s="1974">
        <v>0</v>
      </c>
      <c r="I80" s="1974">
        <f>+F80+G80+H80</f>
        <v>430729</v>
      </c>
      <c r="J80" s="1974" t="s">
        <v>2185</v>
      </c>
      <c r="K80" s="1974">
        <v>0</v>
      </c>
    </row>
    <row r="81" spans="1:11" ht="15" x14ac:dyDescent="0.35">
      <c r="A81" s="1971" t="s">
        <v>2254</v>
      </c>
      <c r="B81" s="1969">
        <v>93.778000000000006</v>
      </c>
      <c r="C81" s="1973" t="s">
        <v>2256</v>
      </c>
      <c r="D81" s="1976">
        <v>0</v>
      </c>
      <c r="E81" s="1976">
        <v>439897</v>
      </c>
      <c r="F81" s="1976">
        <v>0</v>
      </c>
      <c r="G81" s="1976">
        <f>E81</f>
        <v>439897</v>
      </c>
      <c r="H81" s="1976">
        <v>0</v>
      </c>
      <c r="I81" s="1976">
        <f>+F81+G81+H81</f>
        <v>439897</v>
      </c>
      <c r="J81" s="1974" t="s">
        <v>2185</v>
      </c>
      <c r="K81" s="1976">
        <v>97129</v>
      </c>
    </row>
    <row r="82" spans="1:11" ht="15" x14ac:dyDescent="0.35">
      <c r="A82" s="1990" t="s">
        <v>2257</v>
      </c>
      <c r="B82" s="1991"/>
      <c r="C82" s="1973"/>
      <c r="D82" s="1976">
        <f t="shared" ref="D82:I82" si="15">SUM(D80:D81)</f>
        <v>430729</v>
      </c>
      <c r="E82" s="1976">
        <f t="shared" si="15"/>
        <v>439897</v>
      </c>
      <c r="F82" s="1976">
        <f t="shared" si="15"/>
        <v>430729</v>
      </c>
      <c r="G82" s="1976">
        <f t="shared" si="15"/>
        <v>439897</v>
      </c>
      <c r="H82" s="1976">
        <f t="shared" si="15"/>
        <v>0</v>
      </c>
      <c r="I82" s="1976">
        <f t="shared" si="15"/>
        <v>870626</v>
      </c>
      <c r="J82" s="1974"/>
      <c r="K82" s="1976">
        <f>SUM(K80:K81)</f>
        <v>97129</v>
      </c>
    </row>
    <row r="83" spans="1:11" x14ac:dyDescent="0.2">
      <c r="A83" s="1972"/>
      <c r="B83" s="1969"/>
      <c r="C83" s="1992"/>
      <c r="D83" s="1974"/>
      <c r="E83" s="1974"/>
      <c r="F83" s="1974"/>
      <c r="G83" s="1974"/>
      <c r="H83" s="1974"/>
      <c r="I83" s="1974"/>
      <c r="J83" s="1993"/>
      <c r="K83" s="1993"/>
    </row>
    <row r="84" spans="1:11" ht="15" x14ac:dyDescent="0.35">
      <c r="A84" s="1963" t="s">
        <v>2258</v>
      </c>
      <c r="B84" s="1969"/>
      <c r="C84" s="1973"/>
      <c r="D84" s="1994">
        <f t="shared" ref="D84:I84" si="16">D57+D76+D82</f>
        <v>14565584</v>
      </c>
      <c r="E84" s="1994">
        <f t="shared" si="16"/>
        <v>15215510.640000001</v>
      </c>
      <c r="F84" s="1994">
        <f t="shared" si="16"/>
        <v>14548410</v>
      </c>
      <c r="G84" s="1994">
        <f t="shared" si="16"/>
        <v>15215510.640000001</v>
      </c>
      <c r="H84" s="1994">
        <f t="shared" si="16"/>
        <v>0</v>
      </c>
      <c r="I84" s="1994">
        <f t="shared" si="16"/>
        <v>42176532.640000001</v>
      </c>
      <c r="J84" s="1995"/>
      <c r="K84" s="1994">
        <f>K57+K76+K82</f>
        <v>157941</v>
      </c>
    </row>
  </sheetData>
  <printOptions horizontalCentered="1"/>
  <pageMargins left="0.24" right="0.23" top="0.5" bottom="0.71" header="0.24" footer="0.39"/>
  <pageSetup scale="60" firstPageNumber="5" fitToHeight="2" orientation="landscape" useFirstPageNumber="1" r:id="rId1"/>
  <headerFooter differentFirst="1" alignWithMargins="0">
    <oddFooter>&amp;L&amp;"Book Antiqua,Regular"&amp;11The accompanying notes are an integral part of this schedule.&amp;R&amp;"Book Antiqua,Regular"&amp;11&amp;P.</oddFooter>
    <firstFooter xml:space="preserve">&amp;LThe accompanying notes are an integral part of this schedule.&amp;C(Continued)&amp;R5. </firstFooter>
  </headerFooter>
  <rowBreaks count="1" manualBreakCount="1">
    <brk id="57"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K143"/>
  <sheetViews>
    <sheetView showGridLines="0" defaultGridColor="0" topLeftCell="A92" colorId="8" zoomScale="110" zoomScaleNormal="110" workbookViewId="0">
      <selection activeCell="J77" sqref="J7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10" t="s">
        <v>1167</v>
      </c>
      <c r="B2" s="2110"/>
      <c r="C2" s="2110"/>
      <c r="D2" s="2110"/>
      <c r="E2" s="2110"/>
      <c r="F2" s="2110"/>
      <c r="G2" s="2110"/>
      <c r="H2" s="2110"/>
      <c r="I2" s="2110"/>
      <c r="J2" s="2110"/>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1940</v>
      </c>
    </row>
    <row r="32" spans="1:4" s="181" customFormat="1" x14ac:dyDescent="0.2">
      <c r="A32" s="219"/>
      <c r="B32" s="236"/>
      <c r="C32" s="227"/>
      <c r="D32" s="237" t="s">
        <v>1789</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124" t="s">
        <v>1632</v>
      </c>
      <c r="B35" s="2125"/>
      <c r="C35" s="2125"/>
      <c r="D35" s="2125"/>
      <c r="E35" s="2126"/>
      <c r="F35" s="2126"/>
      <c r="G35" s="2126"/>
      <c r="H35" s="2126"/>
      <c r="I35" s="2126"/>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24" t="s">
        <v>312</v>
      </c>
      <c r="B47" s="2127"/>
      <c r="C47" s="2127"/>
      <c r="D47" s="2127"/>
      <c r="E47" s="2128"/>
      <c r="F47" s="2128"/>
      <c r="G47" s="2128"/>
      <c r="H47" s="2128"/>
      <c r="I47" s="2128"/>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t="s">
        <v>2061</v>
      </c>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2061</v>
      </c>
      <c r="C53" s="179">
        <v>22</v>
      </c>
      <c r="D53" s="247" t="s">
        <v>1461</v>
      </c>
      <c r="E53" s="248"/>
      <c r="F53" s="249"/>
      <c r="G53" s="249" t="s">
        <v>1460</v>
      </c>
      <c r="H53" s="250">
        <v>33420</v>
      </c>
      <c r="I53" s="237" t="s">
        <v>1482</v>
      </c>
    </row>
    <row r="54" spans="1:10" s="181" customFormat="1" x14ac:dyDescent="0.2">
      <c r="A54" s="219"/>
      <c r="B54" s="220"/>
      <c r="C54" s="179">
        <v>23</v>
      </c>
      <c r="D54" s="243" t="s">
        <v>1361</v>
      </c>
      <c r="E54" s="248"/>
      <c r="F54" s="249"/>
    </row>
    <row r="55" spans="1:10" s="181" customFormat="1" x14ac:dyDescent="0.2">
      <c r="A55" s="214"/>
      <c r="B55" s="251"/>
      <c r="C55" s="251"/>
      <c r="D55" s="231" t="s">
        <v>1788</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1"/>
      <c r="C57" s="2132"/>
      <c r="D57" s="2132"/>
      <c r="E57" s="2132"/>
      <c r="F57" s="2132"/>
      <c r="G57" s="2132"/>
      <c r="H57" s="2132"/>
      <c r="I57" s="2132"/>
      <c r="J57" s="2133"/>
    </row>
    <row r="58" spans="1:10" s="181" customFormat="1" x14ac:dyDescent="0.2">
      <c r="A58" s="253"/>
      <c r="B58" s="2134"/>
      <c r="C58" s="2135"/>
      <c r="D58" s="2135"/>
      <c r="E58" s="2135"/>
      <c r="F58" s="2135"/>
      <c r="G58" s="2135"/>
      <c r="H58" s="2135"/>
      <c r="I58" s="2135"/>
      <c r="J58" s="2136"/>
    </row>
    <row r="59" spans="1:10" s="181" customFormat="1" x14ac:dyDescent="0.2">
      <c r="A59" s="253"/>
      <c r="B59" s="2134"/>
      <c r="C59" s="2135"/>
      <c r="D59" s="2135"/>
      <c r="E59" s="2135"/>
      <c r="F59" s="2135"/>
      <c r="G59" s="2135"/>
      <c r="H59" s="2135"/>
      <c r="I59" s="2135"/>
      <c r="J59" s="2136"/>
    </row>
    <row r="60" spans="1:10" s="181" customFormat="1" x14ac:dyDescent="0.2">
      <c r="A60" s="253"/>
      <c r="B60" s="2134"/>
      <c r="C60" s="2135"/>
      <c r="D60" s="2135"/>
      <c r="E60" s="2135"/>
      <c r="F60" s="2135"/>
      <c r="G60" s="2135"/>
      <c r="H60" s="2135"/>
      <c r="I60" s="2135"/>
      <c r="J60" s="2136"/>
    </row>
    <row r="61" spans="1:10" s="181" customFormat="1" x14ac:dyDescent="0.2">
      <c r="A61" s="253"/>
      <c r="B61" s="2134"/>
      <c r="C61" s="2135"/>
      <c r="D61" s="2135"/>
      <c r="E61" s="2135"/>
      <c r="F61" s="2135"/>
      <c r="G61" s="2135"/>
      <c r="H61" s="2135"/>
      <c r="I61" s="2135"/>
      <c r="J61" s="2136"/>
    </row>
    <row r="62" spans="1:10" s="181" customFormat="1" x14ac:dyDescent="0.2">
      <c r="A62" s="253"/>
      <c r="B62" s="2134"/>
      <c r="C62" s="2135"/>
      <c r="D62" s="2135"/>
      <c r="E62" s="2135"/>
      <c r="F62" s="2135"/>
      <c r="G62" s="2135"/>
      <c r="H62" s="2135"/>
      <c r="I62" s="2135"/>
      <c r="J62" s="2136"/>
    </row>
    <row r="63" spans="1:10" s="181" customFormat="1" x14ac:dyDescent="0.2">
      <c r="A63" s="253"/>
      <c r="B63" s="2134"/>
      <c r="C63" s="2135"/>
      <c r="D63" s="2135"/>
      <c r="E63" s="2135"/>
      <c r="F63" s="2135"/>
      <c r="G63" s="2135"/>
      <c r="H63" s="2135"/>
      <c r="I63" s="2135"/>
      <c r="J63" s="2136"/>
    </row>
    <row r="64" spans="1:10" s="181" customFormat="1" x14ac:dyDescent="0.2">
      <c r="A64" s="253"/>
      <c r="B64" s="2134"/>
      <c r="C64" s="2135"/>
      <c r="D64" s="2135"/>
      <c r="E64" s="2135"/>
      <c r="F64" s="2135"/>
      <c r="G64" s="2135"/>
      <c r="H64" s="2135"/>
      <c r="I64" s="2135"/>
      <c r="J64" s="2136"/>
    </row>
    <row r="65" spans="1:10" s="181" customFormat="1" x14ac:dyDescent="0.2">
      <c r="A65" s="253"/>
      <c r="B65" s="2134"/>
      <c r="C65" s="2135"/>
      <c r="D65" s="2135"/>
      <c r="E65" s="2135"/>
      <c r="F65" s="2135"/>
      <c r="G65" s="2135"/>
      <c r="H65" s="2135"/>
      <c r="I65" s="2135"/>
      <c r="J65" s="2136"/>
    </row>
    <row r="66" spans="1:10" s="181" customFormat="1" x14ac:dyDescent="0.2">
      <c r="A66" s="253"/>
      <c r="B66" s="2134"/>
      <c r="C66" s="2135"/>
      <c r="D66" s="2135"/>
      <c r="E66" s="2135"/>
      <c r="F66" s="2135"/>
      <c r="G66" s="2135"/>
      <c r="H66" s="2135"/>
      <c r="I66" s="2135"/>
      <c r="J66" s="2136"/>
    </row>
    <row r="67" spans="1:10" s="181" customFormat="1" ht="9" customHeight="1" x14ac:dyDescent="0.2">
      <c r="A67" s="254"/>
      <c r="B67" s="2137"/>
      <c r="C67" s="2138"/>
      <c r="D67" s="2138"/>
      <c r="E67" s="2138"/>
      <c r="F67" s="2138"/>
      <c r="G67" s="2138"/>
      <c r="H67" s="2138"/>
      <c r="I67" s="2138"/>
      <c r="J67" s="213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4" t="s">
        <v>1322</v>
      </c>
      <c r="B70" s="2127"/>
      <c r="C70" s="2127"/>
      <c r="D70" s="2127"/>
      <c r="E70" s="2128"/>
      <c r="F70" s="2128"/>
      <c r="G70" s="2128"/>
      <c r="H70" s="2128"/>
      <c r="I70" s="2128"/>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1925</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1941</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1900</v>
      </c>
      <c r="I77" s="1838"/>
      <c r="J77" s="261">
        <v>43343</v>
      </c>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29" t="s">
        <v>1319</v>
      </c>
      <c r="B83" s="2129"/>
      <c r="C83" s="2129"/>
      <c r="D83" s="2130"/>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1923</v>
      </c>
      <c r="B85" s="272"/>
      <c r="C85" s="273"/>
      <c r="D85" s="274"/>
      <c r="E85" s="275">
        <v>0</v>
      </c>
      <c r="F85" s="276">
        <v>0</v>
      </c>
      <c r="G85" s="276">
        <v>0</v>
      </c>
      <c r="H85" s="276">
        <v>0</v>
      </c>
      <c r="I85" s="276">
        <v>0</v>
      </c>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1923</v>
      </c>
      <c r="B88" s="286"/>
      <c r="C88" s="287"/>
      <c r="D88" s="288"/>
      <c r="E88" s="276">
        <v>0</v>
      </c>
      <c r="F88" s="276">
        <v>0</v>
      </c>
      <c r="G88" s="276">
        <v>0</v>
      </c>
      <c r="H88" s="276">
        <v>0</v>
      </c>
      <c r="I88" s="276">
        <v>0</v>
      </c>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1924</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111"/>
      <c r="C102" s="2112"/>
      <c r="D102" s="2112"/>
      <c r="E102" s="2112"/>
      <c r="F102" s="2112"/>
      <c r="G102" s="2112"/>
      <c r="H102" s="2112"/>
      <c r="I102" s="2113"/>
    </row>
    <row r="103" spans="1:9" s="181" customFormat="1" ht="11.25" customHeight="1" x14ac:dyDescent="0.2">
      <c r="A103" s="316"/>
      <c r="B103" s="2114"/>
      <c r="C103" s="2115"/>
      <c r="D103" s="2115"/>
      <c r="E103" s="2115"/>
      <c r="F103" s="2115"/>
      <c r="G103" s="2115"/>
      <c r="H103" s="2115"/>
      <c r="I103" s="2116"/>
    </row>
    <row r="104" spans="1:9" s="181" customFormat="1" ht="11.25" customHeight="1" x14ac:dyDescent="0.2">
      <c r="A104" s="316"/>
      <c r="B104" s="2114"/>
      <c r="C104" s="2115"/>
      <c r="D104" s="2115"/>
      <c r="E104" s="2115"/>
      <c r="F104" s="2115"/>
      <c r="G104" s="2115"/>
      <c r="H104" s="2115"/>
      <c r="I104" s="2116"/>
    </row>
    <row r="105" spans="1:9" s="181" customFormat="1" x14ac:dyDescent="0.2">
      <c r="A105" s="316"/>
      <c r="B105" s="2114"/>
      <c r="C105" s="2115"/>
      <c r="D105" s="2115"/>
      <c r="E105" s="2115"/>
      <c r="F105" s="2115"/>
      <c r="G105" s="2115"/>
      <c r="H105" s="2115"/>
      <c r="I105" s="2116"/>
    </row>
    <row r="106" spans="1:9" s="181" customFormat="1" ht="11.25" customHeight="1" x14ac:dyDescent="0.2">
      <c r="A106" s="316"/>
      <c r="B106" s="2114"/>
      <c r="C106" s="2115"/>
      <c r="D106" s="2115"/>
      <c r="E106" s="2115"/>
      <c r="F106" s="2115"/>
      <c r="G106" s="2115"/>
      <c r="H106" s="2115"/>
      <c r="I106" s="2116"/>
    </row>
    <row r="107" spans="1:9" s="181" customFormat="1" ht="11.25" customHeight="1" x14ac:dyDescent="0.2">
      <c r="A107" s="316"/>
      <c r="B107" s="2114"/>
      <c r="C107" s="2115"/>
      <c r="D107" s="2115"/>
      <c r="E107" s="2115"/>
      <c r="F107" s="2115"/>
      <c r="G107" s="2115"/>
      <c r="H107" s="2115"/>
      <c r="I107" s="2116"/>
    </row>
    <row r="108" spans="1:9" s="181" customFormat="1" ht="11.25" customHeight="1" x14ac:dyDescent="0.2">
      <c r="A108" s="316"/>
      <c r="B108" s="2114"/>
      <c r="C108" s="2115"/>
      <c r="D108" s="2115"/>
      <c r="E108" s="2115"/>
      <c r="F108" s="2115"/>
      <c r="G108" s="2115"/>
      <c r="H108" s="2115"/>
      <c r="I108" s="2116"/>
    </row>
    <row r="109" spans="1:9" s="181" customFormat="1" ht="11.25" customHeight="1" x14ac:dyDescent="0.2">
      <c r="A109" s="316"/>
      <c r="B109" s="2114"/>
      <c r="C109" s="2115"/>
      <c r="D109" s="2115"/>
      <c r="E109" s="2115"/>
      <c r="F109" s="2115"/>
      <c r="G109" s="2115"/>
      <c r="H109" s="2115"/>
      <c r="I109" s="2116"/>
    </row>
    <row r="110" spans="1:9" s="181" customFormat="1" ht="11.25" customHeight="1" x14ac:dyDescent="0.2">
      <c r="A110" s="316"/>
      <c r="B110" s="2114"/>
      <c r="C110" s="2115"/>
      <c r="D110" s="2115"/>
      <c r="E110" s="2115"/>
      <c r="F110" s="2115"/>
      <c r="G110" s="2115"/>
      <c r="H110" s="2115"/>
      <c r="I110" s="2116"/>
    </row>
    <row r="111" spans="1:9" s="181" customFormat="1" ht="11.25" customHeight="1" x14ac:dyDescent="0.2">
      <c r="A111" s="316"/>
      <c r="B111" s="2114"/>
      <c r="C111" s="2115"/>
      <c r="D111" s="2115"/>
      <c r="E111" s="2115"/>
      <c r="F111" s="2115"/>
      <c r="G111" s="2115"/>
      <c r="H111" s="2115"/>
      <c r="I111" s="2116"/>
    </row>
    <row r="112" spans="1:9" s="181" customFormat="1" ht="11.25" customHeight="1" x14ac:dyDescent="0.2">
      <c r="A112" s="316"/>
      <c r="B112" s="2117"/>
      <c r="C112" s="2118"/>
      <c r="D112" s="2118"/>
      <c r="E112" s="2118"/>
      <c r="F112" s="2118"/>
      <c r="G112" s="2118"/>
      <c r="H112" s="2118"/>
      <c r="I112" s="211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0" t="s">
        <v>2067</v>
      </c>
      <c r="D114" s="2120"/>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1" t="s">
        <v>1329</v>
      </c>
      <c r="D117" s="2122"/>
      <c r="E117" s="2123"/>
      <c r="F117" s="2123"/>
      <c r="G117" s="2123"/>
      <c r="H117" s="2123"/>
      <c r="I117" s="304"/>
    </row>
    <row r="118" spans="1:9" s="181" customFormat="1" ht="24" customHeight="1" x14ac:dyDescent="0.2">
      <c r="A118" s="316"/>
      <c r="B118" s="316"/>
      <c r="C118" s="316"/>
      <c r="D118" s="323" t="s">
        <v>2080</v>
      </c>
      <c r="E118" s="322"/>
      <c r="F118" s="324"/>
      <c r="G118" s="1840"/>
      <c r="H118" s="322"/>
      <c r="I118" s="304"/>
    </row>
    <row r="119" spans="1:9" s="181" customFormat="1" ht="11.25" customHeight="1" x14ac:dyDescent="0.2">
      <c r="A119" s="325"/>
      <c r="B119" s="325"/>
      <c r="C119" s="326"/>
      <c r="D119" s="327" t="s">
        <v>360</v>
      </c>
      <c r="E119" s="310"/>
      <c r="F119" s="1839" t="s">
        <v>1901</v>
      </c>
      <c r="G119" s="328"/>
      <c r="H119" s="328"/>
      <c r="I119" s="304"/>
    </row>
    <row r="120" spans="1:9" x14ac:dyDescent="0.2">
      <c r="A120" s="329"/>
      <c r="B120" s="180"/>
      <c r="C120" s="330"/>
      <c r="D120" s="256"/>
      <c r="E120" s="256"/>
      <c r="F120" s="256"/>
      <c r="G120" s="256"/>
      <c r="H120" s="256"/>
      <c r="I120" s="304"/>
    </row>
    <row r="121" spans="1:9" x14ac:dyDescent="0.2">
      <c r="A121" s="329"/>
      <c r="B121" s="1488"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G52"/>
  <sheetViews>
    <sheetView showGridLines="0" zoomScale="120" zoomScaleNormal="120" workbookViewId="0">
      <selection activeCell="B6" sqref="B6"/>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502" t="str">
        <f>'Single Audit Cover'!A7</f>
        <v>Aurora West USD 129</v>
      </c>
      <c r="B1" s="2502"/>
      <c r="C1" s="2502"/>
      <c r="D1" s="2502"/>
      <c r="E1" s="2502"/>
      <c r="F1" s="2502"/>
    </row>
    <row r="2" spans="1:7" ht="13.5" customHeight="1" x14ac:dyDescent="0.2">
      <c r="A2" s="2490">
        <f>'Single Audit Cover'!E7</f>
        <v>31045129022</v>
      </c>
      <c r="B2" s="2490"/>
      <c r="C2" s="2490"/>
      <c r="D2" s="2490"/>
      <c r="E2" s="2490"/>
      <c r="F2" s="2490"/>
      <c r="G2" s="1272"/>
    </row>
    <row r="3" spans="1:7" ht="15.75" customHeight="1" x14ac:dyDescent="0.2">
      <c r="A3" s="2503" t="s">
        <v>1270</v>
      </c>
      <c r="B3" s="2503"/>
      <c r="C3" s="2503"/>
      <c r="D3" s="2503"/>
      <c r="E3" s="2503"/>
      <c r="F3" s="2503"/>
    </row>
    <row r="4" spans="1:7" ht="13.5" customHeight="1" x14ac:dyDescent="0.2">
      <c r="A4" s="2504" t="str">
        <f>'Single Audit Cover'!A4</f>
        <v>Year Ending June 30, 2019</v>
      </c>
      <c r="B4" s="2504"/>
      <c r="C4" s="2504"/>
      <c r="D4" s="2504"/>
      <c r="E4" s="2504"/>
      <c r="F4" s="2504"/>
    </row>
    <row r="5" spans="1:7" ht="8.25" customHeight="1" x14ac:dyDescent="0.2">
      <c r="C5" s="317"/>
      <c r="D5" s="317"/>
    </row>
    <row r="6" spans="1:7" ht="13.5" customHeight="1" x14ac:dyDescent="0.2">
      <c r="A6" s="1273" t="s">
        <v>1727</v>
      </c>
      <c r="C6" s="317"/>
      <c r="D6" s="317"/>
    </row>
    <row r="7" spans="1:7" ht="60.95" customHeight="1" x14ac:dyDescent="0.2">
      <c r="A7" s="2501" t="s">
        <v>2264</v>
      </c>
      <c r="B7" s="2501"/>
      <c r="C7" s="2501"/>
      <c r="D7" s="2501"/>
      <c r="E7" s="2501"/>
      <c r="F7" s="2501"/>
    </row>
    <row r="8" spans="1:7" ht="12" customHeight="1" x14ac:dyDescent="0.2">
      <c r="A8" s="1273"/>
      <c r="B8" s="1279"/>
      <c r="C8" s="1279"/>
      <c r="D8" s="1279"/>
    </row>
    <row r="9" spans="1:7" ht="15" customHeight="1" x14ac:dyDescent="0.2">
      <c r="A9" s="1274" t="s">
        <v>1728</v>
      </c>
      <c r="B9" s="1277"/>
      <c r="C9" s="1277"/>
      <c r="D9" s="1277"/>
      <c r="E9" s="1275"/>
      <c r="F9" s="1275"/>
      <c r="G9" s="1275"/>
    </row>
    <row r="10" spans="1:7" ht="15" customHeight="1" x14ac:dyDescent="0.2">
      <c r="A10" s="1276" t="s">
        <v>1546</v>
      </c>
      <c r="B10" s="1277"/>
      <c r="C10" s="1278"/>
      <c r="D10" s="1277" t="s">
        <v>1547</v>
      </c>
      <c r="E10" s="1278" t="s">
        <v>2061</v>
      </c>
      <c r="F10" s="1277" t="s">
        <v>99</v>
      </c>
      <c r="G10" s="1275"/>
    </row>
    <row r="11" spans="1:7" ht="12" customHeight="1" x14ac:dyDescent="0.2">
      <c r="A11" s="1276"/>
      <c r="B11" s="1277"/>
      <c r="C11" s="1902"/>
      <c r="D11" s="1277"/>
      <c r="E11" s="1902"/>
      <c r="F11" s="1277"/>
      <c r="G11" s="1275"/>
    </row>
    <row r="12" spans="1:7" x14ac:dyDescent="0.2">
      <c r="A12" s="1273" t="s">
        <v>1586</v>
      </c>
      <c r="C12" s="1257"/>
      <c r="D12" s="1257"/>
    </row>
    <row r="13" spans="1:7" ht="15" customHeight="1" x14ac:dyDescent="0.2">
      <c r="A13" s="2501" t="s">
        <v>2265</v>
      </c>
      <c r="B13" s="2501"/>
      <c r="C13" s="2501"/>
      <c r="D13" s="2501"/>
      <c r="E13" s="2501"/>
      <c r="F13" s="2501"/>
    </row>
    <row r="14" spans="1:7" ht="9.75" customHeight="1" x14ac:dyDescent="0.2">
      <c r="C14" s="1257"/>
      <c r="D14" s="1257"/>
    </row>
    <row r="15" spans="1:7" ht="13.5" customHeight="1" x14ac:dyDescent="0.2">
      <c r="C15" s="1846" t="s">
        <v>1269</v>
      </c>
      <c r="D15" s="2499" t="s">
        <v>1268</v>
      </c>
      <c r="E15" s="2499"/>
      <c r="F15" s="2499"/>
    </row>
    <row r="16" spans="1:7" ht="13.5" customHeight="1" x14ac:dyDescent="0.2">
      <c r="A16" s="1279"/>
      <c r="B16" s="1273" t="s">
        <v>1267</v>
      </c>
      <c r="C16" s="1846" t="s">
        <v>1266</v>
      </c>
      <c r="D16" s="2500" t="s">
        <v>1587</v>
      </c>
      <c r="E16" s="2500"/>
      <c r="F16" s="2500"/>
    </row>
    <row r="17" spans="1:6" ht="20.45" customHeight="1" x14ac:dyDescent="0.2">
      <c r="A17" s="1280"/>
      <c r="B17" s="1281" t="s">
        <v>2098</v>
      </c>
      <c r="C17" s="1282" t="s">
        <v>2100</v>
      </c>
      <c r="D17" s="2494">
        <v>60812</v>
      </c>
      <c r="E17" s="2494"/>
      <c r="F17" s="2494"/>
    </row>
    <row r="18" spans="1:6" ht="20.65" customHeight="1" x14ac:dyDescent="0.2">
      <c r="A18" s="1280"/>
      <c r="B18" s="1281" t="s">
        <v>2099</v>
      </c>
      <c r="C18" s="1282">
        <v>93.778000000000006</v>
      </c>
      <c r="D18" s="2494">
        <v>97129</v>
      </c>
      <c r="E18" s="2494"/>
      <c r="F18" s="2494"/>
    </row>
    <row r="19" spans="1:6" ht="20.65" customHeight="1" x14ac:dyDescent="0.2">
      <c r="A19" s="1280"/>
      <c r="B19" s="1281"/>
      <c r="C19" s="1282"/>
      <c r="D19" s="2494"/>
      <c r="E19" s="2494"/>
      <c r="F19" s="2494"/>
    </row>
    <row r="20" spans="1:6" ht="20.65" customHeight="1" x14ac:dyDescent="0.2">
      <c r="A20" s="1280"/>
      <c r="B20" s="1281"/>
      <c r="C20" s="1282"/>
      <c r="D20" s="2494"/>
      <c r="E20" s="2494"/>
      <c r="F20" s="2494"/>
    </row>
    <row r="21" spans="1:6" ht="20.65" customHeight="1" x14ac:dyDescent="0.2">
      <c r="A21" s="1280"/>
      <c r="B21" s="1281"/>
      <c r="C21" s="1282"/>
      <c r="D21" s="2494"/>
      <c r="E21" s="2494"/>
      <c r="F21" s="2494"/>
    </row>
    <row r="22" spans="1:6" ht="20.65" customHeight="1" x14ac:dyDescent="0.2">
      <c r="A22" s="1280"/>
      <c r="B22" s="1281"/>
      <c r="C22" s="1282"/>
      <c r="D22" s="2494"/>
      <c r="E22" s="2494"/>
      <c r="F22" s="2494"/>
    </row>
    <row r="23" spans="1:6" ht="20.65" customHeight="1" x14ac:dyDescent="0.2">
      <c r="A23" s="1280"/>
      <c r="B23" s="1281"/>
      <c r="C23" s="1282"/>
      <c r="D23" s="2494"/>
      <c r="E23" s="2494"/>
      <c r="F23" s="2494"/>
    </row>
    <row r="24" spans="1:6" ht="20.65" customHeight="1" x14ac:dyDescent="0.2">
      <c r="A24" s="1280"/>
      <c r="B24" s="1281"/>
      <c r="C24" s="1282"/>
      <c r="D24" s="2494"/>
      <c r="E24" s="2494"/>
      <c r="F24" s="2494"/>
    </row>
    <row r="25" spans="1:6" ht="20.65" customHeight="1" x14ac:dyDescent="0.2">
      <c r="A25" s="1280"/>
      <c r="B25" s="1281"/>
      <c r="C25" s="1282"/>
      <c r="D25" s="2494"/>
      <c r="E25" s="2494"/>
      <c r="F25" s="2494"/>
    </row>
    <row r="26" spans="1:6" ht="20.65" customHeight="1" x14ac:dyDescent="0.2">
      <c r="A26" s="1280"/>
      <c r="B26" s="1281"/>
      <c r="C26" s="1282"/>
      <c r="D26" s="2494"/>
      <c r="E26" s="2494"/>
      <c r="F26" s="2494"/>
    </row>
    <row r="27" spans="1:6" ht="20.65" customHeight="1" x14ac:dyDescent="0.2">
      <c r="A27" s="1280"/>
      <c r="B27" s="1281"/>
      <c r="C27" s="1282"/>
      <c r="D27" s="2494"/>
      <c r="E27" s="2494"/>
      <c r="F27" s="2494"/>
    </row>
    <row r="28" spans="1:6" ht="20.65" customHeight="1" x14ac:dyDescent="0.2">
      <c r="A28" s="1280"/>
      <c r="B28" s="1281"/>
      <c r="C28" s="1282"/>
      <c r="D28" s="2494"/>
      <c r="E28" s="2494"/>
      <c r="F28" s="2494"/>
    </row>
    <row r="29" spans="1:6" ht="20.65" customHeight="1" x14ac:dyDescent="0.2">
      <c r="A29" s="1280"/>
      <c r="B29" s="1281"/>
      <c r="C29" s="1282"/>
      <c r="D29" s="2494"/>
      <c r="E29" s="2494"/>
      <c r="F29" s="2494"/>
    </row>
    <row r="30" spans="1:6" ht="12" customHeight="1" x14ac:dyDescent="0.2">
      <c r="A30" s="328"/>
      <c r="B30" s="328"/>
      <c r="C30" s="1462"/>
      <c r="D30" s="1903"/>
      <c r="E30" s="1283"/>
    </row>
    <row r="31" spans="1:6" ht="12" customHeight="1" x14ac:dyDescent="0.2">
      <c r="A31" s="1284" t="s">
        <v>1548</v>
      </c>
      <c r="B31" s="328"/>
      <c r="C31" s="1462"/>
      <c r="D31" s="1903"/>
      <c r="E31" s="1283"/>
    </row>
    <row r="32" spans="1:6" ht="30" customHeight="1" x14ac:dyDescent="0.2">
      <c r="A32" s="2495" t="s">
        <v>2266</v>
      </c>
      <c r="B32" s="2495"/>
      <c r="C32" s="2495"/>
      <c r="D32" s="2495"/>
      <c r="E32" s="2495"/>
      <c r="F32" s="2495"/>
    </row>
    <row r="33" spans="1:6" ht="13.5" customHeight="1" x14ac:dyDescent="0.2">
      <c r="A33" s="328" t="s">
        <v>1433</v>
      </c>
      <c r="B33" s="328"/>
      <c r="C33" s="1285">
        <v>379384</v>
      </c>
      <c r="D33" s="1903"/>
      <c r="E33" s="1283"/>
    </row>
    <row r="34" spans="1:6" ht="13.5" customHeight="1" x14ac:dyDescent="0.2">
      <c r="A34" s="328" t="s">
        <v>1834</v>
      </c>
      <c r="B34" s="328"/>
      <c r="C34" s="1286">
        <v>0</v>
      </c>
      <c r="D34" s="1903" t="s">
        <v>1588</v>
      </c>
      <c r="E34" s="2496">
        <f>+C33+C34</f>
        <v>379384</v>
      </c>
      <c r="F34" s="2497"/>
    </row>
    <row r="35" spans="1:6" ht="12" customHeight="1" x14ac:dyDescent="0.2">
      <c r="A35" s="328"/>
      <c r="B35" s="328"/>
      <c r="C35" s="1904"/>
      <c r="D35" s="1903"/>
      <c r="E35" s="1287"/>
      <c r="F35" s="1288"/>
    </row>
    <row r="36" spans="1:6" ht="13.5" customHeight="1" x14ac:dyDescent="0.2">
      <c r="A36" s="1284" t="s">
        <v>1549</v>
      </c>
      <c r="B36" s="328"/>
      <c r="C36" s="1462"/>
      <c r="D36" s="1903"/>
      <c r="E36" s="1283"/>
    </row>
    <row r="37" spans="1:6" ht="14.25" customHeight="1" x14ac:dyDescent="0.2">
      <c r="A37" s="328" t="s">
        <v>1483</v>
      </c>
      <c r="B37" s="328"/>
      <c r="C37" s="1905"/>
      <c r="D37" s="1903"/>
      <c r="E37" s="1283"/>
    </row>
    <row r="38" spans="1:6" ht="14.25" customHeight="1" x14ac:dyDescent="0.2">
      <c r="A38" s="328"/>
      <c r="B38" s="328" t="s">
        <v>1434</v>
      </c>
      <c r="C38" s="1289" t="s">
        <v>382</v>
      </c>
      <c r="D38" s="1903"/>
      <c r="E38" s="1283"/>
    </row>
    <row r="39" spans="1:6" ht="14.25" customHeight="1" x14ac:dyDescent="0.2">
      <c r="A39" s="328"/>
      <c r="B39" s="328" t="s">
        <v>1435</v>
      </c>
      <c r="C39" s="1289" t="s">
        <v>382</v>
      </c>
      <c r="D39" s="1903"/>
      <c r="E39" s="1283"/>
    </row>
    <row r="40" spans="1:6" ht="14.25" customHeight="1" x14ac:dyDescent="0.2">
      <c r="A40" s="328"/>
      <c r="B40" s="328" t="s">
        <v>1436</v>
      </c>
      <c r="C40" s="1289" t="s">
        <v>382</v>
      </c>
      <c r="D40" s="1903"/>
      <c r="E40" s="1283"/>
    </row>
    <row r="41" spans="1:6" ht="14.25" customHeight="1" x14ac:dyDescent="0.2">
      <c r="A41" s="328"/>
      <c r="B41" s="328" t="s">
        <v>1437</v>
      </c>
      <c r="C41" s="1289" t="s">
        <v>382</v>
      </c>
      <c r="D41" s="1903"/>
      <c r="E41" s="1283"/>
    </row>
    <row r="42" spans="1:6" ht="14.25" customHeight="1" x14ac:dyDescent="0.2">
      <c r="A42" s="328" t="s">
        <v>1438</v>
      </c>
      <c r="B42" s="328"/>
      <c r="C42" s="1901" t="s">
        <v>382</v>
      </c>
      <c r="D42" s="1903"/>
      <c r="E42" s="1283"/>
    </row>
    <row r="43" spans="1:6" ht="14.25" customHeight="1" x14ac:dyDescent="0.2">
      <c r="A43" s="328" t="s">
        <v>1439</v>
      </c>
      <c r="B43" s="328"/>
      <c r="C43" s="1290" t="s">
        <v>571</v>
      </c>
      <c r="D43" s="1903"/>
      <c r="E43" s="1283"/>
    </row>
    <row r="44" spans="1:6" ht="14.25" customHeight="1" x14ac:dyDescent="0.2">
      <c r="A44" s="328"/>
      <c r="B44" s="328"/>
      <c r="C44" s="1905" t="s">
        <v>1440</v>
      </c>
      <c r="D44" s="1903"/>
      <c r="E44" s="1283"/>
    </row>
    <row r="45" spans="1:6" ht="13.5" customHeight="1" x14ac:dyDescent="0.2">
      <c r="B45" s="322"/>
      <c r="C45" s="1291"/>
      <c r="D45" s="1291"/>
    </row>
    <row r="46" spans="1:6" x14ac:dyDescent="0.2">
      <c r="A46" s="1292" t="s">
        <v>1729</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98" t="s">
        <v>1589</v>
      </c>
      <c r="C49" s="2498"/>
      <c r="D49" s="2498"/>
      <c r="E49" s="1396"/>
    </row>
    <row r="50" spans="1:5" s="1297" customFormat="1" ht="3.75" customHeight="1" x14ac:dyDescent="0.2">
      <c r="A50" s="1296"/>
      <c r="B50" s="1845"/>
      <c r="C50" s="1845"/>
      <c r="D50" s="1845"/>
      <c r="E50" s="1396"/>
    </row>
    <row r="51" spans="1:5" s="1297" customFormat="1" ht="20.25" customHeight="1" x14ac:dyDescent="0.2">
      <c r="A51" s="1298">
        <v>6</v>
      </c>
      <c r="B51" s="2493" t="s">
        <v>1550</v>
      </c>
      <c r="C51" s="2493"/>
      <c r="D51" s="2493"/>
    </row>
    <row r="52" spans="1:5" ht="14.25" customHeight="1" x14ac:dyDescent="0.2">
      <c r="A52" s="1298"/>
      <c r="B52" s="2493"/>
      <c r="C52" s="2493"/>
      <c r="D52" s="2493"/>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J63"/>
  <sheetViews>
    <sheetView showGridLines="0" zoomScale="110" zoomScaleNormal="110" workbookViewId="0">
      <selection activeCell="B39" sqref="B39"/>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16" t="str">
        <f>'Single Audit Cover'!A7</f>
        <v>Aurora West USD 129</v>
      </c>
      <c r="C1" s="2517"/>
      <c r="D1" s="2517"/>
      <c r="E1" s="2517"/>
      <c r="F1" s="2517"/>
      <c r="G1" s="2517"/>
      <c r="H1" s="2517"/>
      <c r="I1" s="2517"/>
      <c r="J1" s="1406"/>
    </row>
    <row r="2" spans="2:10" s="317" customFormat="1" ht="12.75" customHeight="1" x14ac:dyDescent="0.2">
      <c r="B2" s="2518">
        <f>'Single Audit Cover'!E7</f>
        <v>31045129022</v>
      </c>
      <c r="C2" s="2519"/>
      <c r="D2" s="2519"/>
      <c r="E2" s="2519"/>
      <c r="F2" s="2519"/>
      <c r="G2" s="2519"/>
      <c r="H2" s="2519"/>
      <c r="I2" s="2519"/>
      <c r="J2" s="1406"/>
    </row>
    <row r="3" spans="2:10" s="317" customFormat="1" ht="12.75" customHeight="1" x14ac:dyDescent="0.2">
      <c r="B3" s="2520" t="s">
        <v>1284</v>
      </c>
      <c r="C3" s="2521"/>
      <c r="D3" s="2521"/>
      <c r="E3" s="2521"/>
      <c r="F3" s="2521"/>
      <c r="G3" s="2521"/>
      <c r="H3" s="2521"/>
      <c r="I3" s="2521"/>
      <c r="J3" s="1407"/>
    </row>
    <row r="4" spans="2:10" s="317" customFormat="1" ht="12.75" customHeight="1" x14ac:dyDescent="0.2">
      <c r="B4" s="2520" t="str">
        <f>'Single Audit Cover'!A4</f>
        <v>Year Ending June 30, 2019</v>
      </c>
      <c r="C4" s="2521"/>
      <c r="D4" s="2521"/>
      <c r="E4" s="2521"/>
      <c r="F4" s="2521"/>
      <c r="G4" s="2521"/>
      <c r="H4" s="2521"/>
      <c r="I4" s="2521"/>
    </row>
    <row r="5" spans="2:10" s="317" customFormat="1" ht="6.2" customHeight="1" x14ac:dyDescent="0.2">
      <c r="B5" s="1408" t="s">
        <v>1168</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520" t="s">
        <v>1283</v>
      </c>
      <c r="C7" s="2521"/>
      <c r="D7" s="2521"/>
      <c r="E7" s="2521"/>
      <c r="F7" s="2521"/>
      <c r="G7" s="2521"/>
      <c r="H7" s="2521"/>
      <c r="I7" s="2521"/>
    </row>
    <row r="8" spans="2:10" s="317" customFormat="1" ht="6.2" customHeight="1" x14ac:dyDescent="0.2">
      <c r="B8" s="1410" t="s">
        <v>1168</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1282</v>
      </c>
      <c r="C10" s="1415"/>
      <c r="D10" s="1415"/>
      <c r="E10" s="1255"/>
    </row>
    <row r="11" spans="2:10" s="317" customFormat="1" ht="13.5" customHeight="1" x14ac:dyDescent="0.2">
      <c r="B11" s="1346" t="s">
        <v>1281</v>
      </c>
      <c r="C11" s="2522" t="s">
        <v>2101</v>
      </c>
      <c r="D11" s="2522"/>
      <c r="E11" s="1416"/>
      <c r="F11" s="1416"/>
      <c r="G11" s="1416"/>
    </row>
    <row r="12" spans="2:10" s="317" customFormat="1" ht="11.45" customHeight="1" x14ac:dyDescent="0.2">
      <c r="B12" s="1354"/>
      <c r="C12" s="1417" t="s">
        <v>1441</v>
      </c>
      <c r="D12" s="1418"/>
      <c r="E12" s="1255"/>
    </row>
    <row r="13" spans="2:10" s="317" customFormat="1" ht="12.75" customHeight="1" x14ac:dyDescent="0.2">
      <c r="B13" s="1419"/>
      <c r="C13" s="1384"/>
      <c r="D13" s="1384"/>
      <c r="E13" s="1255"/>
    </row>
    <row r="14" spans="2:10" s="317" customFormat="1" ht="12.75" customHeight="1" x14ac:dyDescent="0.2">
      <c r="B14" s="1365" t="s">
        <v>1280</v>
      </c>
      <c r="C14" s="1279"/>
      <c r="E14" s="1255"/>
    </row>
    <row r="15" spans="2:10" s="317" customFormat="1" ht="13.5" customHeight="1" x14ac:dyDescent="0.2">
      <c r="B15" s="1420" t="s">
        <v>1277</v>
      </c>
      <c r="C15" s="1421"/>
      <c r="D15" s="1395"/>
      <c r="E15" s="1422" t="s">
        <v>2061</v>
      </c>
      <c r="F15" s="1297" t="s">
        <v>884</v>
      </c>
      <c r="G15" s="1422"/>
      <c r="H15" s="1297" t="s">
        <v>1275</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1276</v>
      </c>
      <c r="C17" s="1421"/>
      <c r="D17" s="1395"/>
      <c r="E17" s="1423"/>
      <c r="F17" s="1254"/>
      <c r="G17" s="1423"/>
      <c r="H17" s="1297"/>
      <c r="I17" s="1297"/>
    </row>
    <row r="18" spans="2:9" s="317" customFormat="1" ht="12.75" customHeight="1" x14ac:dyDescent="0.2">
      <c r="B18" s="1420" t="s">
        <v>1442</v>
      </c>
      <c r="C18" s="1421"/>
      <c r="D18" s="1395"/>
      <c r="E18" s="1422" t="s">
        <v>2061</v>
      </c>
      <c r="F18" s="1297" t="s">
        <v>884</v>
      </c>
      <c r="G18" s="1422"/>
      <c r="H18" s="1297" t="s">
        <v>1275</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1590</v>
      </c>
      <c r="C20" s="1421"/>
      <c r="D20" s="1395"/>
      <c r="E20" s="1422"/>
      <c r="F20" s="1297" t="s">
        <v>884</v>
      </c>
      <c r="G20" s="1422" t="s">
        <v>2061</v>
      </c>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1279</v>
      </c>
      <c r="C22" s="1424"/>
      <c r="D22" s="1415"/>
      <c r="E22" s="1380"/>
      <c r="F22" s="1297"/>
      <c r="G22" s="322"/>
      <c r="H22" s="1297"/>
      <c r="I22" s="1297"/>
    </row>
    <row r="23" spans="2:9" s="317" customFormat="1" ht="12.75" customHeight="1" x14ac:dyDescent="0.2">
      <c r="B23" s="1365" t="s">
        <v>1278</v>
      </c>
      <c r="C23" s="1279"/>
      <c r="E23" s="1380"/>
      <c r="F23" s="1297"/>
      <c r="G23" s="322"/>
      <c r="H23" s="1297"/>
      <c r="I23" s="1297"/>
    </row>
    <row r="24" spans="2:9" s="317" customFormat="1" ht="13.5" customHeight="1" x14ac:dyDescent="0.2">
      <c r="B24" s="1420" t="s">
        <v>1277</v>
      </c>
      <c r="C24" s="1421"/>
      <c r="D24" s="1395"/>
      <c r="E24" s="1422"/>
      <c r="F24" s="1297" t="s">
        <v>884</v>
      </c>
      <c r="G24" s="1422" t="s">
        <v>2061</v>
      </c>
      <c r="H24" s="1297" t="s">
        <v>1275</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1276</v>
      </c>
      <c r="C26" s="1421"/>
      <c r="D26" s="1395"/>
      <c r="E26" s="1423"/>
      <c r="F26" s="1254"/>
      <c r="G26" s="1423"/>
      <c r="H26" s="1297"/>
      <c r="I26" s="1297"/>
    </row>
    <row r="27" spans="2:9" s="317" customFormat="1" ht="12.75" customHeight="1" x14ac:dyDescent="0.2">
      <c r="B27" s="1420" t="s">
        <v>1442</v>
      </c>
      <c r="C27" s="1421"/>
      <c r="D27" s="1395"/>
      <c r="E27" s="1422" t="s">
        <v>2061</v>
      </c>
      <c r="F27" s="1297" t="s">
        <v>884</v>
      </c>
      <c r="G27" s="1422"/>
      <c r="H27" s="1297" t="s">
        <v>1275</v>
      </c>
      <c r="I27" s="1297"/>
    </row>
    <row r="28" spans="2:9" s="317" customFormat="1" ht="12.75" customHeight="1" x14ac:dyDescent="0.2">
      <c r="B28" s="1365"/>
      <c r="C28" s="1279"/>
      <c r="E28" s="1255"/>
    </row>
    <row r="29" spans="2:9" s="317" customFormat="1" ht="12.75" customHeight="1" x14ac:dyDescent="0.2">
      <c r="B29" s="1365" t="s">
        <v>1274</v>
      </c>
      <c r="C29" s="1279"/>
      <c r="D29" s="2523" t="s">
        <v>2101</v>
      </c>
      <c r="E29" s="2523"/>
      <c r="F29" s="2523"/>
      <c r="G29" s="2523"/>
      <c r="H29" s="2523"/>
      <c r="I29" s="2523"/>
    </row>
    <row r="30" spans="2:9" s="317" customFormat="1" x14ac:dyDescent="0.2">
      <c r="B30" s="1365"/>
      <c r="C30" s="322"/>
      <c r="D30" s="1417" t="s">
        <v>1744</v>
      </c>
      <c r="E30" s="1418"/>
      <c r="F30" s="1418"/>
      <c r="G30" s="1418"/>
      <c r="H30" s="1418"/>
      <c r="I30" s="1418"/>
    </row>
    <row r="31" spans="2:9" s="317" customFormat="1" ht="9.9499999999999993" customHeight="1" x14ac:dyDescent="0.2">
      <c r="B31" s="1365"/>
      <c r="E31" s="1255"/>
    </row>
    <row r="32" spans="2:9" s="317" customFormat="1" x14ac:dyDescent="0.2">
      <c r="B32" s="1365" t="s">
        <v>1273</v>
      </c>
      <c r="C32" s="1279"/>
      <c r="E32" s="1255"/>
    </row>
    <row r="33" spans="2:9" ht="13.5" customHeight="1" x14ac:dyDescent="0.2">
      <c r="B33" s="1365" t="s">
        <v>1551</v>
      </c>
      <c r="C33" s="1279"/>
      <c r="E33" s="1422" t="s">
        <v>2061</v>
      </c>
      <c r="F33" s="1297" t="s">
        <v>884</v>
      </c>
      <c r="G33" s="1422"/>
      <c r="H33" s="1297" t="s">
        <v>99</v>
      </c>
    </row>
    <row r="35" spans="2:9" x14ac:dyDescent="0.2">
      <c r="B35" s="1425" t="s">
        <v>1745</v>
      </c>
      <c r="C35" s="1426"/>
      <c r="D35" s="1264"/>
    </row>
    <row r="36" spans="2:9" ht="6" customHeight="1" x14ac:dyDescent="0.2">
      <c r="B36" s="1425"/>
      <c r="C36" s="1426"/>
      <c r="D36" s="1264"/>
    </row>
    <row r="37" spans="2:9" ht="17.25" customHeight="1" x14ac:dyDescent="0.2">
      <c r="B37" s="1427" t="s">
        <v>1746</v>
      </c>
      <c r="C37" s="2524" t="s">
        <v>1747</v>
      </c>
      <c r="D37" s="2525"/>
      <c r="E37" s="2525"/>
      <c r="F37" s="2526"/>
      <c r="G37" s="2524" t="s">
        <v>1591</v>
      </c>
      <c r="H37" s="2525"/>
      <c r="I37" s="2526"/>
    </row>
    <row r="38" spans="2:9" ht="16.5" customHeight="1" x14ac:dyDescent="0.2">
      <c r="B38" s="1428" t="s">
        <v>2102</v>
      </c>
      <c r="C38" s="2512" t="s">
        <v>2103</v>
      </c>
      <c r="D38" s="2513"/>
      <c r="E38" s="2513"/>
      <c r="F38" s="2514"/>
      <c r="G38" s="2527">
        <v>5083285</v>
      </c>
      <c r="H38" s="2528"/>
      <c r="I38" s="2529"/>
    </row>
    <row r="39" spans="2:9" ht="16.5" customHeight="1" x14ac:dyDescent="0.2">
      <c r="B39" s="1428" t="s">
        <v>2104</v>
      </c>
      <c r="C39" s="2512" t="s">
        <v>2105</v>
      </c>
      <c r="D39" s="2513"/>
      <c r="E39" s="2513"/>
      <c r="F39" s="2514"/>
      <c r="G39" s="2515">
        <v>3505452</v>
      </c>
      <c r="H39" s="2515"/>
      <c r="I39" s="2515"/>
    </row>
    <row r="40" spans="2:9" ht="16.5" customHeight="1" x14ac:dyDescent="0.2">
      <c r="B40" s="1428"/>
      <c r="C40" s="2512"/>
      <c r="D40" s="2513"/>
      <c r="E40" s="2513"/>
      <c r="F40" s="2514"/>
      <c r="G40" s="2515"/>
      <c r="H40" s="2515"/>
      <c r="I40" s="2515"/>
    </row>
    <row r="41" spans="2:9" ht="16.5" customHeight="1" x14ac:dyDescent="0.2">
      <c r="B41" s="1428"/>
      <c r="C41" s="2512"/>
      <c r="D41" s="2513"/>
      <c r="E41" s="2513"/>
      <c r="F41" s="2514"/>
      <c r="G41" s="2515"/>
      <c r="H41" s="2515"/>
      <c r="I41" s="2515"/>
    </row>
    <row r="42" spans="2:9" ht="16.5" customHeight="1" x14ac:dyDescent="0.2">
      <c r="B42" s="1428"/>
      <c r="C42" s="2512"/>
      <c r="D42" s="2513"/>
      <c r="E42" s="2513"/>
      <c r="F42" s="2514"/>
      <c r="G42" s="2515"/>
      <c r="H42" s="2515"/>
      <c r="I42" s="2515"/>
    </row>
    <row r="43" spans="2:9" ht="16.5" customHeight="1" x14ac:dyDescent="0.2">
      <c r="B43" s="1428"/>
      <c r="C43" s="2505" t="s">
        <v>1592</v>
      </c>
      <c r="D43" s="2506"/>
      <c r="E43" s="2506"/>
      <c r="F43" s="2507"/>
      <c r="G43" s="2508">
        <f>SUM(G38:I42)</f>
        <v>8588737</v>
      </c>
      <c r="H43" s="2508"/>
      <c r="I43" s="2508"/>
    </row>
    <row r="44" spans="2:9" ht="12.75" customHeight="1" x14ac:dyDescent="0.2"/>
    <row r="45" spans="2:9" ht="12.75" customHeight="1" x14ac:dyDescent="0.2">
      <c r="B45" s="1419" t="s">
        <v>2058</v>
      </c>
      <c r="D45" s="2509">
        <f>'SEFA-1A'!G84</f>
        <v>15215510.640000001</v>
      </c>
      <c r="E45" s="2510"/>
    </row>
    <row r="46" spans="2:9" ht="5.25" customHeight="1" x14ac:dyDescent="0.2">
      <c r="B46" s="1429"/>
      <c r="D46" s="1430"/>
      <c r="E46" s="1431"/>
    </row>
    <row r="47" spans="2:9" ht="12.75" customHeight="1" x14ac:dyDescent="0.2">
      <c r="B47" s="1297" t="s">
        <v>1593</v>
      </c>
      <c r="C47" s="1297"/>
      <c r="D47" s="1432">
        <f>+G43/D45</f>
        <v>0.56447247832886405</v>
      </c>
      <c r="E47" s="1433"/>
      <c r="F47" s="1434"/>
      <c r="I47" s="1435"/>
    </row>
    <row r="48" spans="2:9" ht="9.9499999999999993" customHeight="1" x14ac:dyDescent="0.2"/>
    <row r="49" spans="1:9" x14ac:dyDescent="0.2">
      <c r="B49" s="1365" t="s">
        <v>1272</v>
      </c>
      <c r="C49" s="1279"/>
      <c r="D49" s="1279"/>
      <c r="E49" s="2511">
        <v>750000</v>
      </c>
      <c r="F49" s="2511"/>
      <c r="G49" s="2511"/>
      <c r="H49" s="322"/>
    </row>
    <row r="51" spans="1:9" ht="13.5" customHeight="1" x14ac:dyDescent="0.2">
      <c r="B51" s="1365" t="s">
        <v>1271</v>
      </c>
      <c r="C51" s="1279"/>
      <c r="E51" s="1422"/>
      <c r="F51" s="1297" t="s">
        <v>884</v>
      </c>
      <c r="G51" s="1422" t="s">
        <v>2061</v>
      </c>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1748</v>
      </c>
      <c r="C54" s="1444"/>
      <c r="D54" s="1444"/>
    </row>
    <row r="55" spans="1:9" s="1445" customFormat="1" ht="12.75" customHeight="1" x14ac:dyDescent="0.2">
      <c r="A55" s="1442"/>
      <c r="B55" s="1446" t="s">
        <v>1594</v>
      </c>
      <c r="C55" s="1442"/>
      <c r="D55" s="1442"/>
    </row>
    <row r="56" spans="1:9" s="1445" customFormat="1" ht="12.75" customHeight="1" x14ac:dyDescent="0.2">
      <c r="A56" s="1442"/>
      <c r="B56" s="1446" t="s">
        <v>1595</v>
      </c>
      <c r="C56" s="1442"/>
      <c r="D56" s="1442"/>
    </row>
    <row r="57" spans="1:9" s="1445" customFormat="1" ht="3.95" customHeight="1" x14ac:dyDescent="0.2">
      <c r="A57" s="1442"/>
      <c r="B57" s="1446"/>
      <c r="C57" s="1442"/>
      <c r="D57" s="1442"/>
    </row>
    <row r="58" spans="1:9" s="1445" customFormat="1" ht="13.5" customHeight="1" x14ac:dyDescent="0.2">
      <c r="A58" s="1442"/>
      <c r="B58" s="1447" t="s">
        <v>1749</v>
      </c>
      <c r="C58" s="1448"/>
      <c r="D58" s="1448"/>
    </row>
    <row r="59" spans="1:9" s="1445" customFormat="1" ht="3.95" customHeight="1" x14ac:dyDescent="0.2">
      <c r="A59" s="1442"/>
      <c r="B59" s="1447"/>
      <c r="C59" s="1448"/>
      <c r="D59" s="1448"/>
    </row>
    <row r="60" spans="1:9" s="1445" customFormat="1" ht="13.5" customHeight="1" x14ac:dyDescent="0.2">
      <c r="A60" s="1442"/>
      <c r="B60" s="1447" t="s">
        <v>1750</v>
      </c>
      <c r="C60" s="1448"/>
      <c r="D60" s="1448"/>
    </row>
    <row r="61" spans="1:9" s="1445" customFormat="1" ht="3.95" customHeight="1" x14ac:dyDescent="0.2">
      <c r="A61" s="1442"/>
      <c r="B61" s="1447"/>
      <c r="C61" s="1448"/>
      <c r="D61" s="1448"/>
    </row>
    <row r="62" spans="1:9" s="1445" customFormat="1" ht="12.75" customHeight="1" x14ac:dyDescent="0.2">
      <c r="A62" s="1442"/>
      <c r="B62" s="1447" t="s">
        <v>1751</v>
      </c>
      <c r="C62" s="1448"/>
      <c r="D62" s="1448"/>
    </row>
    <row r="63" spans="1:9" s="1445" customFormat="1" ht="13.5" customHeight="1" x14ac:dyDescent="0.2">
      <c r="A63" s="1442"/>
      <c r="B63" s="1446" t="s">
        <v>1596</v>
      </c>
      <c r="C63" s="1442"/>
      <c r="D63" s="1442"/>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M41"/>
  <sheetViews>
    <sheetView showGridLines="0" topLeftCell="B1"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6" t="str">
        <f>'Single Audit Cover'!A7</f>
        <v>Aurora West USD 129</v>
      </c>
      <c r="C1" s="2516"/>
      <c r="D1" s="2516"/>
      <c r="E1" s="2516"/>
      <c r="F1" s="2516"/>
      <c r="G1" s="2516"/>
      <c r="H1" s="2516"/>
      <c r="I1" s="2516"/>
      <c r="J1" s="2516"/>
      <c r="K1" s="2516"/>
      <c r="L1" s="1371"/>
      <c r="M1" s="1371"/>
    </row>
    <row r="2" spans="1:13" ht="12" customHeight="1" x14ac:dyDescent="0.2">
      <c r="B2" s="2518">
        <f>'Single Audit Cover'!E7</f>
        <v>31045129022</v>
      </c>
      <c r="C2" s="2518"/>
      <c r="D2" s="2518"/>
      <c r="E2" s="2518"/>
      <c r="F2" s="2518"/>
      <c r="G2" s="2518"/>
      <c r="H2" s="2518"/>
      <c r="I2" s="2518"/>
      <c r="J2" s="2518"/>
      <c r="K2" s="2518"/>
      <c r="L2" s="1372"/>
      <c r="M2" s="1373"/>
    </row>
    <row r="3" spans="1:13" ht="10.35" customHeight="1" x14ac:dyDescent="0.2">
      <c r="B3" s="2532" t="s">
        <v>1284</v>
      </c>
      <c r="C3" s="2532"/>
      <c r="D3" s="2532"/>
      <c r="E3" s="2532"/>
      <c r="F3" s="2532"/>
      <c r="G3" s="2532"/>
      <c r="H3" s="2532"/>
      <c r="I3" s="2532"/>
      <c r="J3" s="2532"/>
      <c r="K3" s="2532"/>
      <c r="L3" s="1374"/>
      <c r="M3" s="1374"/>
    </row>
    <row r="4" spans="1:13" ht="14.25" customHeight="1" x14ac:dyDescent="0.2">
      <c r="B4" s="2533" t="str">
        <f>'Single Audit Cover'!A4</f>
        <v>Year Ending June 30, 2019</v>
      </c>
      <c r="C4" s="2533"/>
      <c r="D4" s="2533"/>
      <c r="E4" s="2533"/>
      <c r="F4" s="2533"/>
      <c r="G4" s="2533"/>
      <c r="H4" s="2533"/>
      <c r="I4" s="2533"/>
      <c r="J4" s="2533"/>
      <c r="K4" s="2533"/>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533" t="s">
        <v>1295</v>
      </c>
      <c r="C7" s="2533"/>
      <c r="D7" s="2534"/>
      <c r="E7" s="2534"/>
      <c r="F7" s="2534"/>
      <c r="G7" s="2534"/>
      <c r="H7" s="2534"/>
      <c r="I7" s="2534"/>
      <c r="J7" s="2534"/>
      <c r="K7" s="2534"/>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1738</v>
      </c>
      <c r="C10" s="1382" t="s">
        <v>1985</v>
      </c>
      <c r="D10" s="1383">
        <v>1</v>
      </c>
      <c r="E10" s="322"/>
      <c r="F10" s="1384" t="s">
        <v>1294</v>
      </c>
      <c r="G10" s="1385"/>
      <c r="H10" s="1386" t="s">
        <v>1293</v>
      </c>
      <c r="I10" s="1385" t="s">
        <v>2061</v>
      </c>
      <c r="J10" s="1387" t="s">
        <v>1292</v>
      </c>
      <c r="K10" s="322"/>
      <c r="L10" s="1378"/>
    </row>
    <row r="11" spans="1:13" ht="13.5" customHeight="1" x14ac:dyDescent="0.2">
      <c r="B11" s="322"/>
      <c r="C11" s="322"/>
      <c r="D11" s="322"/>
      <c r="E11" s="322"/>
      <c r="F11" s="322"/>
      <c r="G11" s="1380"/>
      <c r="H11" s="322"/>
      <c r="I11" s="1388" t="s">
        <v>1291</v>
      </c>
      <c r="J11" s="322"/>
      <c r="K11" s="1389">
        <v>2006</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531" t="s">
        <v>2106</v>
      </c>
      <c r="C14" s="2531"/>
      <c r="D14" s="2531"/>
      <c r="E14" s="2531"/>
      <c r="F14" s="2531"/>
      <c r="G14" s="2531"/>
      <c r="H14" s="2531"/>
      <c r="I14" s="2531"/>
      <c r="J14" s="2531"/>
      <c r="K14" s="2531"/>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67.5" customHeight="1" x14ac:dyDescent="0.2">
      <c r="B17" s="2531" t="s">
        <v>2107</v>
      </c>
      <c r="C17" s="2531"/>
      <c r="D17" s="2531"/>
      <c r="E17" s="2531"/>
      <c r="F17" s="2531"/>
      <c r="G17" s="2531"/>
      <c r="H17" s="2531"/>
      <c r="I17" s="2531"/>
      <c r="J17" s="2531"/>
      <c r="K17" s="2531"/>
      <c r="L17" s="1378"/>
    </row>
    <row r="18" spans="2:12" ht="4.5" customHeight="1" x14ac:dyDescent="0.2">
      <c r="B18" s="1395"/>
      <c r="C18" s="1395"/>
      <c r="L18" s="1378"/>
    </row>
    <row r="19" spans="2:12" s="1279" customFormat="1" ht="13.5" customHeight="1" x14ac:dyDescent="0.2">
      <c r="B19" s="1390" t="s">
        <v>1739</v>
      </c>
      <c r="C19" s="1390"/>
      <c r="D19" s="1391"/>
      <c r="E19" s="1391"/>
      <c r="F19" s="1391"/>
      <c r="G19" s="1392"/>
      <c r="H19" s="1391"/>
      <c r="I19" s="1392"/>
      <c r="J19" s="1391"/>
      <c r="K19" s="1391"/>
      <c r="L19" s="1393"/>
    </row>
    <row r="20" spans="2:12" ht="55.5" customHeight="1" x14ac:dyDescent="0.2">
      <c r="B20" s="2535" t="s">
        <v>2108</v>
      </c>
      <c r="C20" s="2535"/>
      <c r="D20" s="2531"/>
      <c r="E20" s="2531"/>
      <c r="F20" s="2531"/>
      <c r="G20" s="2531"/>
      <c r="H20" s="2531"/>
      <c r="I20" s="2531"/>
      <c r="J20" s="2531"/>
      <c r="K20" s="2531"/>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531" t="s">
        <v>2109</v>
      </c>
      <c r="C23" s="2531"/>
      <c r="D23" s="2531"/>
      <c r="E23" s="2531"/>
      <c r="F23" s="2531"/>
      <c r="G23" s="2531"/>
      <c r="H23" s="2531"/>
      <c r="I23" s="2531"/>
      <c r="J23" s="2531"/>
      <c r="K23" s="2531"/>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531" t="s">
        <v>2110</v>
      </c>
      <c r="C26" s="2531"/>
      <c r="D26" s="2531"/>
      <c r="E26" s="2531"/>
      <c r="F26" s="2531"/>
      <c r="G26" s="2531"/>
      <c r="H26" s="2531"/>
      <c r="I26" s="2531"/>
      <c r="J26" s="2531"/>
      <c r="K26" s="2531"/>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530" t="s">
        <v>2111</v>
      </c>
      <c r="C29" s="2530"/>
      <c r="D29" s="2531"/>
      <c r="E29" s="2531"/>
      <c r="F29" s="2531"/>
      <c r="G29" s="2531"/>
      <c r="H29" s="2531"/>
      <c r="I29" s="2531"/>
      <c r="J29" s="2531"/>
      <c r="K29" s="2531"/>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1740</v>
      </c>
      <c r="C31" s="1400"/>
      <c r="D31" s="1375"/>
      <c r="E31" s="1376"/>
      <c r="F31" s="1376"/>
      <c r="G31" s="1377"/>
      <c r="H31" s="1376"/>
      <c r="I31" s="1377"/>
      <c r="J31" s="1376"/>
      <c r="K31" s="1376"/>
      <c r="L31" s="1378"/>
    </row>
    <row r="32" spans="2:12" s="322" customFormat="1" ht="44.25" customHeight="1" x14ac:dyDescent="0.2">
      <c r="B32" s="2530" t="s">
        <v>2112</v>
      </c>
      <c r="C32" s="2530"/>
      <c r="D32" s="2531"/>
      <c r="E32" s="2531"/>
      <c r="F32" s="2531"/>
      <c r="G32" s="2531"/>
      <c r="H32" s="2531"/>
      <c r="I32" s="2531"/>
      <c r="J32" s="2531"/>
      <c r="K32" s="2531"/>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1741</v>
      </c>
      <c r="C35" s="1403"/>
      <c r="D35" s="322"/>
      <c r="E35" s="322"/>
      <c r="F35" s="322"/>
      <c r="L35" s="1378"/>
    </row>
    <row r="36" spans="1:13" ht="9.6" customHeight="1" x14ac:dyDescent="0.2">
      <c r="B36" s="1297" t="s">
        <v>1837</v>
      </c>
      <c r="C36" s="1297"/>
      <c r="L36" s="1378"/>
    </row>
    <row r="37" spans="1:13" ht="9.6" customHeight="1" x14ac:dyDescent="0.2">
      <c r="B37" s="1297" t="s">
        <v>1838</v>
      </c>
      <c r="C37" s="1297"/>
    </row>
    <row r="38" spans="1:13" ht="11.85" customHeight="1" x14ac:dyDescent="0.2">
      <c r="B38" s="1404" t="s">
        <v>1742</v>
      </c>
      <c r="C38" s="1404"/>
    </row>
    <row r="39" spans="1:13" ht="9.6" customHeight="1" x14ac:dyDescent="0.2">
      <c r="B39" s="1297" t="s">
        <v>1285</v>
      </c>
      <c r="C39" s="1297"/>
      <c r="M39" s="1405"/>
    </row>
    <row r="40" spans="1:13" ht="12.6" customHeight="1" x14ac:dyDescent="0.2">
      <c r="B40" s="1404" t="s">
        <v>1743</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F4B0-90F3-46FD-8BDA-152935ACFADA}">
  <sheetPr>
    <tabColor rgb="FF92D050"/>
  </sheetPr>
  <dimension ref="A1:M41"/>
  <sheetViews>
    <sheetView showGridLines="0"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6" t="str">
        <f>'Single Audit Cover'!A7</f>
        <v>Aurora West USD 129</v>
      </c>
      <c r="C1" s="2516"/>
      <c r="D1" s="2516"/>
      <c r="E1" s="2516"/>
      <c r="F1" s="2516"/>
      <c r="G1" s="2516"/>
      <c r="H1" s="2516"/>
      <c r="I1" s="2516"/>
      <c r="J1" s="2516"/>
      <c r="K1" s="2516"/>
      <c r="L1" s="1371"/>
      <c r="M1" s="1371"/>
    </row>
    <row r="2" spans="1:13" ht="12" customHeight="1" x14ac:dyDescent="0.2">
      <c r="B2" s="2518">
        <f>'Single Audit Cover'!E7</f>
        <v>31045129022</v>
      </c>
      <c r="C2" s="2518"/>
      <c r="D2" s="2518"/>
      <c r="E2" s="2518"/>
      <c r="F2" s="2518"/>
      <c r="G2" s="2518"/>
      <c r="H2" s="2518"/>
      <c r="I2" s="2518"/>
      <c r="J2" s="2518"/>
      <c r="K2" s="2518"/>
      <c r="L2" s="1372"/>
      <c r="M2" s="1373"/>
    </row>
    <row r="3" spans="1:13" ht="10.35" customHeight="1" x14ac:dyDescent="0.2">
      <c r="B3" s="2532" t="s">
        <v>1284</v>
      </c>
      <c r="C3" s="2532"/>
      <c r="D3" s="2532"/>
      <c r="E3" s="2532"/>
      <c r="F3" s="2532"/>
      <c r="G3" s="2532"/>
      <c r="H3" s="2532"/>
      <c r="I3" s="2532"/>
      <c r="J3" s="2532"/>
      <c r="K3" s="2532"/>
      <c r="L3" s="1942"/>
      <c r="M3" s="1942"/>
    </row>
    <row r="4" spans="1:13" ht="14.25" customHeight="1" x14ac:dyDescent="0.2">
      <c r="B4" s="2533" t="str">
        <f>'Single Audit Cover'!A4</f>
        <v>Year Ending June 30, 2019</v>
      </c>
      <c r="C4" s="2533"/>
      <c r="D4" s="2533"/>
      <c r="E4" s="2533"/>
      <c r="F4" s="2533"/>
      <c r="G4" s="2533"/>
      <c r="H4" s="2533"/>
      <c r="I4" s="2533"/>
      <c r="J4" s="2533"/>
      <c r="K4" s="2533"/>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533" t="s">
        <v>1295</v>
      </c>
      <c r="C7" s="2533"/>
      <c r="D7" s="2534"/>
      <c r="E7" s="2534"/>
      <c r="F7" s="2534"/>
      <c r="G7" s="2534"/>
      <c r="H7" s="2534"/>
      <c r="I7" s="2534"/>
      <c r="J7" s="2534"/>
      <c r="K7" s="2534"/>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1738</v>
      </c>
      <c r="C10" s="1382" t="s">
        <v>1985</v>
      </c>
      <c r="D10" s="1383">
        <v>2</v>
      </c>
      <c r="E10" s="322"/>
      <c r="F10" s="1384" t="s">
        <v>1294</v>
      </c>
      <c r="G10" s="1385"/>
      <c r="H10" s="1386" t="s">
        <v>1293</v>
      </c>
      <c r="I10" s="1385" t="s">
        <v>2061</v>
      </c>
      <c r="J10" s="1387" t="s">
        <v>1292</v>
      </c>
      <c r="K10" s="322"/>
      <c r="L10" s="1378"/>
    </row>
    <row r="11" spans="1:13" ht="13.5" customHeight="1" x14ac:dyDescent="0.2">
      <c r="B11" s="322"/>
      <c r="C11" s="322"/>
      <c r="D11" s="322"/>
      <c r="E11" s="322"/>
      <c r="F11" s="322"/>
      <c r="G11" s="1380"/>
      <c r="H11" s="322"/>
      <c r="I11" s="1388" t="s">
        <v>1291</v>
      </c>
      <c r="J11" s="322"/>
      <c r="K11" s="1389">
        <v>2011</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531" t="s">
        <v>2113</v>
      </c>
      <c r="C14" s="2531"/>
      <c r="D14" s="2531"/>
      <c r="E14" s="2531"/>
      <c r="F14" s="2531"/>
      <c r="G14" s="2531"/>
      <c r="H14" s="2531"/>
      <c r="I14" s="2531"/>
      <c r="J14" s="2531"/>
      <c r="K14" s="2531"/>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45.75" customHeight="1" x14ac:dyDescent="0.2">
      <c r="B17" s="2531" t="s">
        <v>2114</v>
      </c>
      <c r="C17" s="2531"/>
      <c r="D17" s="2531"/>
      <c r="E17" s="2531"/>
      <c r="F17" s="2531"/>
      <c r="G17" s="2531"/>
      <c r="H17" s="2531"/>
      <c r="I17" s="2531"/>
      <c r="J17" s="2531"/>
      <c r="K17" s="2531"/>
      <c r="L17" s="1378"/>
    </row>
    <row r="18" spans="2:12" ht="4.5" customHeight="1" x14ac:dyDescent="0.2">
      <c r="B18" s="1395"/>
      <c r="C18" s="1395"/>
      <c r="L18" s="1378"/>
    </row>
    <row r="19" spans="2:12" s="1279" customFormat="1" ht="13.5" customHeight="1" x14ac:dyDescent="0.2">
      <c r="B19" s="1390" t="s">
        <v>1739</v>
      </c>
      <c r="C19" s="1390"/>
      <c r="D19" s="1391"/>
      <c r="E19" s="1391"/>
      <c r="F19" s="1391"/>
      <c r="G19" s="1392"/>
      <c r="H19" s="1391"/>
      <c r="I19" s="1392"/>
      <c r="J19" s="1391"/>
      <c r="K19" s="1391"/>
      <c r="L19" s="1393"/>
    </row>
    <row r="20" spans="2:12" ht="45.75" customHeight="1" x14ac:dyDescent="0.2">
      <c r="B20" s="2535" t="s">
        <v>2115</v>
      </c>
      <c r="C20" s="2535"/>
      <c r="D20" s="2531"/>
      <c r="E20" s="2531"/>
      <c r="F20" s="2531"/>
      <c r="G20" s="2531"/>
      <c r="H20" s="2531"/>
      <c r="I20" s="2531"/>
      <c r="J20" s="2531"/>
      <c r="K20" s="2531"/>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58.5" customHeight="1" x14ac:dyDescent="0.2">
      <c r="B23" s="2531" t="s">
        <v>2116</v>
      </c>
      <c r="C23" s="2531"/>
      <c r="D23" s="2531"/>
      <c r="E23" s="2531"/>
      <c r="F23" s="2531"/>
      <c r="G23" s="2531"/>
      <c r="H23" s="2531"/>
      <c r="I23" s="2531"/>
      <c r="J23" s="2531"/>
      <c r="K23" s="2531"/>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531" t="s">
        <v>2117</v>
      </c>
      <c r="C26" s="2531"/>
      <c r="D26" s="2531"/>
      <c r="E26" s="2531"/>
      <c r="F26" s="2531"/>
      <c r="G26" s="2531"/>
      <c r="H26" s="2531"/>
      <c r="I26" s="2531"/>
      <c r="J26" s="2531"/>
      <c r="K26" s="2531"/>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530" t="s">
        <v>2118</v>
      </c>
      <c r="C29" s="2530"/>
      <c r="D29" s="2531"/>
      <c r="E29" s="2531"/>
      <c r="F29" s="2531"/>
      <c r="G29" s="2531"/>
      <c r="H29" s="2531"/>
      <c r="I29" s="2531"/>
      <c r="J29" s="2531"/>
      <c r="K29" s="2531"/>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1740</v>
      </c>
      <c r="C31" s="1400"/>
      <c r="D31" s="1375"/>
      <c r="E31" s="1376"/>
      <c r="F31" s="1376"/>
      <c r="G31" s="1377"/>
      <c r="H31" s="1376"/>
      <c r="I31" s="1377"/>
      <c r="J31" s="1376"/>
      <c r="K31" s="1376"/>
      <c r="L31" s="1378"/>
    </row>
    <row r="32" spans="2:12" s="322" customFormat="1" ht="44.25" customHeight="1" x14ac:dyDescent="0.2">
      <c r="B32" s="2530" t="s">
        <v>2119</v>
      </c>
      <c r="C32" s="2530"/>
      <c r="D32" s="2531"/>
      <c r="E32" s="2531"/>
      <c r="F32" s="2531"/>
      <c r="G32" s="2531"/>
      <c r="H32" s="2531"/>
      <c r="I32" s="2531"/>
      <c r="J32" s="2531"/>
      <c r="K32" s="2531"/>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1741</v>
      </c>
      <c r="C35" s="1403"/>
      <c r="D35" s="322"/>
      <c r="E35" s="322"/>
      <c r="F35" s="322"/>
      <c r="L35" s="1378"/>
    </row>
    <row r="36" spans="1:13" ht="9.6" customHeight="1" x14ac:dyDescent="0.2">
      <c r="B36" s="1297" t="s">
        <v>1837</v>
      </c>
      <c r="C36" s="1297"/>
      <c r="L36" s="1378"/>
    </row>
    <row r="37" spans="1:13" ht="9.6" customHeight="1" x14ac:dyDescent="0.2">
      <c r="B37" s="1297" t="s">
        <v>1838</v>
      </c>
      <c r="C37" s="1297"/>
    </row>
    <row r="38" spans="1:13" ht="11.85" customHeight="1" x14ac:dyDescent="0.2">
      <c r="B38" s="1404" t="s">
        <v>1742</v>
      </c>
      <c r="C38" s="1404"/>
    </row>
    <row r="39" spans="1:13" ht="9.6" customHeight="1" x14ac:dyDescent="0.2">
      <c r="B39" s="1297" t="s">
        <v>1285</v>
      </c>
      <c r="C39" s="1297"/>
      <c r="M39" s="1405"/>
    </row>
    <row r="40" spans="1:13" ht="12.6" customHeight="1" x14ac:dyDescent="0.2">
      <c r="B40" s="1404" t="s">
        <v>1743</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A1B7-B8C1-4848-A725-1FBCA53762C9}">
  <sheetPr>
    <tabColor rgb="FF92D050"/>
  </sheetPr>
  <dimension ref="A1:M41"/>
  <sheetViews>
    <sheetView showGridLines="0"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6" t="str">
        <f>'Single Audit Cover'!A7</f>
        <v>Aurora West USD 129</v>
      </c>
      <c r="C1" s="2516"/>
      <c r="D1" s="2516"/>
      <c r="E1" s="2516"/>
      <c r="F1" s="2516"/>
      <c r="G1" s="2516"/>
      <c r="H1" s="2516"/>
      <c r="I1" s="2516"/>
      <c r="J1" s="2516"/>
      <c r="K1" s="2516"/>
      <c r="L1" s="1371"/>
      <c r="M1" s="1371"/>
    </row>
    <row r="2" spans="1:13" ht="12" customHeight="1" x14ac:dyDescent="0.2">
      <c r="B2" s="2518">
        <f>'Single Audit Cover'!E7</f>
        <v>31045129022</v>
      </c>
      <c r="C2" s="2518"/>
      <c r="D2" s="2518"/>
      <c r="E2" s="2518"/>
      <c r="F2" s="2518"/>
      <c r="G2" s="2518"/>
      <c r="H2" s="2518"/>
      <c r="I2" s="2518"/>
      <c r="J2" s="2518"/>
      <c r="K2" s="2518"/>
      <c r="L2" s="1372"/>
      <c r="M2" s="1373"/>
    </row>
    <row r="3" spans="1:13" ht="10.35" customHeight="1" x14ac:dyDescent="0.2">
      <c r="B3" s="2532" t="s">
        <v>1284</v>
      </c>
      <c r="C3" s="2532"/>
      <c r="D3" s="2532"/>
      <c r="E3" s="2532"/>
      <c r="F3" s="2532"/>
      <c r="G3" s="2532"/>
      <c r="H3" s="2532"/>
      <c r="I3" s="2532"/>
      <c r="J3" s="2532"/>
      <c r="K3" s="2532"/>
      <c r="L3" s="1942"/>
      <c r="M3" s="1942"/>
    </row>
    <row r="4" spans="1:13" ht="14.25" customHeight="1" x14ac:dyDescent="0.2">
      <c r="B4" s="2533" t="str">
        <f>'Single Audit Cover'!A4</f>
        <v>Year Ending June 30, 2019</v>
      </c>
      <c r="C4" s="2533"/>
      <c r="D4" s="2533"/>
      <c r="E4" s="2533"/>
      <c r="F4" s="2533"/>
      <c r="G4" s="2533"/>
      <c r="H4" s="2533"/>
      <c r="I4" s="2533"/>
      <c r="J4" s="2533"/>
      <c r="K4" s="2533"/>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533" t="s">
        <v>1295</v>
      </c>
      <c r="C7" s="2533"/>
      <c r="D7" s="2534"/>
      <c r="E7" s="2534"/>
      <c r="F7" s="2534"/>
      <c r="G7" s="2534"/>
      <c r="H7" s="2534"/>
      <c r="I7" s="2534"/>
      <c r="J7" s="2534"/>
      <c r="K7" s="2534"/>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1738</v>
      </c>
      <c r="C10" s="1382" t="s">
        <v>1985</v>
      </c>
      <c r="D10" s="1383">
        <v>3</v>
      </c>
      <c r="E10" s="322"/>
      <c r="F10" s="1384" t="s">
        <v>1294</v>
      </c>
      <c r="G10" s="1385"/>
      <c r="H10" s="1386" t="s">
        <v>1293</v>
      </c>
      <c r="I10" s="1385" t="s">
        <v>2061</v>
      </c>
      <c r="J10" s="1387" t="s">
        <v>1292</v>
      </c>
      <c r="K10" s="322"/>
      <c r="L10" s="1378"/>
    </row>
    <row r="11" spans="1:13" ht="13.5" customHeight="1" x14ac:dyDescent="0.2">
      <c r="B11" s="322"/>
      <c r="C11" s="322"/>
      <c r="D11" s="322"/>
      <c r="E11" s="322"/>
      <c r="F11" s="322"/>
      <c r="G11" s="1380"/>
      <c r="H11" s="322"/>
      <c r="I11" s="1388" t="s">
        <v>1291</v>
      </c>
      <c r="J11" s="322"/>
      <c r="K11" s="1389">
        <v>2012</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531" t="s">
        <v>2120</v>
      </c>
      <c r="C14" s="2531"/>
      <c r="D14" s="2531"/>
      <c r="E14" s="2531"/>
      <c r="F14" s="2531"/>
      <c r="G14" s="2531"/>
      <c r="H14" s="2531"/>
      <c r="I14" s="2531"/>
      <c r="J14" s="2531"/>
      <c r="K14" s="2531"/>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45.75" customHeight="1" x14ac:dyDescent="0.2">
      <c r="B17" s="2531" t="s">
        <v>2121</v>
      </c>
      <c r="C17" s="2531"/>
      <c r="D17" s="2531"/>
      <c r="E17" s="2531"/>
      <c r="F17" s="2531"/>
      <c r="G17" s="2531"/>
      <c r="H17" s="2531"/>
      <c r="I17" s="2531"/>
      <c r="J17" s="2531"/>
      <c r="K17" s="2531"/>
      <c r="L17" s="1378"/>
    </row>
    <row r="18" spans="2:12" ht="4.5" customHeight="1" x14ac:dyDescent="0.2">
      <c r="B18" s="1395"/>
      <c r="C18" s="1395"/>
      <c r="L18" s="1378"/>
    </row>
    <row r="19" spans="2:12" s="1279" customFormat="1" ht="13.5" customHeight="1" x14ac:dyDescent="0.2">
      <c r="B19" s="1390" t="s">
        <v>1739</v>
      </c>
      <c r="C19" s="1390"/>
      <c r="D19" s="1391"/>
      <c r="E19" s="1391"/>
      <c r="F19" s="1391"/>
      <c r="G19" s="1392"/>
      <c r="H19" s="1391"/>
      <c r="I19" s="1392"/>
      <c r="J19" s="1391"/>
      <c r="K19" s="1391"/>
      <c r="L19" s="1393"/>
    </row>
    <row r="20" spans="2:12" ht="67.5" customHeight="1" x14ac:dyDescent="0.2">
      <c r="B20" s="2535" t="s">
        <v>2122</v>
      </c>
      <c r="C20" s="2535"/>
      <c r="D20" s="2531"/>
      <c r="E20" s="2531"/>
      <c r="F20" s="2531"/>
      <c r="G20" s="2531"/>
      <c r="H20" s="2531"/>
      <c r="I20" s="2531"/>
      <c r="J20" s="2531"/>
      <c r="K20" s="2531"/>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531" t="s">
        <v>2123</v>
      </c>
      <c r="C23" s="2531"/>
      <c r="D23" s="2531"/>
      <c r="E23" s="2531"/>
      <c r="F23" s="2531"/>
      <c r="G23" s="2531"/>
      <c r="H23" s="2531"/>
      <c r="I23" s="2531"/>
      <c r="J23" s="2531"/>
      <c r="K23" s="2531"/>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531" t="s">
        <v>2124</v>
      </c>
      <c r="C26" s="2531"/>
      <c r="D26" s="2531"/>
      <c r="E26" s="2531"/>
      <c r="F26" s="2531"/>
      <c r="G26" s="2531"/>
      <c r="H26" s="2531"/>
      <c r="I26" s="2531"/>
      <c r="J26" s="2531"/>
      <c r="K26" s="2531"/>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69" customHeight="1" x14ac:dyDescent="0.2">
      <c r="B29" s="2530" t="s">
        <v>2125</v>
      </c>
      <c r="C29" s="2530"/>
      <c r="D29" s="2531"/>
      <c r="E29" s="2531"/>
      <c r="F29" s="2531"/>
      <c r="G29" s="2531"/>
      <c r="H29" s="2531"/>
      <c r="I29" s="2531"/>
      <c r="J29" s="2531"/>
      <c r="K29" s="2531"/>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1740</v>
      </c>
      <c r="C31" s="1400"/>
      <c r="D31" s="1375"/>
      <c r="E31" s="1376"/>
      <c r="F31" s="1376"/>
      <c r="G31" s="1377"/>
      <c r="H31" s="1376"/>
      <c r="I31" s="1377"/>
      <c r="J31" s="1376"/>
      <c r="K31" s="1376"/>
      <c r="L31" s="1378"/>
    </row>
    <row r="32" spans="2:12" s="322" customFormat="1" ht="44.25" customHeight="1" x14ac:dyDescent="0.2">
      <c r="B32" s="2530" t="s">
        <v>2126</v>
      </c>
      <c r="C32" s="2530"/>
      <c r="D32" s="2531"/>
      <c r="E32" s="2531"/>
      <c r="F32" s="2531"/>
      <c r="G32" s="2531"/>
      <c r="H32" s="2531"/>
      <c r="I32" s="2531"/>
      <c r="J32" s="2531"/>
      <c r="K32" s="2531"/>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1741</v>
      </c>
      <c r="C35" s="1403"/>
      <c r="D35" s="322"/>
      <c r="E35" s="322"/>
      <c r="F35" s="322"/>
      <c r="L35" s="1378"/>
    </row>
    <row r="36" spans="1:13" ht="9.6" customHeight="1" x14ac:dyDescent="0.2">
      <c r="B36" s="1297" t="s">
        <v>1837</v>
      </c>
      <c r="C36" s="1297"/>
      <c r="L36" s="1378"/>
    </row>
    <row r="37" spans="1:13" ht="9.6" customHeight="1" x14ac:dyDescent="0.2">
      <c r="B37" s="1297" t="s">
        <v>1838</v>
      </c>
      <c r="C37" s="1297"/>
    </row>
    <row r="38" spans="1:13" ht="11.85" customHeight="1" x14ac:dyDescent="0.2">
      <c r="B38" s="1404" t="s">
        <v>1742</v>
      </c>
      <c r="C38" s="1404"/>
    </row>
    <row r="39" spans="1:13" ht="9.6" customHeight="1" x14ac:dyDescent="0.2">
      <c r="B39" s="1297" t="s">
        <v>1285</v>
      </c>
      <c r="C39" s="1297"/>
      <c r="M39" s="1405"/>
    </row>
    <row r="40" spans="1:13" ht="12.6" customHeight="1" x14ac:dyDescent="0.2">
      <c r="B40" s="1404" t="s">
        <v>1743</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E154C-4F58-4570-9FB1-5EBE06823D3F}">
  <sheetPr>
    <tabColor rgb="FF92D050"/>
  </sheetPr>
  <dimension ref="A1:M41"/>
  <sheetViews>
    <sheetView showGridLines="0" zoomScale="110" zoomScaleNormal="110" workbookViewId="0">
      <selection activeCell="B30" sqref="B30"/>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6" t="str">
        <f>'Single Audit Cover'!A7</f>
        <v>Aurora West USD 129</v>
      </c>
      <c r="C1" s="2516"/>
      <c r="D1" s="2516"/>
      <c r="E1" s="2516"/>
      <c r="F1" s="2516"/>
      <c r="G1" s="2516"/>
      <c r="H1" s="2516"/>
      <c r="I1" s="2516"/>
      <c r="J1" s="2516"/>
      <c r="K1" s="2516"/>
      <c r="L1" s="1371"/>
      <c r="M1" s="1371"/>
    </row>
    <row r="2" spans="1:13" ht="12" customHeight="1" x14ac:dyDescent="0.2">
      <c r="B2" s="2518">
        <f>'Single Audit Cover'!E7</f>
        <v>31045129022</v>
      </c>
      <c r="C2" s="2518"/>
      <c r="D2" s="2518"/>
      <c r="E2" s="2518"/>
      <c r="F2" s="2518"/>
      <c r="G2" s="2518"/>
      <c r="H2" s="2518"/>
      <c r="I2" s="2518"/>
      <c r="J2" s="2518"/>
      <c r="K2" s="2518"/>
      <c r="L2" s="1372"/>
      <c r="M2" s="1373"/>
    </row>
    <row r="3" spans="1:13" ht="10.35" customHeight="1" x14ac:dyDescent="0.2">
      <c r="B3" s="2532" t="s">
        <v>1284</v>
      </c>
      <c r="C3" s="2532"/>
      <c r="D3" s="2532"/>
      <c r="E3" s="2532"/>
      <c r="F3" s="2532"/>
      <c r="G3" s="2532"/>
      <c r="H3" s="2532"/>
      <c r="I3" s="2532"/>
      <c r="J3" s="2532"/>
      <c r="K3" s="2532"/>
      <c r="L3" s="1942"/>
      <c r="M3" s="1942"/>
    </row>
    <row r="4" spans="1:13" ht="14.25" customHeight="1" x14ac:dyDescent="0.2">
      <c r="B4" s="2533" t="str">
        <f>'Single Audit Cover'!A4</f>
        <v>Year Ending June 30, 2019</v>
      </c>
      <c r="C4" s="2533"/>
      <c r="D4" s="2533"/>
      <c r="E4" s="2533"/>
      <c r="F4" s="2533"/>
      <c r="G4" s="2533"/>
      <c r="H4" s="2533"/>
      <c r="I4" s="2533"/>
      <c r="J4" s="2533"/>
      <c r="K4" s="2533"/>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533" t="s">
        <v>1295</v>
      </c>
      <c r="C7" s="2533"/>
      <c r="D7" s="2534"/>
      <c r="E7" s="2534"/>
      <c r="F7" s="2534"/>
      <c r="G7" s="2534"/>
      <c r="H7" s="2534"/>
      <c r="I7" s="2534"/>
      <c r="J7" s="2534"/>
      <c r="K7" s="2534"/>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1738</v>
      </c>
      <c r="C10" s="1382" t="s">
        <v>1985</v>
      </c>
      <c r="D10" s="1383">
        <v>4</v>
      </c>
      <c r="E10" s="322"/>
      <c r="F10" s="1384" t="s">
        <v>1294</v>
      </c>
      <c r="G10" s="1385"/>
      <c r="H10" s="1386" t="s">
        <v>1293</v>
      </c>
      <c r="I10" s="1385" t="s">
        <v>2061</v>
      </c>
      <c r="J10" s="1387" t="s">
        <v>1292</v>
      </c>
      <c r="K10" s="322"/>
      <c r="L10" s="1378"/>
    </row>
    <row r="11" spans="1:13" ht="13.5" customHeight="1" x14ac:dyDescent="0.2">
      <c r="B11" s="322"/>
      <c r="C11" s="322"/>
      <c r="D11" s="322"/>
      <c r="E11" s="322"/>
      <c r="F11" s="322"/>
      <c r="G11" s="1380"/>
      <c r="H11" s="322"/>
      <c r="I11" s="1388" t="s">
        <v>1291</v>
      </c>
      <c r="J11" s="322"/>
      <c r="K11" s="1389">
        <v>2014</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531" t="s">
        <v>2127</v>
      </c>
      <c r="C14" s="2531"/>
      <c r="D14" s="2531"/>
      <c r="E14" s="2531"/>
      <c r="F14" s="2531"/>
      <c r="G14" s="2531"/>
      <c r="H14" s="2531"/>
      <c r="I14" s="2531"/>
      <c r="J14" s="2531"/>
      <c r="K14" s="2531"/>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45.75" customHeight="1" x14ac:dyDescent="0.2">
      <c r="B17" s="2531" t="s">
        <v>2133</v>
      </c>
      <c r="C17" s="2531"/>
      <c r="D17" s="2531"/>
      <c r="E17" s="2531"/>
      <c r="F17" s="2531"/>
      <c r="G17" s="2531"/>
      <c r="H17" s="2531"/>
      <c r="I17" s="2531"/>
      <c r="J17" s="2531"/>
      <c r="K17" s="2531"/>
      <c r="L17" s="1378"/>
    </row>
    <row r="18" spans="2:12" ht="4.5" customHeight="1" x14ac:dyDescent="0.2">
      <c r="B18" s="1395"/>
      <c r="C18" s="1395"/>
      <c r="L18" s="1378"/>
    </row>
    <row r="19" spans="2:12" s="1279" customFormat="1" ht="13.5" customHeight="1" x14ac:dyDescent="0.2">
      <c r="B19" s="1390" t="s">
        <v>1739</v>
      </c>
      <c r="C19" s="1390"/>
      <c r="D19" s="1391"/>
      <c r="E19" s="1391"/>
      <c r="F19" s="1391"/>
      <c r="G19" s="1392"/>
      <c r="H19" s="1391"/>
      <c r="I19" s="1392"/>
      <c r="J19" s="1391"/>
      <c r="K19" s="1391"/>
      <c r="L19" s="1393"/>
    </row>
    <row r="20" spans="2:12" ht="70.5" customHeight="1" x14ac:dyDescent="0.2">
      <c r="B20" s="2535" t="s">
        <v>2132</v>
      </c>
      <c r="C20" s="2535"/>
      <c r="D20" s="2531"/>
      <c r="E20" s="2531"/>
      <c r="F20" s="2531"/>
      <c r="G20" s="2531"/>
      <c r="H20" s="2531"/>
      <c r="I20" s="2531"/>
      <c r="J20" s="2531"/>
      <c r="K20" s="2531"/>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531" t="s">
        <v>2128</v>
      </c>
      <c r="C23" s="2531"/>
      <c r="D23" s="2531"/>
      <c r="E23" s="2531"/>
      <c r="F23" s="2531"/>
      <c r="G23" s="2531"/>
      <c r="H23" s="2531"/>
      <c r="I23" s="2531"/>
      <c r="J23" s="2531"/>
      <c r="K23" s="2531"/>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531" t="s">
        <v>2129</v>
      </c>
      <c r="C26" s="2531"/>
      <c r="D26" s="2531"/>
      <c r="E26" s="2531"/>
      <c r="F26" s="2531"/>
      <c r="G26" s="2531"/>
      <c r="H26" s="2531"/>
      <c r="I26" s="2531"/>
      <c r="J26" s="2531"/>
      <c r="K26" s="2531"/>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530" t="s">
        <v>2131</v>
      </c>
      <c r="C29" s="2530"/>
      <c r="D29" s="2531"/>
      <c r="E29" s="2531"/>
      <c r="F29" s="2531"/>
      <c r="G29" s="2531"/>
      <c r="H29" s="2531"/>
      <c r="I29" s="2531"/>
      <c r="J29" s="2531"/>
      <c r="K29" s="2531"/>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1740</v>
      </c>
      <c r="C31" s="1400"/>
      <c r="D31" s="1375"/>
      <c r="E31" s="1376"/>
      <c r="F31" s="1376"/>
      <c r="G31" s="1377"/>
      <c r="H31" s="1376"/>
      <c r="I31" s="1377"/>
      <c r="J31" s="1376"/>
      <c r="K31" s="1376"/>
      <c r="L31" s="1378"/>
    </row>
    <row r="32" spans="2:12" s="322" customFormat="1" ht="44.25" customHeight="1" x14ac:dyDescent="0.2">
      <c r="B32" s="2530" t="s">
        <v>2130</v>
      </c>
      <c r="C32" s="2530"/>
      <c r="D32" s="2531"/>
      <c r="E32" s="2531"/>
      <c r="F32" s="2531"/>
      <c r="G32" s="2531"/>
      <c r="H32" s="2531"/>
      <c r="I32" s="2531"/>
      <c r="J32" s="2531"/>
      <c r="K32" s="2531"/>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1741</v>
      </c>
      <c r="C35" s="1403"/>
      <c r="D35" s="322"/>
      <c r="E35" s="322"/>
      <c r="F35" s="322"/>
      <c r="L35" s="1378"/>
    </row>
    <row r="36" spans="1:13" ht="9.6" customHeight="1" x14ac:dyDescent="0.2">
      <c r="B36" s="1297" t="s">
        <v>1837</v>
      </c>
      <c r="C36" s="1297"/>
      <c r="L36" s="1378"/>
    </row>
    <row r="37" spans="1:13" ht="9.6" customHeight="1" x14ac:dyDescent="0.2">
      <c r="B37" s="1297" t="s">
        <v>1838</v>
      </c>
      <c r="C37" s="1297"/>
    </row>
    <row r="38" spans="1:13" ht="11.85" customHeight="1" x14ac:dyDescent="0.2">
      <c r="B38" s="1404" t="s">
        <v>1742</v>
      </c>
      <c r="C38" s="1404"/>
    </row>
    <row r="39" spans="1:13" ht="9.6" customHeight="1" x14ac:dyDescent="0.2">
      <c r="B39" s="1297" t="s">
        <v>1285</v>
      </c>
      <c r="C39" s="1297"/>
      <c r="M39" s="1405"/>
    </row>
    <row r="40" spans="1:13" ht="12.6" customHeight="1" x14ac:dyDescent="0.2">
      <c r="B40" s="1404" t="s">
        <v>1743</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L48"/>
  <sheetViews>
    <sheetView showGridLines="0" zoomScale="110" zoomScaleNormal="110" workbookViewId="0">
      <selection activeCell="N31" sqref="N31"/>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40" t="str">
        <f>'Single Audit Cover'!A7</f>
        <v>Aurora West USD 129</v>
      </c>
      <c r="C1" s="2540"/>
      <c r="D1" s="2540"/>
      <c r="E1" s="2540"/>
      <c r="F1" s="2540"/>
      <c r="G1" s="2540"/>
      <c r="H1" s="2540"/>
      <c r="I1" s="2540"/>
      <c r="J1" s="2540"/>
      <c r="K1" s="2540"/>
      <c r="L1" s="1449"/>
    </row>
    <row r="2" spans="1:12" ht="12.75" customHeight="1" x14ac:dyDescent="0.2">
      <c r="B2" s="2541">
        <f>'Single Audit Cover'!E7</f>
        <v>31045129022</v>
      </c>
      <c r="C2" s="2541"/>
      <c r="D2" s="2541"/>
      <c r="E2" s="2541"/>
      <c r="F2" s="2541"/>
      <c r="G2" s="2541"/>
      <c r="H2" s="2541"/>
      <c r="I2" s="2541"/>
      <c r="J2" s="2541"/>
      <c r="K2" s="2541"/>
      <c r="L2" s="1450"/>
    </row>
    <row r="3" spans="1:12" ht="12.75" customHeight="1" x14ac:dyDescent="0.2">
      <c r="B3" s="2532" t="s">
        <v>1284</v>
      </c>
      <c r="C3" s="2532"/>
      <c r="D3" s="2532"/>
      <c r="E3" s="2532"/>
      <c r="F3" s="2532"/>
      <c r="G3" s="2532"/>
      <c r="H3" s="2532"/>
      <c r="I3" s="2532"/>
      <c r="J3" s="2532"/>
      <c r="K3" s="2532"/>
      <c r="L3" s="1374"/>
    </row>
    <row r="4" spans="1:12" ht="12.75" customHeight="1" x14ac:dyDescent="0.2">
      <c r="B4" s="2532" t="str">
        <f>'Single Audit Cover'!A4</f>
        <v>Year Ending June 30, 2019</v>
      </c>
      <c r="C4" s="2532"/>
      <c r="D4" s="2532"/>
      <c r="E4" s="2532"/>
      <c r="F4" s="2532"/>
      <c r="G4" s="2532"/>
      <c r="H4" s="2532"/>
      <c r="I4" s="2532"/>
      <c r="J4" s="2532"/>
      <c r="K4" s="2532"/>
      <c r="L4" s="1374"/>
    </row>
    <row r="5" spans="1:12" ht="5.25" customHeight="1" x14ac:dyDescent="0.2">
      <c r="B5" s="1257" t="s">
        <v>1168</v>
      </c>
      <c r="C5" s="1257"/>
      <c r="L5" s="322"/>
    </row>
    <row r="6" spans="1:12" ht="30.75" customHeight="1" x14ac:dyDescent="0.2">
      <c r="A6" s="322"/>
      <c r="B6" s="2542" t="s">
        <v>1307</v>
      </c>
      <c r="C6" s="2542"/>
      <c r="D6" s="2542"/>
      <c r="E6" s="2542"/>
      <c r="F6" s="2542"/>
      <c r="G6" s="2542"/>
      <c r="H6" s="2542"/>
      <c r="I6" s="2542"/>
      <c r="J6" s="2542"/>
      <c r="K6" s="2542"/>
      <c r="L6" s="322"/>
    </row>
    <row r="7" spans="1:12" ht="4.5" customHeight="1" x14ac:dyDescent="0.2">
      <c r="B7" s="1376"/>
      <c r="C7" s="1376"/>
      <c r="D7" s="1376"/>
      <c r="E7" s="1376"/>
      <c r="F7" s="1376"/>
      <c r="G7" s="1377"/>
      <c r="H7" s="1376"/>
      <c r="I7" s="1377"/>
      <c r="J7" s="1376"/>
      <c r="K7" s="1376"/>
      <c r="L7" s="322"/>
    </row>
    <row r="8" spans="1:12" ht="13.5" customHeight="1" x14ac:dyDescent="0.2">
      <c r="B8" s="1384" t="s">
        <v>1752</v>
      </c>
      <c r="C8" s="1451" t="s">
        <v>1985</v>
      </c>
      <c r="D8" s="1452">
        <v>5</v>
      </c>
      <c r="E8" s="322"/>
      <c r="F8" s="1381" t="s">
        <v>1294</v>
      </c>
      <c r="G8" s="1453"/>
      <c r="H8" s="1454" t="s">
        <v>1306</v>
      </c>
      <c r="I8" s="1453" t="s">
        <v>2061</v>
      </c>
      <c r="J8" s="1455" t="s">
        <v>1305</v>
      </c>
      <c r="L8" s="322"/>
    </row>
    <row r="9" spans="1:12" ht="13.5" customHeight="1" x14ac:dyDescent="0.2">
      <c r="D9" s="322"/>
      <c r="E9" s="322"/>
      <c r="F9" s="322"/>
      <c r="G9" s="1380"/>
      <c r="H9" s="322"/>
      <c r="I9" s="1456" t="s">
        <v>1291</v>
      </c>
      <c r="J9" s="322"/>
      <c r="K9" s="1457">
        <v>2014</v>
      </c>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1304</v>
      </c>
      <c r="C12" s="1381"/>
      <c r="D12" s="304"/>
      <c r="E12" s="322"/>
      <c r="F12" s="2523" t="s">
        <v>2260</v>
      </c>
      <c r="G12" s="2523"/>
      <c r="H12" s="2523"/>
      <c r="I12" s="2523"/>
      <c r="J12" s="2523"/>
      <c r="K12" s="2523"/>
      <c r="L12" s="322"/>
    </row>
    <row r="13" spans="1:12" ht="9.6" customHeight="1" x14ac:dyDescent="0.2">
      <c r="B13" s="1254"/>
      <c r="C13" s="1254"/>
      <c r="D13" s="304"/>
      <c r="E13" s="322"/>
      <c r="F13" s="322"/>
      <c r="G13" s="1380"/>
      <c r="H13" s="322"/>
      <c r="I13" s="1380"/>
      <c r="J13" s="322"/>
      <c r="K13" s="1416"/>
      <c r="L13" s="322"/>
    </row>
    <row r="14" spans="1:12" ht="46.5" customHeight="1" x14ac:dyDescent="0.2">
      <c r="B14" s="1384" t="s">
        <v>1303</v>
      </c>
      <c r="C14" s="1384"/>
      <c r="D14" s="2536" t="s">
        <v>2261</v>
      </c>
      <c r="E14" s="2536"/>
      <c r="F14" s="2536"/>
      <c r="H14" s="1459" t="s">
        <v>1302</v>
      </c>
      <c r="I14" s="2537" t="s">
        <v>2262</v>
      </c>
      <c r="J14" s="2538"/>
      <c r="K14" s="2538"/>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1301</v>
      </c>
      <c r="C16" s="1384"/>
      <c r="D16" s="2538" t="s">
        <v>2134</v>
      </c>
      <c r="E16" s="2538"/>
      <c r="F16" s="2538"/>
      <c r="G16" s="2538"/>
      <c r="H16" s="2538"/>
      <c r="I16" s="2538"/>
      <c r="J16" s="2538"/>
      <c r="K16" s="2538"/>
      <c r="L16" s="322"/>
    </row>
    <row r="17" spans="2:12" ht="13.5" customHeight="1" x14ac:dyDescent="0.2">
      <c r="B17" s="1384" t="s">
        <v>1300</v>
      </c>
      <c r="C17" s="1384"/>
      <c r="D17" s="2539" t="s">
        <v>2263</v>
      </c>
      <c r="E17" s="2539"/>
      <c r="F17" s="2539"/>
      <c r="G17" s="2539"/>
      <c r="H17" s="2539"/>
      <c r="I17" s="2539"/>
      <c r="J17" s="2539"/>
      <c r="K17" s="2539"/>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1299</v>
      </c>
      <c r="C19" s="1461"/>
      <c r="D19" s="328"/>
      <c r="E19" s="328"/>
      <c r="F19" s="328"/>
      <c r="G19" s="1462"/>
      <c r="H19" s="328"/>
      <c r="I19" s="1462"/>
      <c r="J19" s="322"/>
      <c r="K19" s="322"/>
      <c r="L19" s="322"/>
    </row>
    <row r="20" spans="2:12" ht="35.25" customHeight="1" x14ac:dyDescent="0.2">
      <c r="B20" s="2531" t="s">
        <v>2135</v>
      </c>
      <c r="C20" s="2531"/>
      <c r="D20" s="2531"/>
      <c r="E20" s="2531"/>
      <c r="F20" s="2531"/>
      <c r="G20" s="2531"/>
      <c r="H20" s="2531"/>
      <c r="I20" s="2531"/>
      <c r="J20" s="2531"/>
      <c r="K20" s="2531"/>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1753</v>
      </c>
      <c r="C22" s="1461"/>
      <c r="D22" s="322"/>
      <c r="E22" s="322"/>
      <c r="F22" s="322"/>
      <c r="G22" s="1380"/>
      <c r="H22" s="322"/>
      <c r="I22" s="1380"/>
      <c r="J22" s="322"/>
      <c r="K22" s="322"/>
      <c r="L22" s="322"/>
    </row>
    <row r="23" spans="2:12" ht="37.5" customHeight="1" x14ac:dyDescent="0.2">
      <c r="B23" s="2531" t="s">
        <v>2136</v>
      </c>
      <c r="C23" s="2531"/>
      <c r="D23" s="2531"/>
      <c r="E23" s="2531"/>
      <c r="F23" s="2531"/>
      <c r="G23" s="2531"/>
      <c r="H23" s="2531"/>
      <c r="I23" s="2531"/>
      <c r="J23" s="2531"/>
      <c r="K23" s="2531"/>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1754</v>
      </c>
      <c r="C25" s="1461"/>
      <c r="D25" s="322"/>
      <c r="E25" s="322"/>
      <c r="F25" s="322"/>
      <c r="G25" s="1380"/>
      <c r="H25" s="322"/>
      <c r="I25" s="1380"/>
      <c r="J25" s="322"/>
      <c r="K25" s="322"/>
      <c r="L25" s="322"/>
    </row>
    <row r="26" spans="2:12" ht="37.5" customHeight="1" x14ac:dyDescent="0.2">
      <c r="B26" s="2531" t="s">
        <v>2138</v>
      </c>
      <c r="C26" s="2531"/>
      <c r="D26" s="2531"/>
      <c r="E26" s="2531"/>
      <c r="F26" s="2531"/>
      <c r="G26" s="2531"/>
      <c r="H26" s="2531"/>
      <c r="I26" s="2531"/>
      <c r="J26" s="2531"/>
      <c r="K26" s="2531"/>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1755</v>
      </c>
      <c r="C28" s="1461"/>
      <c r="D28" s="322"/>
      <c r="E28" s="322"/>
      <c r="F28" s="322"/>
      <c r="G28" s="1380"/>
      <c r="H28" s="322"/>
      <c r="I28" s="1380"/>
      <c r="J28" s="322"/>
      <c r="K28" s="322"/>
      <c r="L28" s="322"/>
    </row>
    <row r="29" spans="2:12" ht="37.5" customHeight="1" x14ac:dyDescent="0.2">
      <c r="B29" s="2531" t="s">
        <v>2137</v>
      </c>
      <c r="C29" s="2531"/>
      <c r="D29" s="2531"/>
      <c r="E29" s="2531"/>
      <c r="F29" s="2531"/>
      <c r="G29" s="2531"/>
      <c r="H29" s="2531"/>
      <c r="I29" s="2531"/>
      <c r="J29" s="2531"/>
      <c r="K29" s="2531"/>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1298</v>
      </c>
      <c r="C31" s="1461"/>
      <c r="D31" s="322"/>
      <c r="E31" s="322"/>
      <c r="F31" s="322"/>
      <c r="G31" s="1380"/>
      <c r="H31" s="322"/>
      <c r="I31" s="1380"/>
      <c r="J31" s="322"/>
      <c r="K31" s="322"/>
      <c r="L31" s="322"/>
    </row>
    <row r="32" spans="2:12" ht="37.5" customHeight="1" x14ac:dyDescent="0.2">
      <c r="B32" s="2531" t="s">
        <v>2139</v>
      </c>
      <c r="C32" s="2531"/>
      <c r="D32" s="2531"/>
      <c r="E32" s="2531"/>
      <c r="F32" s="2531"/>
      <c r="G32" s="2531"/>
      <c r="H32" s="2531"/>
      <c r="I32" s="2531"/>
      <c r="J32" s="2531"/>
      <c r="K32" s="2531"/>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1297</v>
      </c>
      <c r="C34" s="1381"/>
      <c r="D34" s="322"/>
      <c r="E34" s="322"/>
      <c r="F34" s="322"/>
      <c r="G34" s="1380"/>
      <c r="H34" s="322"/>
      <c r="I34" s="1380"/>
      <c r="J34" s="322"/>
      <c r="K34" s="322"/>
      <c r="L34" s="322"/>
    </row>
    <row r="35" spans="2:12" ht="37.5" customHeight="1" x14ac:dyDescent="0.2">
      <c r="B35" s="2531" t="s">
        <v>2140</v>
      </c>
      <c r="C35" s="2531"/>
      <c r="D35" s="2531"/>
      <c r="E35" s="2531"/>
      <c r="F35" s="2531"/>
      <c r="G35" s="2531"/>
      <c r="H35" s="2531"/>
      <c r="I35" s="2531"/>
      <c r="J35" s="2531"/>
      <c r="K35" s="2531"/>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1296</v>
      </c>
      <c r="C37" s="1381"/>
      <c r="D37" s="322"/>
      <c r="E37" s="322"/>
      <c r="F37" s="322"/>
      <c r="G37" s="1380"/>
      <c r="H37" s="322"/>
      <c r="I37" s="1380"/>
      <c r="J37" s="322"/>
      <c r="K37" s="322"/>
      <c r="L37" s="322"/>
    </row>
    <row r="38" spans="2:12" ht="35.25" customHeight="1" x14ac:dyDescent="0.2">
      <c r="B38" s="2531" t="s">
        <v>2141</v>
      </c>
      <c r="C38" s="2531"/>
      <c r="D38" s="2531"/>
      <c r="E38" s="2531"/>
      <c r="F38" s="2531"/>
      <c r="G38" s="2531"/>
      <c r="H38" s="2531"/>
      <c r="I38" s="2531"/>
      <c r="J38" s="2531"/>
      <c r="K38" s="2531"/>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1756</v>
      </c>
      <c r="C40" s="1400"/>
      <c r="D40" s="1375"/>
      <c r="E40" s="1376"/>
      <c r="F40" s="1376"/>
      <c r="G40" s="1377"/>
      <c r="H40" s="1376"/>
      <c r="I40" s="1377"/>
      <c r="J40" s="1376"/>
      <c r="K40" s="1376"/>
    </row>
    <row r="41" spans="2:12" s="322" customFormat="1" ht="33.75" customHeight="1" x14ac:dyDescent="0.2">
      <c r="B41" s="2531" t="s">
        <v>2142</v>
      </c>
      <c r="C41" s="2531"/>
      <c r="D41" s="2531"/>
      <c r="E41" s="2531"/>
      <c r="F41" s="2531"/>
      <c r="G41" s="2531"/>
      <c r="H41" s="2531"/>
      <c r="I41" s="2531"/>
      <c r="J41" s="2531"/>
      <c r="K41" s="2531"/>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1757</v>
      </c>
      <c r="C44" s="1403"/>
      <c r="D44" s="322"/>
      <c r="E44" s="322"/>
      <c r="F44" s="322"/>
    </row>
    <row r="45" spans="2:12" ht="10.5" customHeight="1" x14ac:dyDescent="0.2">
      <c r="B45" s="1404" t="s">
        <v>1758</v>
      </c>
      <c r="C45" s="1404"/>
      <c r="G45" s="317"/>
      <c r="I45" s="317"/>
    </row>
    <row r="46" spans="2:12" ht="11.1" customHeight="1" x14ac:dyDescent="0.2">
      <c r="B46" s="1404" t="s">
        <v>1759</v>
      </c>
      <c r="C46" s="1404"/>
      <c r="G46" s="317"/>
      <c r="I46" s="317"/>
    </row>
    <row r="47" spans="2:12" ht="11.1" customHeight="1" x14ac:dyDescent="0.2">
      <c r="B47" s="1404" t="s">
        <v>1760</v>
      </c>
      <c r="C47" s="1404"/>
      <c r="G47" s="317"/>
      <c r="I47" s="317"/>
    </row>
    <row r="48" spans="2:12" ht="11.1" customHeight="1" x14ac:dyDescent="0.2">
      <c r="B48" s="1404" t="s">
        <v>1761</v>
      </c>
      <c r="C48" s="1404"/>
      <c r="G48" s="317"/>
      <c r="I48" s="317"/>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B1:E73"/>
  <sheetViews>
    <sheetView showGridLines="0" zoomScale="110" zoomScaleNormal="110" workbookViewId="0">
      <selection activeCell="D12" sqref="D12"/>
    </sheetView>
  </sheetViews>
  <sheetFormatPr defaultColWidth="9.140625" defaultRowHeight="12.75" x14ac:dyDescent="0.2"/>
  <cols>
    <col min="1" max="1" width="1.5703125" style="317" customWidth="1"/>
    <col min="2" max="2" width="14.7109375" style="317" customWidth="1"/>
    <col min="3" max="3" width="42"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516" t="str">
        <f>'Single Audit Cover'!A7</f>
        <v>Aurora West USD 129</v>
      </c>
      <c r="C1" s="2516"/>
      <c r="D1" s="2516"/>
      <c r="E1" s="1469"/>
    </row>
    <row r="2" spans="2:5" s="1279" customFormat="1" ht="12.75" customHeight="1" x14ac:dyDescent="0.2">
      <c r="B2" s="2518">
        <f>'Single Audit Cover'!E7</f>
        <v>31045129022</v>
      </c>
      <c r="C2" s="2518"/>
      <c r="D2" s="2518"/>
      <c r="E2" s="1470"/>
    </row>
    <row r="3" spans="2:5" ht="12.75" customHeight="1" x14ac:dyDescent="0.2">
      <c r="B3" s="2532" t="s">
        <v>1762</v>
      </c>
      <c r="C3" s="2532"/>
      <c r="D3" s="2532"/>
      <c r="E3" s="1271"/>
    </row>
    <row r="4" spans="2:5" s="1279" customFormat="1" ht="12.75" customHeight="1" x14ac:dyDescent="0.2">
      <c r="B4" s="2543" t="str">
        <f>'Single Audit Cover'!A4</f>
        <v>Year Ending June 30, 2019</v>
      </c>
      <c r="C4" s="2543"/>
      <c r="D4" s="2543"/>
      <c r="E4" s="1471"/>
    </row>
    <row r="5" spans="2:5" s="1279" customFormat="1" ht="40.15" customHeight="1" x14ac:dyDescent="0.2">
      <c r="B5" s="1472" t="s">
        <v>1763</v>
      </c>
      <c r="C5" s="328"/>
      <c r="D5" s="328"/>
      <c r="E5" s="328"/>
    </row>
    <row r="6" spans="2:5" s="1279" customFormat="1" ht="13.5" customHeight="1" x14ac:dyDescent="0.2">
      <c r="B6" s="1473" t="s">
        <v>1314</v>
      </c>
      <c r="C6" s="1473" t="s">
        <v>1313</v>
      </c>
      <c r="D6" s="1473" t="s">
        <v>1764</v>
      </c>
    </row>
    <row r="7" spans="2:5" ht="153" x14ac:dyDescent="0.2">
      <c r="B7" s="1474" t="s">
        <v>2143</v>
      </c>
      <c r="C7" s="1943" t="s">
        <v>2148</v>
      </c>
      <c r="D7" s="1944" t="s">
        <v>2150</v>
      </c>
      <c r="E7" s="324"/>
    </row>
    <row r="8" spans="2:5" ht="51" x14ac:dyDescent="0.2">
      <c r="B8" s="1474" t="s">
        <v>2144</v>
      </c>
      <c r="C8" s="1943" t="s">
        <v>2114</v>
      </c>
      <c r="D8" s="324" t="s">
        <v>2151</v>
      </c>
      <c r="E8" s="324"/>
    </row>
    <row r="9" spans="2:5" ht="25.5" x14ac:dyDescent="0.2">
      <c r="B9" s="1475" t="s">
        <v>2145</v>
      </c>
      <c r="C9" s="1945" t="s">
        <v>2121</v>
      </c>
      <c r="D9" s="323" t="s">
        <v>2152</v>
      </c>
      <c r="E9" s="323"/>
    </row>
    <row r="10" spans="2:5" ht="89.25" x14ac:dyDescent="0.2">
      <c r="B10" s="1474" t="s">
        <v>2146</v>
      </c>
      <c r="C10" s="1946" t="s">
        <v>2149</v>
      </c>
      <c r="D10" s="323" t="s">
        <v>2153</v>
      </c>
      <c r="E10" s="323"/>
    </row>
    <row r="11" spans="2:5" ht="63.75" x14ac:dyDescent="0.2">
      <c r="B11" s="1474" t="s">
        <v>2147</v>
      </c>
      <c r="C11" s="1945" t="s">
        <v>2136</v>
      </c>
      <c r="D11" s="323" t="s">
        <v>2154</v>
      </c>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1312</v>
      </c>
      <c r="C44" s="322"/>
    </row>
    <row r="45" spans="2:5" ht="12.2" customHeight="1" x14ac:dyDescent="0.2">
      <c r="B45" s="1483" t="s">
        <v>1765</v>
      </c>
    </row>
    <row r="46" spans="2:5" ht="12.2" customHeight="1" x14ac:dyDescent="0.2">
      <c r="B46" s="1483" t="s">
        <v>1766</v>
      </c>
    </row>
    <row r="47" spans="2:5" ht="12.2" customHeight="1" x14ac:dyDescent="0.2">
      <c r="B47" s="1484" t="s">
        <v>1311</v>
      </c>
    </row>
    <row r="48" spans="2:5" ht="12.2" customHeight="1" x14ac:dyDescent="0.2">
      <c r="B48" s="1484" t="s">
        <v>1310</v>
      </c>
    </row>
    <row r="49" spans="2:5" ht="12.2" customHeight="1" x14ac:dyDescent="0.2">
      <c r="B49" s="1484" t="s">
        <v>1309</v>
      </c>
    </row>
    <row r="50" spans="2:5" ht="12.2" customHeight="1" x14ac:dyDescent="0.2">
      <c r="B50" s="1484" t="s">
        <v>1308</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2D050"/>
  </sheetPr>
  <dimension ref="A1:N72"/>
  <sheetViews>
    <sheetView showGridLines="0" defaultGridColor="0" colorId="8" zoomScale="110" zoomScaleNormal="110" workbookViewId="0">
      <selection activeCell="H10" sqref="H10"/>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40" t="s">
        <v>385</v>
      </c>
      <c r="B1" s="2140"/>
      <c r="C1" s="2140"/>
      <c r="D1" s="2140"/>
      <c r="E1" s="2140"/>
      <c r="F1" s="2140"/>
      <c r="G1" s="2140"/>
      <c r="H1" s="2140"/>
      <c r="I1" s="2140"/>
      <c r="J1" s="2140"/>
      <c r="K1" s="2140"/>
      <c r="L1" s="2140"/>
      <c r="M1" s="2140"/>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1942</v>
      </c>
      <c r="E7" s="222"/>
      <c r="F7" s="351" t="s">
        <v>271</v>
      </c>
      <c r="G7" s="222"/>
      <c r="H7" s="222"/>
      <c r="I7" s="222"/>
      <c r="J7" s="352">
        <v>1634979156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3.3308160000000003E-2</v>
      </c>
      <c r="E10" s="356" t="s">
        <v>1004</v>
      </c>
      <c r="F10" s="355">
        <v>7.3277999999999998E-3</v>
      </c>
      <c r="G10" s="356" t="s">
        <v>1004</v>
      </c>
      <c r="H10" s="355">
        <v>2.4829700000000001E-3</v>
      </c>
      <c r="I10" s="356" t="s">
        <v>1005</v>
      </c>
      <c r="J10" s="1732">
        <f>ROUND(D10+F10+H10,5)</f>
        <v>4.3119999999999999E-2</v>
      </c>
      <c r="K10" s="222"/>
      <c r="L10" s="355">
        <v>0</v>
      </c>
      <c r="M10" s="222"/>
    </row>
    <row r="11" spans="1:14" ht="7.5" customHeight="1" x14ac:dyDescent="0.2">
      <c r="B11" s="222"/>
      <c r="C11" s="222"/>
      <c r="D11" s="2150" t="str">
        <f>IF(SUM(J10)&lt;=0.0999999,"","Enter the Tax Rates by moving the decimal two places to the left.")</f>
        <v/>
      </c>
      <c r="E11" s="2151"/>
      <c r="F11" s="2151"/>
      <c r="G11" s="2151"/>
      <c r="H11" s="2151"/>
      <c r="I11" s="2151"/>
      <c r="J11" s="215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33">
        <f>SUM('Acct Summary 7-8'!C8,'Acct Summary 7-8'!D8,'Acct Summary 7-8'!F8,'Acct Summary 7-8'!I8)</f>
        <v>166182239</v>
      </c>
      <c r="E16" s="356"/>
      <c r="F16" s="1733">
        <f>SUM('Acct Summary 7-8'!C17,'Acct Summary 7-8'!D17,'Acct Summary 7-8'!F17)</f>
        <v>151853332</v>
      </c>
      <c r="G16" s="356"/>
      <c r="H16" s="1733">
        <f>SUM(D16-F16)</f>
        <v>14328907</v>
      </c>
      <c r="I16" s="222"/>
      <c r="J16" s="1733">
        <f>SUM('Acct Summary 7-8'!C81,'Acct Summary 7-8'!D81,'Acct Summary 7-8'!F81,'Acct Summary 7-8'!I81)</f>
        <v>52018194</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33">
        <f>'Short-Term Long-Term Debt 24'!F4</f>
        <v>0</v>
      </c>
      <c r="E22" s="356" t="s">
        <v>1004</v>
      </c>
      <c r="F22" s="1733">
        <f>'Short-Term Long-Term Debt 24'!F15</f>
        <v>0</v>
      </c>
      <c r="G22" s="356" t="s">
        <v>1004</v>
      </c>
      <c r="H22" s="1733">
        <f>'Short-Term Long-Term Debt 24'!F21</f>
        <v>0</v>
      </c>
      <c r="I22" s="356" t="s">
        <v>1004</v>
      </c>
      <c r="J22" s="1733">
        <f>'Short-Term Long-Term Debt 24'!F23</f>
        <v>0</v>
      </c>
      <c r="K22" s="356" t="s">
        <v>1004</v>
      </c>
      <c r="L22" s="1733">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1005</v>
      </c>
      <c r="F24" s="1734">
        <f>SUM(D22,F22,H22,J22,L22, D24)</f>
        <v>0</v>
      </c>
      <c r="G24" s="222"/>
      <c r="H24" s="222"/>
      <c r="I24" s="222"/>
      <c r="J24" s="222"/>
      <c r="K24" s="222"/>
      <c r="L24" s="222"/>
      <c r="M24" s="222"/>
    </row>
    <row r="25" spans="1:13" ht="11.25" customHeight="1" x14ac:dyDescent="0.2">
      <c r="A25" s="349"/>
      <c r="B25" s="181" t="s">
        <v>9</v>
      </c>
      <c r="C25" s="237" t="s">
        <v>2057</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585</v>
      </c>
      <c r="D31" s="237" t="s">
        <v>1071</v>
      </c>
      <c r="E31" s="222"/>
      <c r="F31" s="222"/>
      <c r="G31" s="363"/>
      <c r="H31" s="1735">
        <f>IF(B31="X",(J7*0.069),IF(B32="X",(J7*0.138),"Enter x in a.or b."))</f>
        <v>225627123.52800003</v>
      </c>
      <c r="I31" s="368"/>
      <c r="J31" s="222"/>
      <c r="K31" s="222"/>
      <c r="L31" s="222"/>
      <c r="M31" s="222"/>
    </row>
    <row r="32" spans="1:13" ht="13.35" customHeight="1" x14ac:dyDescent="0.2">
      <c r="B32" s="369" t="s">
        <v>2061</v>
      </c>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34">
        <f>'Assets-Liab 5-6'!N36</f>
        <v>135458000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141"/>
      <c r="C54" s="2142"/>
      <c r="D54" s="2142"/>
      <c r="E54" s="2142"/>
      <c r="F54" s="2142"/>
      <c r="G54" s="2142"/>
      <c r="H54" s="2142"/>
      <c r="I54" s="2142"/>
      <c r="J54" s="2142"/>
      <c r="K54" s="2142"/>
      <c r="L54" s="2143"/>
      <c r="M54" s="380"/>
    </row>
    <row r="55" spans="1:13" ht="12.75" customHeight="1" x14ac:dyDescent="0.2">
      <c r="B55" s="2144"/>
      <c r="C55" s="2145"/>
      <c r="D55" s="2145"/>
      <c r="E55" s="2145"/>
      <c r="F55" s="2145"/>
      <c r="G55" s="2145"/>
      <c r="H55" s="2145"/>
      <c r="I55" s="2145"/>
      <c r="J55" s="2145"/>
      <c r="K55" s="2145"/>
      <c r="L55" s="2146"/>
      <c r="M55" s="380"/>
    </row>
    <row r="56" spans="1:13" ht="12.75" customHeight="1" x14ac:dyDescent="0.2">
      <c r="B56" s="2144"/>
      <c r="C56" s="2145"/>
      <c r="D56" s="2145"/>
      <c r="E56" s="2145"/>
      <c r="F56" s="2145"/>
      <c r="G56" s="2145"/>
      <c r="H56" s="2145"/>
      <c r="I56" s="2145"/>
      <c r="J56" s="2145"/>
      <c r="K56" s="2145"/>
      <c r="L56" s="2146"/>
      <c r="M56" s="222"/>
    </row>
    <row r="57" spans="1:13" ht="12.75" customHeight="1" x14ac:dyDescent="0.2">
      <c r="B57" s="2144"/>
      <c r="C57" s="2145"/>
      <c r="D57" s="2145"/>
      <c r="E57" s="2145"/>
      <c r="F57" s="2145"/>
      <c r="G57" s="2145"/>
      <c r="H57" s="2145"/>
      <c r="I57" s="2145"/>
      <c r="J57" s="2145"/>
      <c r="K57" s="2145"/>
      <c r="L57" s="2146"/>
      <c r="M57" s="222"/>
    </row>
    <row r="58" spans="1:13" x14ac:dyDescent="0.2">
      <c r="B58" s="2147"/>
      <c r="C58" s="2148"/>
      <c r="D58" s="2148"/>
      <c r="E58" s="2148"/>
      <c r="F58" s="2148"/>
      <c r="G58" s="2148"/>
      <c r="H58" s="2148"/>
      <c r="I58" s="2148"/>
      <c r="J58" s="2148"/>
      <c r="K58" s="2148"/>
      <c r="L58" s="214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52"/>
      <c r="D61" s="215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2D050"/>
  </sheetPr>
  <dimension ref="A1:R44"/>
  <sheetViews>
    <sheetView showGridLines="0" zoomScale="110" zoomScaleNormal="110" workbookViewId="0">
      <selection activeCell="F33" sqref="F33"/>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55"/>
      <c r="B1" s="2156"/>
      <c r="C1" s="2156"/>
      <c r="D1" s="384"/>
      <c r="E1" s="384"/>
      <c r="F1" s="384"/>
      <c r="G1" s="384"/>
      <c r="H1" s="384"/>
      <c r="I1" s="384"/>
      <c r="J1" s="384"/>
      <c r="K1" s="384"/>
      <c r="L1" s="384"/>
      <c r="M1" s="384"/>
      <c r="N1" s="384"/>
      <c r="O1" s="2155"/>
      <c r="P1" s="2156"/>
      <c r="Q1" s="2156"/>
    </row>
    <row r="2" spans="1:18" ht="15" x14ac:dyDescent="0.2">
      <c r="A2" s="2159" t="s">
        <v>555</v>
      </c>
      <c r="B2" s="2159"/>
      <c r="C2" s="2159"/>
      <c r="D2" s="2159"/>
      <c r="E2" s="2159"/>
      <c r="F2" s="2159"/>
      <c r="G2" s="2159"/>
      <c r="H2" s="2159"/>
      <c r="I2" s="2159"/>
      <c r="J2" s="2159"/>
      <c r="K2" s="2159"/>
      <c r="L2" s="2159"/>
      <c r="M2" s="2159"/>
      <c r="N2" s="2159"/>
      <c r="O2" s="2159"/>
      <c r="P2" s="2159"/>
      <c r="Q2" s="2159"/>
      <c r="R2" s="2159"/>
    </row>
    <row r="3" spans="1:18" ht="12.75" x14ac:dyDescent="0.2">
      <c r="A3" s="2160" t="s">
        <v>1412</v>
      </c>
      <c r="B3" s="2160"/>
      <c r="C3" s="2160"/>
      <c r="D3" s="2160"/>
      <c r="E3" s="2160"/>
      <c r="F3" s="2160"/>
      <c r="G3" s="2160"/>
      <c r="H3" s="2160"/>
      <c r="I3" s="2160"/>
      <c r="J3" s="2160"/>
      <c r="K3" s="2160"/>
      <c r="L3" s="2160"/>
      <c r="M3" s="2160"/>
      <c r="N3" s="2160"/>
      <c r="O3" s="2160"/>
      <c r="P3" s="2160"/>
      <c r="Q3" s="2160"/>
      <c r="R3" s="2160"/>
    </row>
    <row r="4" spans="1:18" x14ac:dyDescent="0.2">
      <c r="A4" s="2161" t="s">
        <v>1553</v>
      </c>
      <c r="B4" s="2161"/>
      <c r="C4" s="2161"/>
      <c r="D4" s="2161"/>
      <c r="E4" s="2161"/>
      <c r="F4" s="2161"/>
      <c r="G4" s="2161"/>
      <c r="H4" s="2161"/>
      <c r="I4" s="2161"/>
      <c r="J4" s="2161"/>
      <c r="K4" s="2161"/>
      <c r="L4" s="2161"/>
      <c r="M4" s="2161"/>
      <c r="N4" s="2161"/>
      <c r="O4" s="2161"/>
      <c r="P4" s="2161"/>
      <c r="Q4" s="2161"/>
      <c r="R4" s="216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Aurora West USD 129</v>
      </c>
      <c r="E7" s="391"/>
      <c r="G7" s="252"/>
      <c r="H7" s="387"/>
      <c r="I7" s="387"/>
      <c r="J7" s="387"/>
      <c r="K7" s="387"/>
      <c r="L7" s="329"/>
      <c r="M7" s="329"/>
      <c r="N7" s="329"/>
      <c r="O7" s="329"/>
      <c r="P7" s="329"/>
    </row>
    <row r="8" spans="1:18" ht="12.75" x14ac:dyDescent="0.2">
      <c r="A8" s="329"/>
      <c r="B8" s="329"/>
      <c r="C8" s="389" t="s">
        <v>1124</v>
      </c>
      <c r="D8" s="392">
        <f>COVER!A13</f>
        <v>31045129022</v>
      </c>
      <c r="E8" s="393"/>
      <c r="G8" s="329"/>
      <c r="H8" s="329"/>
      <c r="I8" s="329"/>
      <c r="J8" s="329"/>
      <c r="K8" s="329"/>
      <c r="L8" s="329"/>
      <c r="M8" s="329"/>
      <c r="N8" s="329"/>
      <c r="O8" s="329"/>
      <c r="P8" s="329"/>
    </row>
    <row r="9" spans="1:18" ht="12.75" x14ac:dyDescent="0.2">
      <c r="A9" s="329"/>
      <c r="B9" s="329"/>
      <c r="C9" s="389" t="s">
        <v>712</v>
      </c>
      <c r="D9" s="394" t="str">
        <f>COVER!A15</f>
        <v>Kane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51902659</v>
      </c>
      <c r="I12" s="404"/>
      <c r="J12" s="404"/>
      <c r="K12" s="405">
        <f>TRUNC((H12/H13*100000),5)/100000</f>
        <v>0.31232374349999997</v>
      </c>
      <c r="L12" s="406"/>
      <c r="M12" s="360" t="s">
        <v>1143</v>
      </c>
      <c r="N12" s="360"/>
      <c r="O12" s="407">
        <v>0.35</v>
      </c>
      <c r="P12" s="218"/>
      <c r="Q12" s="218"/>
    </row>
    <row r="13" spans="1:18" s="408" customFormat="1" ht="12.75" x14ac:dyDescent="0.2">
      <c r="A13" s="218"/>
      <c r="B13" s="401"/>
      <c r="C13" s="2157" t="s">
        <v>1323</v>
      </c>
      <c r="D13" s="2158"/>
      <c r="E13" s="218"/>
      <c r="F13" s="409" t="s">
        <v>792</v>
      </c>
      <c r="G13" s="402"/>
      <c r="H13" s="403">
        <f>SUM('Acct Summary 7-8'!C8+'Acct Summary 7-8'!D8+'Acct Summary 7-8'!F8+'Acct Summary 7-8'!I8)+H14</f>
        <v>166182239</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151853332</v>
      </c>
      <c r="I17" s="404"/>
      <c r="J17" s="416"/>
      <c r="K17" s="405">
        <f>TRUNC((H17/H18*100000),5)/100000</f>
        <v>0.91377594200000012</v>
      </c>
      <c r="L17" s="406"/>
      <c r="M17" s="417" t="s">
        <v>1170</v>
      </c>
      <c r="O17" s="418" t="str">
        <f>IF(AND(O16="2", J20 &gt; 2),"1",IF(AND(O16 = "1", J20 &gt; 2),"2",IF(AND(O16="1", J20 &gt;1),"1","0")))</f>
        <v>0</v>
      </c>
      <c r="P17" s="218"/>
    </row>
    <row r="18" spans="1:18" s="408" customFormat="1" ht="11.25" x14ac:dyDescent="0.2">
      <c r="A18" s="218"/>
      <c r="B18" s="401"/>
      <c r="C18" s="2157" t="s">
        <v>1316</v>
      </c>
      <c r="D18" s="2158"/>
      <c r="E18" s="218"/>
      <c r="F18" s="419" t="s">
        <v>793</v>
      </c>
      <c r="G18" s="402"/>
      <c r="H18" s="403">
        <f>SUM('Acct Summary 7-8'!C8+'Acct Summary 7-8'!D8+'Acct Summary 7-8'!F8+'Acct Summary 7-8'!I8)+H19</f>
        <v>166182239</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3</v>
      </c>
      <c r="P23" s="216"/>
      <c r="R23" s="384"/>
    </row>
    <row r="24" spans="1:18" s="408" customFormat="1" ht="11.25" x14ac:dyDescent="0.2">
      <c r="A24" s="218"/>
      <c r="B24" s="401"/>
      <c r="C24" s="2154" t="s">
        <v>1411</v>
      </c>
      <c r="D24" s="2154"/>
      <c r="E24" s="218"/>
      <c r="F24" s="218" t="s">
        <v>444</v>
      </c>
      <c r="G24" s="402"/>
      <c r="H24" s="403">
        <f>SUM('Assets-Liab 5-6'!C4+'Assets-Liab 5-6'!D4+'Assets-Liab 5-6'!F4+'Assets-Liab 5-6'!I4+'Assets-Liab 5-6'!C5+'Assets-Liab 5-6'!D5+'Assets-Liab 5-6'!F5+'Assets-Liab 5-6'!I5)</f>
        <v>52847713</v>
      </c>
      <c r="I24" s="422"/>
      <c r="J24" s="422"/>
      <c r="K24" s="423">
        <f>TRUNC(((H24/H25*100000)/100000),2)</f>
        <v>125.28</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421814.81111000001</v>
      </c>
      <c r="I25" s="425"/>
      <c r="J25" s="425"/>
      <c r="K25" s="410"/>
      <c r="L25" s="218"/>
      <c r="M25" s="360" t="s">
        <v>1144</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1926</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59925256.025710002</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2</v>
      </c>
      <c r="P31" s="216"/>
    </row>
    <row r="32" spans="1:18" s="408" customFormat="1" ht="11.25" x14ac:dyDescent="0.2">
      <c r="A32" s="218"/>
      <c r="B32" s="401"/>
      <c r="C32" s="218" t="s">
        <v>846</v>
      </c>
      <c r="D32" s="218"/>
      <c r="E32" s="218"/>
      <c r="F32" s="218"/>
      <c r="G32" s="402"/>
      <c r="H32" s="403">
        <f>'FP Info 3'!H37</f>
        <v>135458000</v>
      </c>
      <c r="I32" s="420"/>
      <c r="J32" s="420"/>
      <c r="K32" s="423">
        <f>TRUNC(100-((((H32/H33*100))*100)/100),2)</f>
        <v>39.96</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225627123.52800003</v>
      </c>
      <c r="I33" s="420"/>
      <c r="J33" s="420"/>
      <c r="K33" s="403"/>
      <c r="L33" s="218"/>
      <c r="M33" s="435" t="s">
        <v>1144</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3.6999999999999997</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sheetPr>
  <dimension ref="A1:N44"/>
  <sheetViews>
    <sheetView showGridLines="0" defaultGridColor="0" colorId="8" zoomScale="110" zoomScaleNormal="110" workbookViewId="0">
      <pane ySplit="2" topLeftCell="A15" activePane="bottomLeft" state="frozen"/>
      <selection activeCell="H14" sqref="H14"/>
      <selection pane="bottomLeft" activeCell="N21" sqref="N2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62"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63"/>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64" t="s">
        <v>972</v>
      </c>
      <c r="B3" s="2165"/>
      <c r="C3" s="1559"/>
      <c r="D3" s="1560"/>
      <c r="E3" s="1560"/>
      <c r="F3" s="1560"/>
      <c r="G3" s="1560"/>
      <c r="H3" s="1560"/>
      <c r="I3" s="1560"/>
      <c r="J3" s="1560"/>
      <c r="K3" s="1560"/>
      <c r="L3" s="1560"/>
      <c r="M3" s="1561"/>
      <c r="N3" s="1562"/>
    </row>
    <row r="4" spans="1:14" ht="13.5" customHeight="1" x14ac:dyDescent="0.2">
      <c r="A4" s="463" t="s">
        <v>1650</v>
      </c>
      <c r="B4" s="464"/>
      <c r="C4" s="465">
        <v>4001119</v>
      </c>
      <c r="D4" s="466">
        <v>759197</v>
      </c>
      <c r="E4" s="466">
        <v>1806788</v>
      </c>
      <c r="F4" s="466">
        <v>464026</v>
      </c>
      <c r="G4" s="466">
        <v>836341</v>
      </c>
      <c r="H4" s="466">
        <v>5118591</v>
      </c>
      <c r="I4" s="466"/>
      <c r="J4" s="467"/>
      <c r="K4" s="466"/>
      <c r="L4" s="466">
        <v>712729</v>
      </c>
      <c r="M4" s="468"/>
      <c r="N4" s="469"/>
    </row>
    <row r="5" spans="1:14" x14ac:dyDescent="0.2">
      <c r="A5" s="463" t="s">
        <v>991</v>
      </c>
      <c r="B5" s="470">
        <v>120</v>
      </c>
      <c r="C5" s="465">
        <v>30778123</v>
      </c>
      <c r="D5" s="466">
        <v>1188547</v>
      </c>
      <c r="E5" s="466">
        <v>6969861</v>
      </c>
      <c r="F5" s="466">
        <v>1403657</v>
      </c>
      <c r="G5" s="466"/>
      <c r="H5" s="466"/>
      <c r="I5" s="466">
        <v>14253044</v>
      </c>
      <c r="J5" s="467">
        <v>152287</v>
      </c>
      <c r="K5" s="471">
        <v>14904</v>
      </c>
      <c r="L5" s="472">
        <v>1185546</v>
      </c>
      <c r="M5" s="468"/>
      <c r="N5" s="469"/>
    </row>
    <row r="6" spans="1:14" ht="13.5" customHeight="1" x14ac:dyDescent="0.2">
      <c r="A6" s="473" t="s">
        <v>416</v>
      </c>
      <c r="B6" s="470">
        <v>130</v>
      </c>
      <c r="C6" s="465">
        <v>34861998</v>
      </c>
      <c r="D6" s="466">
        <v>6836796</v>
      </c>
      <c r="E6" s="466">
        <v>8039874</v>
      </c>
      <c r="F6" s="466">
        <v>2316597</v>
      </c>
      <c r="G6" s="471">
        <v>2339204</v>
      </c>
      <c r="H6" s="471"/>
      <c r="I6" s="466"/>
      <c r="J6" s="474"/>
      <c r="K6" s="471"/>
      <c r="L6" s="475"/>
      <c r="M6" s="468"/>
      <c r="N6" s="469"/>
    </row>
    <row r="7" spans="1:14" ht="13.5" customHeight="1" x14ac:dyDescent="0.2">
      <c r="A7" s="473" t="s">
        <v>417</v>
      </c>
      <c r="B7" s="470">
        <v>140</v>
      </c>
      <c r="C7" s="476"/>
      <c r="D7" s="467"/>
      <c r="E7" s="467"/>
      <c r="F7" s="467"/>
      <c r="G7" s="467"/>
      <c r="H7" s="467"/>
      <c r="I7" s="467"/>
      <c r="J7" s="467"/>
      <c r="K7" s="467"/>
      <c r="L7" s="477"/>
      <c r="M7" s="468"/>
      <c r="N7" s="469"/>
    </row>
    <row r="8" spans="1:14" ht="13.5" customHeight="1" x14ac:dyDescent="0.2">
      <c r="A8" s="473" t="s">
        <v>268</v>
      </c>
      <c r="B8" s="470">
        <v>150</v>
      </c>
      <c r="C8" s="476">
        <v>7950036</v>
      </c>
      <c r="D8" s="467">
        <v>676489</v>
      </c>
      <c r="E8" s="467"/>
      <c r="F8" s="467">
        <v>5512321</v>
      </c>
      <c r="G8" s="478"/>
      <c r="H8" s="467"/>
      <c r="I8" s="474"/>
      <c r="J8" s="474"/>
      <c r="K8" s="479"/>
      <c r="L8" s="480"/>
      <c r="M8" s="468"/>
      <c r="N8" s="469"/>
    </row>
    <row r="9" spans="1:14" ht="13.5" customHeight="1" x14ac:dyDescent="0.2">
      <c r="A9" s="473" t="s">
        <v>269</v>
      </c>
      <c r="B9" s="470">
        <v>160</v>
      </c>
      <c r="C9" s="476"/>
      <c r="D9" s="467"/>
      <c r="E9" s="467"/>
      <c r="F9" s="467"/>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c r="D11" s="467"/>
      <c r="E11" s="467"/>
      <c r="F11" s="467"/>
      <c r="G11" s="467"/>
      <c r="H11" s="467"/>
      <c r="I11" s="478"/>
      <c r="J11" s="478"/>
      <c r="K11" s="467"/>
      <c r="L11" s="467"/>
      <c r="M11" s="469"/>
      <c r="N11" s="469"/>
    </row>
    <row r="12" spans="1:14" ht="13.5" customHeight="1" x14ac:dyDescent="0.2">
      <c r="A12" s="473" t="s">
        <v>418</v>
      </c>
      <c r="B12" s="470">
        <v>190</v>
      </c>
      <c r="C12" s="465"/>
      <c r="D12" s="466"/>
      <c r="E12" s="466"/>
      <c r="F12" s="466"/>
      <c r="G12" s="466"/>
      <c r="H12" s="466"/>
      <c r="I12" s="466"/>
      <c r="J12" s="467"/>
      <c r="K12" s="466"/>
      <c r="L12" s="466"/>
      <c r="M12" s="469"/>
      <c r="N12" s="469"/>
    </row>
    <row r="13" spans="1:14" ht="13.5" customHeight="1" thickBot="1" x14ac:dyDescent="0.25">
      <c r="A13" s="1736" t="s">
        <v>643</v>
      </c>
      <c r="B13" s="1709"/>
      <c r="C13" s="1737">
        <f>SUM(C4:C12)</f>
        <v>77591276</v>
      </c>
      <c r="D13" s="1737">
        <f t="shared" ref="D13:L13" si="0">SUM(D4:D12)</f>
        <v>9461029</v>
      </c>
      <c r="E13" s="1737">
        <f t="shared" si="0"/>
        <v>16816523</v>
      </c>
      <c r="F13" s="1737">
        <f t="shared" si="0"/>
        <v>9696601</v>
      </c>
      <c r="G13" s="1737">
        <f t="shared" si="0"/>
        <v>3175545</v>
      </c>
      <c r="H13" s="1737">
        <f t="shared" si="0"/>
        <v>5118591</v>
      </c>
      <c r="I13" s="1737">
        <f t="shared" si="0"/>
        <v>14253044</v>
      </c>
      <c r="J13" s="1737">
        <f t="shared" si="0"/>
        <v>152287</v>
      </c>
      <c r="K13" s="1737">
        <f t="shared" si="0"/>
        <v>14904</v>
      </c>
      <c r="L13" s="1737">
        <f t="shared" si="0"/>
        <v>1898275</v>
      </c>
      <c r="M13" s="468"/>
      <c r="N13" s="469"/>
    </row>
    <row r="14" spans="1:14" ht="18" customHeight="1" thickTop="1" x14ac:dyDescent="0.2">
      <c r="A14" s="2166" t="s">
        <v>147</v>
      </c>
      <c r="B14" s="2167"/>
      <c r="C14" s="1563"/>
      <c r="D14" s="1564"/>
      <c r="E14" s="1564"/>
      <c r="F14" s="1564"/>
      <c r="G14" s="1564"/>
      <c r="H14" s="1564"/>
      <c r="I14" s="1564"/>
      <c r="J14" s="1564"/>
      <c r="K14" s="1564"/>
      <c r="L14" s="1564"/>
      <c r="M14" s="1565"/>
      <c r="N14" s="1566"/>
    </row>
    <row r="15" spans="1:14" s="485" customFormat="1" ht="12.75" customHeight="1" x14ac:dyDescent="0.2">
      <c r="A15" s="482" t="s">
        <v>1400</v>
      </c>
      <c r="B15" s="483">
        <v>210</v>
      </c>
      <c r="C15" s="477"/>
      <c r="D15" s="477"/>
      <c r="E15" s="477"/>
      <c r="F15" s="477"/>
      <c r="G15" s="477"/>
      <c r="H15" s="477"/>
      <c r="I15" s="477"/>
      <c r="J15" s="477"/>
      <c r="K15" s="477"/>
      <c r="L15" s="477"/>
      <c r="M15" s="478"/>
      <c r="N15" s="484"/>
    </row>
    <row r="16" spans="1:14" s="485" customFormat="1" ht="12.75" customHeight="1" x14ac:dyDescent="0.2">
      <c r="A16" s="482" t="s">
        <v>1401</v>
      </c>
      <c r="B16" s="483">
        <v>220</v>
      </c>
      <c r="C16" s="477"/>
      <c r="D16" s="477"/>
      <c r="E16" s="477"/>
      <c r="F16" s="477"/>
      <c r="G16" s="477"/>
      <c r="H16" s="477"/>
      <c r="I16" s="477"/>
      <c r="J16" s="477"/>
      <c r="K16" s="477"/>
      <c r="L16" s="477"/>
      <c r="M16" s="467">
        <v>11292685</v>
      </c>
      <c r="N16" s="484"/>
    </row>
    <row r="17" spans="1:14" s="485" customFormat="1" ht="12.75" customHeight="1" x14ac:dyDescent="0.2">
      <c r="A17" s="482" t="s">
        <v>1402</v>
      </c>
      <c r="B17" s="483">
        <v>230</v>
      </c>
      <c r="C17" s="477"/>
      <c r="D17" s="477"/>
      <c r="E17" s="477"/>
      <c r="F17" s="477"/>
      <c r="G17" s="477"/>
      <c r="H17" s="477"/>
      <c r="I17" s="477"/>
      <c r="J17" s="477"/>
      <c r="K17" s="477"/>
      <c r="L17" s="477"/>
      <c r="M17" s="467">
        <v>166747400</v>
      </c>
      <c r="N17" s="484"/>
    </row>
    <row r="18" spans="1:14" s="485" customFormat="1" ht="12.75" customHeight="1" x14ac:dyDescent="0.2">
      <c r="A18" s="482" t="s">
        <v>1403</v>
      </c>
      <c r="B18" s="483">
        <v>240</v>
      </c>
      <c r="C18" s="477"/>
      <c r="D18" s="477"/>
      <c r="E18" s="477"/>
      <c r="F18" s="477"/>
      <c r="G18" s="477"/>
      <c r="H18" s="477"/>
      <c r="I18" s="477"/>
      <c r="J18" s="477"/>
      <c r="K18" s="477"/>
      <c r="L18" s="477"/>
      <c r="M18" s="467">
        <v>23690970</v>
      </c>
      <c r="N18" s="484"/>
    </row>
    <row r="19" spans="1:14" s="485" customFormat="1" ht="12.75" customHeight="1" x14ac:dyDescent="0.2">
      <c r="A19" s="482" t="s">
        <v>1404</v>
      </c>
      <c r="B19" s="483">
        <v>250</v>
      </c>
      <c r="C19" s="477"/>
      <c r="D19" s="477"/>
      <c r="E19" s="477"/>
      <c r="F19" s="477"/>
      <c r="G19" s="477"/>
      <c r="H19" s="477"/>
      <c r="I19" s="477"/>
      <c r="J19" s="477"/>
      <c r="K19" s="477"/>
      <c r="L19" s="477"/>
      <c r="M19" s="467">
        <v>17534911</v>
      </c>
      <c r="N19" s="484"/>
    </row>
    <row r="20" spans="1:14" s="485" customFormat="1" ht="12.75" customHeight="1" x14ac:dyDescent="0.2">
      <c r="A20" s="482" t="s">
        <v>1405</v>
      </c>
      <c r="B20" s="483">
        <v>260</v>
      </c>
      <c r="C20" s="477"/>
      <c r="D20" s="477"/>
      <c r="E20" s="477"/>
      <c r="F20" s="477"/>
      <c r="G20" s="477"/>
      <c r="H20" s="477"/>
      <c r="I20" s="477"/>
      <c r="J20" s="477"/>
      <c r="K20" s="477"/>
      <c r="L20" s="477"/>
      <c r="M20" s="467">
        <v>16425151</v>
      </c>
      <c r="N20" s="484"/>
    </row>
    <row r="21" spans="1:14" s="485" customFormat="1" ht="12.75" customHeight="1" x14ac:dyDescent="0.2">
      <c r="A21" s="482" t="s">
        <v>1406</v>
      </c>
      <c r="B21" s="483">
        <v>340</v>
      </c>
      <c r="C21" s="477"/>
      <c r="D21" s="477"/>
      <c r="E21" s="477"/>
      <c r="F21" s="477"/>
      <c r="G21" s="477"/>
      <c r="H21" s="477"/>
      <c r="I21" s="477"/>
      <c r="J21" s="477"/>
      <c r="K21" s="477"/>
      <c r="L21" s="477"/>
      <c r="M21" s="486"/>
      <c r="N21" s="467">
        <f>E38</f>
        <v>9842432</v>
      </c>
    </row>
    <row r="22" spans="1:14" s="485" customFormat="1" ht="12.75" customHeight="1" x14ac:dyDescent="0.2">
      <c r="A22" s="482" t="s">
        <v>1407</v>
      </c>
      <c r="B22" s="483">
        <v>350</v>
      </c>
      <c r="C22" s="477"/>
      <c r="D22" s="477"/>
      <c r="E22" s="477"/>
      <c r="F22" s="477"/>
      <c r="G22" s="477"/>
      <c r="H22" s="477"/>
      <c r="I22" s="477"/>
      <c r="J22" s="477"/>
      <c r="K22" s="477"/>
      <c r="L22" s="477"/>
      <c r="M22" s="486"/>
      <c r="N22" s="487">
        <f>'Short-Term Long-Term Debt 24'!J49</f>
        <v>125615568</v>
      </c>
    </row>
    <row r="23" spans="1:14" ht="13.5" customHeight="1" thickBot="1" x14ac:dyDescent="0.25">
      <c r="A23" s="1736" t="s">
        <v>642</v>
      </c>
      <c r="B23" s="1741"/>
      <c r="C23" s="468"/>
      <c r="D23" s="468"/>
      <c r="E23" s="468"/>
      <c r="F23" s="468"/>
      <c r="G23" s="468"/>
      <c r="H23" s="468"/>
      <c r="I23" s="468"/>
      <c r="J23" s="468"/>
      <c r="K23" s="468"/>
      <c r="L23" s="468"/>
      <c r="M23" s="1688">
        <f>SUM(M15:M22)</f>
        <v>235691117</v>
      </c>
      <c r="N23" s="1688">
        <f>SUM(N21:N22)</f>
        <v>135458000</v>
      </c>
    </row>
    <row r="24" spans="1:14" ht="18" customHeight="1" thickTop="1" x14ac:dyDescent="0.2">
      <c r="A24" s="2168" t="s">
        <v>597</v>
      </c>
      <c r="B24" s="2169"/>
      <c r="C24" s="1568"/>
      <c r="D24" s="1565"/>
      <c r="E24" s="1565"/>
      <c r="F24" s="1565"/>
      <c r="G24" s="1565"/>
      <c r="H24" s="1565"/>
      <c r="I24" s="1565"/>
      <c r="J24" s="1565"/>
      <c r="K24" s="1565"/>
      <c r="L24" s="1565"/>
      <c r="M24" s="1564"/>
      <c r="N24" s="1569"/>
    </row>
    <row r="25" spans="1:14" x14ac:dyDescent="0.2">
      <c r="A25" s="473" t="s">
        <v>644</v>
      </c>
      <c r="B25" s="470">
        <v>410</v>
      </c>
      <c r="C25" s="478"/>
      <c r="D25" s="478"/>
      <c r="E25" s="478"/>
      <c r="F25" s="478"/>
      <c r="G25" s="478"/>
      <c r="H25" s="479"/>
      <c r="I25" s="468"/>
      <c r="J25" s="478"/>
      <c r="K25" s="478"/>
      <c r="L25" s="468"/>
      <c r="M25" s="468"/>
      <c r="N25" s="468"/>
    </row>
    <row r="26" spans="1:14" x14ac:dyDescent="0.2">
      <c r="A26" s="473" t="s">
        <v>645</v>
      </c>
      <c r="B26" s="470">
        <v>420</v>
      </c>
      <c r="C26" s="467">
        <v>1179406</v>
      </c>
      <c r="D26" s="467">
        <v>909992</v>
      </c>
      <c r="E26" s="467"/>
      <c r="F26" s="467">
        <v>109181</v>
      </c>
      <c r="G26" s="467"/>
      <c r="H26" s="467">
        <v>401938</v>
      </c>
      <c r="I26" s="467"/>
      <c r="J26" s="474">
        <v>364</v>
      </c>
      <c r="K26" s="467"/>
      <c r="L26" s="468"/>
      <c r="M26" s="468"/>
      <c r="N26" s="468"/>
    </row>
    <row r="27" spans="1:14" ht="13.5" customHeight="1" x14ac:dyDescent="0.2">
      <c r="A27" s="473" t="s">
        <v>646</v>
      </c>
      <c r="B27" s="470">
        <v>430</v>
      </c>
      <c r="C27" s="467">
        <v>940997</v>
      </c>
      <c r="D27" s="467"/>
      <c r="E27" s="467"/>
      <c r="F27" s="467"/>
      <c r="G27" s="467">
        <v>1122870</v>
      </c>
      <c r="H27" s="467">
        <v>1601791</v>
      </c>
      <c r="I27" s="467"/>
      <c r="J27" s="467">
        <v>267458</v>
      </c>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v>9979861</v>
      </c>
      <c r="D30" s="474"/>
      <c r="E30" s="467"/>
      <c r="F30" s="467">
        <v>414726</v>
      </c>
      <c r="G30" s="467"/>
      <c r="H30" s="467"/>
      <c r="I30" s="467"/>
      <c r="J30" s="467"/>
      <c r="K30" s="478"/>
      <c r="L30" s="468"/>
      <c r="M30" s="468"/>
      <c r="N30" s="468"/>
    </row>
    <row r="31" spans="1:14" ht="13.5" customHeight="1" x14ac:dyDescent="0.2">
      <c r="A31" s="473" t="s">
        <v>650</v>
      </c>
      <c r="B31" s="470">
        <v>480</v>
      </c>
      <c r="C31" s="466"/>
      <c r="D31" s="467"/>
      <c r="E31" s="467"/>
      <c r="F31" s="466"/>
      <c r="G31" s="467"/>
      <c r="H31" s="467"/>
      <c r="I31" s="467"/>
      <c r="J31" s="467"/>
      <c r="K31" s="467"/>
      <c r="L31" s="468"/>
      <c r="M31" s="468"/>
      <c r="N31" s="468"/>
    </row>
    <row r="32" spans="1:14" ht="13.5" customHeight="1" x14ac:dyDescent="0.2">
      <c r="A32" s="490" t="s">
        <v>651</v>
      </c>
      <c r="B32" s="491">
        <v>490</v>
      </c>
      <c r="C32" s="492">
        <v>32584816</v>
      </c>
      <c r="D32" s="492">
        <v>6320824</v>
      </c>
      <c r="E32" s="474">
        <v>6974091</v>
      </c>
      <c r="F32" s="474">
        <v>6543953</v>
      </c>
      <c r="G32" s="474">
        <v>2029114</v>
      </c>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f>L13</f>
        <v>1898275</v>
      </c>
      <c r="M33" s="468"/>
      <c r="N33" s="469"/>
    </row>
    <row r="34" spans="1:14" ht="13.5" customHeight="1" thickBot="1" x14ac:dyDescent="0.25">
      <c r="A34" s="1738" t="s">
        <v>653</v>
      </c>
      <c r="B34" s="1739"/>
      <c r="C34" s="1740">
        <f>SUM(C25:C33)</f>
        <v>44685080</v>
      </c>
      <c r="D34" s="1740">
        <f t="shared" ref="D34:K34" si="1">SUM(D25:D33)</f>
        <v>7230816</v>
      </c>
      <c r="E34" s="1740">
        <f t="shared" si="1"/>
        <v>6974091</v>
      </c>
      <c r="F34" s="1740">
        <f t="shared" si="1"/>
        <v>7067860</v>
      </c>
      <c r="G34" s="1740">
        <f t="shared" si="1"/>
        <v>3151984</v>
      </c>
      <c r="H34" s="1740">
        <f t="shared" si="1"/>
        <v>2003729</v>
      </c>
      <c r="I34" s="1740">
        <f t="shared" si="1"/>
        <v>0</v>
      </c>
      <c r="J34" s="1740">
        <f t="shared" si="1"/>
        <v>267822</v>
      </c>
      <c r="K34" s="1740">
        <f t="shared" si="1"/>
        <v>0</v>
      </c>
      <c r="L34" s="1721">
        <f>SUM(L33)</f>
        <v>1898275</v>
      </c>
      <c r="M34" s="468"/>
      <c r="N34" s="480"/>
    </row>
    <row r="35" spans="1:14" ht="18" customHeight="1" thickTop="1" x14ac:dyDescent="0.2">
      <c r="A35" s="2170" t="s">
        <v>528</v>
      </c>
      <c r="B35" s="2171"/>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135458000</v>
      </c>
    </row>
    <row r="37" spans="1:14" ht="13.5" thickBot="1" x14ac:dyDescent="0.25">
      <c r="A37" s="1736" t="s">
        <v>652</v>
      </c>
      <c r="B37" s="1741"/>
      <c r="C37" s="477"/>
      <c r="D37" s="477"/>
      <c r="E37" s="477"/>
      <c r="F37" s="477"/>
      <c r="G37" s="477"/>
      <c r="H37" s="477"/>
      <c r="I37" s="477"/>
      <c r="J37" s="477"/>
      <c r="K37" s="477"/>
      <c r="L37" s="480"/>
      <c r="M37" s="468"/>
      <c r="N37" s="1688">
        <f>SUM(N36:N36)</f>
        <v>135458000</v>
      </c>
    </row>
    <row r="38" spans="1:14" s="329" customFormat="1" ht="13.5" customHeight="1" thickTop="1" x14ac:dyDescent="0.2">
      <c r="A38" s="496" t="s">
        <v>419</v>
      </c>
      <c r="B38" s="483">
        <v>714</v>
      </c>
      <c r="C38" s="466"/>
      <c r="D38" s="466">
        <v>2695597</v>
      </c>
      <c r="E38" s="466">
        <v>9842432</v>
      </c>
      <c r="F38" s="466"/>
      <c r="G38" s="466">
        <v>23561</v>
      </c>
      <c r="H38" s="466"/>
      <c r="I38" s="466"/>
      <c r="J38" s="467"/>
      <c r="K38" s="466">
        <v>14904</v>
      </c>
      <c r="L38" s="481"/>
      <c r="M38" s="497"/>
      <c r="N38" s="497"/>
    </row>
    <row r="39" spans="1:14" s="329" customFormat="1" ht="13.5" customHeight="1" x14ac:dyDescent="0.2">
      <c r="A39" s="496" t="s">
        <v>341</v>
      </c>
      <c r="B39" s="483">
        <v>730</v>
      </c>
      <c r="C39" s="466">
        <v>32906196</v>
      </c>
      <c r="D39" s="466">
        <v>-465384</v>
      </c>
      <c r="E39" s="466"/>
      <c r="F39" s="466">
        <v>2628741</v>
      </c>
      <c r="G39" s="466"/>
      <c r="H39" s="466">
        <v>3114862</v>
      </c>
      <c r="I39" s="466">
        <v>14253044</v>
      </c>
      <c r="J39" s="467">
        <v>-115535</v>
      </c>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M23</f>
        <v>235691117</v>
      </c>
      <c r="N40" s="497"/>
    </row>
    <row r="41" spans="1:14" ht="13.5" customHeight="1" thickBot="1" x14ac:dyDescent="0.25">
      <c r="A41" s="1736" t="s">
        <v>654</v>
      </c>
      <c r="B41" s="1706"/>
      <c r="C41" s="1688">
        <f>(SUM(C34,C37,C38,C39))</f>
        <v>77591276</v>
      </c>
      <c r="D41" s="1688">
        <f t="shared" ref="D41:L41" si="2">SUM(D34,D37,D38:D39)</f>
        <v>9461029</v>
      </c>
      <c r="E41" s="1688">
        <f t="shared" si="2"/>
        <v>16816523</v>
      </c>
      <c r="F41" s="1688">
        <f t="shared" si="2"/>
        <v>9696601</v>
      </c>
      <c r="G41" s="1688">
        <f t="shared" si="2"/>
        <v>3175545</v>
      </c>
      <c r="H41" s="1688">
        <f>SUM(H34,H37,H38:H39)</f>
        <v>5118591</v>
      </c>
      <c r="I41" s="1688">
        <f t="shared" si="2"/>
        <v>14253044</v>
      </c>
      <c r="J41" s="1688">
        <f t="shared" si="2"/>
        <v>152287</v>
      </c>
      <c r="K41" s="1688">
        <f t="shared" si="2"/>
        <v>14904</v>
      </c>
      <c r="L41" s="1688">
        <f t="shared" si="2"/>
        <v>1898275</v>
      </c>
      <c r="M41" s="1688">
        <f>SUM(M40)</f>
        <v>235691117</v>
      </c>
      <c r="N41" s="1688">
        <f>SUM(N37)</f>
        <v>135458000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M87"/>
  <sheetViews>
    <sheetView showGridLines="0" defaultGridColor="0" colorId="8" zoomScale="110" zoomScaleNormal="110" zoomScaleSheetLayoutView="100" workbookViewId="0">
      <pane ySplit="2" topLeftCell="A3" activePane="bottomLeft" state="frozen"/>
      <selection activeCell="H14" sqref="H14"/>
      <selection pane="bottomLeft" activeCell="E76" sqref="E76"/>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80" t="s">
        <v>1651</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81"/>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92" t="s">
        <v>1174</v>
      </c>
      <c r="B3" s="2193"/>
      <c r="C3" s="1573"/>
      <c r="D3" s="1574"/>
      <c r="E3" s="1574"/>
      <c r="F3" s="1574"/>
      <c r="G3" s="1574"/>
      <c r="H3" s="1574"/>
      <c r="I3" s="1574"/>
      <c r="J3" s="1574"/>
      <c r="K3" s="1575"/>
      <c r="L3" s="506"/>
    </row>
    <row r="4" spans="1:13" ht="15.75" customHeight="1" x14ac:dyDescent="0.2">
      <c r="A4" s="1928" t="s">
        <v>1498</v>
      </c>
      <c r="B4" s="1929">
        <v>1000</v>
      </c>
      <c r="C4" s="1742">
        <f>'Revenues 9-14'!C109</f>
        <v>64639301</v>
      </c>
      <c r="D4" s="1742">
        <f>'Revenues 9-14'!D109</f>
        <v>12657898</v>
      </c>
      <c r="E4" s="1742">
        <f>'Revenues 9-14'!E109</f>
        <v>15852361</v>
      </c>
      <c r="F4" s="1742">
        <f>'Revenues 9-14'!F109</f>
        <v>4045764</v>
      </c>
      <c r="G4" s="1742">
        <f>'Revenues 9-14'!G109</f>
        <v>4424417</v>
      </c>
      <c r="H4" s="1742">
        <f>'Revenues 9-14'!H109</f>
        <v>373111</v>
      </c>
      <c r="I4" s="1742">
        <f>'Revenues 9-14'!I109</f>
        <v>0</v>
      </c>
      <c r="J4" s="1742">
        <f>'Revenues 9-14'!J109</f>
        <v>3028</v>
      </c>
      <c r="K4" s="1742">
        <f>'Revenues 9-14'!K109</f>
        <v>293</v>
      </c>
      <c r="L4" s="347"/>
    </row>
    <row r="5" spans="1:13" ht="15.75" customHeight="1" x14ac:dyDescent="0.2">
      <c r="A5" s="1576" t="s">
        <v>1499</v>
      </c>
      <c r="B5" s="1577">
        <v>2000</v>
      </c>
      <c r="C5" s="1743">
        <f>'Revenues 9-14'!C114</f>
        <v>0</v>
      </c>
      <c r="D5" s="1743">
        <f>'Revenues 9-14'!D114</f>
        <v>0</v>
      </c>
      <c r="E5" s="508"/>
      <c r="F5" s="1743">
        <f>'Revenues 9-14'!F114</f>
        <v>0</v>
      </c>
      <c r="G5" s="1743">
        <f>'Revenues 9-14'!G114</f>
        <v>0</v>
      </c>
      <c r="H5" s="509" t="s">
        <v>1168</v>
      </c>
      <c r="I5" s="510" t="s">
        <v>1168</v>
      </c>
      <c r="J5" s="511" t="s">
        <v>1168</v>
      </c>
      <c r="K5" s="512" t="s">
        <v>1168</v>
      </c>
      <c r="L5" s="347"/>
    </row>
    <row r="6" spans="1:13" ht="15.75" customHeight="1" x14ac:dyDescent="0.2">
      <c r="A6" s="1576" t="s">
        <v>1500</v>
      </c>
      <c r="B6" s="1578">
        <v>3000</v>
      </c>
      <c r="C6" s="1743">
        <f>'Revenues 9-14'!C170</f>
        <v>58993657</v>
      </c>
      <c r="D6" s="1743">
        <f>'Revenues 9-14'!D170</f>
        <v>3000000</v>
      </c>
      <c r="E6" s="1743">
        <f>'Revenues 9-14'!E170</f>
        <v>0</v>
      </c>
      <c r="F6" s="1743">
        <f>'Revenues 9-14'!F170</f>
        <v>6344056</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1501</v>
      </c>
      <c r="B7" s="1578">
        <v>4000</v>
      </c>
      <c r="C7" s="1743">
        <f>'Revenues 9-14'!C267</f>
        <v>16501563</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1171</v>
      </c>
      <c r="B8" s="1709"/>
      <c r="C8" s="1688">
        <f>SUM(C4:C7)</f>
        <v>140134521</v>
      </c>
      <c r="D8" s="1688">
        <f t="shared" ref="D8:K8" si="0">SUM(D4:D7)</f>
        <v>15657898</v>
      </c>
      <c r="E8" s="1688">
        <f t="shared" si="0"/>
        <v>15852361</v>
      </c>
      <c r="F8" s="1688">
        <f t="shared" si="0"/>
        <v>10389820</v>
      </c>
      <c r="G8" s="1688">
        <f t="shared" si="0"/>
        <v>4424417</v>
      </c>
      <c r="H8" s="1688">
        <f t="shared" si="0"/>
        <v>373111</v>
      </c>
      <c r="I8" s="1688">
        <f t="shared" si="0"/>
        <v>0</v>
      </c>
      <c r="J8" s="1688">
        <f t="shared" si="0"/>
        <v>3028</v>
      </c>
      <c r="K8" s="1688">
        <f t="shared" si="0"/>
        <v>293</v>
      </c>
      <c r="L8" s="347"/>
    </row>
    <row r="9" spans="1:13" ht="15.75" thickTop="1" x14ac:dyDescent="0.2">
      <c r="A9" s="514" t="s">
        <v>1652</v>
      </c>
      <c r="B9" s="515">
        <v>3998</v>
      </c>
      <c r="C9" s="481">
        <v>8687240</v>
      </c>
      <c r="D9" s="516"/>
      <c r="E9" s="481"/>
      <c r="F9" s="481"/>
      <c r="G9" s="517"/>
      <c r="H9" s="481"/>
      <c r="I9" s="509" t="s">
        <v>1168</v>
      </c>
      <c r="J9" s="478"/>
      <c r="K9" s="481"/>
      <c r="L9" s="347"/>
    </row>
    <row r="10" spans="1:13" s="519" customFormat="1" ht="13.5" thickBot="1" x14ac:dyDescent="0.25">
      <c r="A10" s="1736" t="s">
        <v>1172</v>
      </c>
      <c r="B10" s="1709"/>
      <c r="C10" s="1688">
        <f>SUM(C8:C9)</f>
        <v>148821761</v>
      </c>
      <c r="D10" s="1688">
        <f t="shared" ref="D10:K10" si="1">SUM(D8:D9)</f>
        <v>15657898</v>
      </c>
      <c r="E10" s="1688">
        <f t="shared" si="1"/>
        <v>15852361</v>
      </c>
      <c r="F10" s="1688">
        <f t="shared" si="1"/>
        <v>10389820</v>
      </c>
      <c r="G10" s="1688">
        <f t="shared" si="1"/>
        <v>4424417</v>
      </c>
      <c r="H10" s="1688">
        <f t="shared" si="1"/>
        <v>373111</v>
      </c>
      <c r="I10" s="1688">
        <f t="shared" si="1"/>
        <v>0</v>
      </c>
      <c r="J10" s="1688">
        <f t="shared" si="1"/>
        <v>3028</v>
      </c>
      <c r="K10" s="1688">
        <f t="shared" si="1"/>
        <v>293</v>
      </c>
      <c r="L10" s="518"/>
    </row>
    <row r="11" spans="1:13" s="519" customFormat="1" ht="16.7" customHeight="1" thickTop="1" x14ac:dyDescent="0.2">
      <c r="A11" s="2166" t="s">
        <v>1175</v>
      </c>
      <c r="B11" s="2167"/>
      <c r="C11" s="1570"/>
      <c r="D11" s="1571"/>
      <c r="E11" s="1571"/>
      <c r="F11" s="1571"/>
      <c r="G11" s="1571"/>
      <c r="H11" s="1571"/>
      <c r="I11" s="1571"/>
      <c r="J11" s="1571"/>
      <c r="K11" s="1572"/>
      <c r="L11" s="518"/>
    </row>
    <row r="12" spans="1:13" ht="15.75" customHeight="1" x14ac:dyDescent="0.2">
      <c r="A12" s="1576" t="s">
        <v>455</v>
      </c>
      <c r="B12" s="1578">
        <v>1000</v>
      </c>
      <c r="C12" s="1742">
        <f>'Expenditures 15-22'!K33</f>
        <v>86354415</v>
      </c>
      <c r="D12" s="520" t="s">
        <v>1168</v>
      </c>
      <c r="E12" s="468" t="s">
        <v>1168</v>
      </c>
      <c r="F12" s="468" t="s">
        <v>1168</v>
      </c>
      <c r="G12" s="1742">
        <f>'Expenditures 15-22'!K229</f>
        <v>1728707</v>
      </c>
      <c r="H12" s="521"/>
      <c r="I12" s="468" t="s">
        <v>1168</v>
      </c>
      <c r="J12" s="468" t="s">
        <v>1168</v>
      </c>
      <c r="K12" s="521" t="s">
        <v>1168</v>
      </c>
      <c r="L12" s="347"/>
    </row>
    <row r="13" spans="1:13" ht="15.75" customHeight="1" x14ac:dyDescent="0.2">
      <c r="A13" s="1576" t="s">
        <v>456</v>
      </c>
      <c r="B13" s="1578">
        <v>2000</v>
      </c>
      <c r="C13" s="1743">
        <f>'Expenditures 15-22'!K74</f>
        <v>33538294</v>
      </c>
      <c r="D13" s="1743">
        <f>'Expenditures 15-22'!K129</f>
        <v>14922023</v>
      </c>
      <c r="E13" s="469" t="s">
        <v>1168</v>
      </c>
      <c r="F13" s="1743">
        <f>'Expenditures 15-22'!K184</f>
        <v>7259309</v>
      </c>
      <c r="G13" s="1743">
        <f>'Expenditures 15-22'!K279</f>
        <v>2418714</v>
      </c>
      <c r="H13" s="1743">
        <f>'Expenditures 15-22'!K303</f>
        <v>9003775</v>
      </c>
      <c r="I13" s="468" t="s">
        <v>1168</v>
      </c>
      <c r="J13" s="1743">
        <f>'Expenditures 15-22'!K330</f>
        <v>129633</v>
      </c>
      <c r="K13" s="1747">
        <f>'Expenditures 15-22'!K352</f>
        <v>0</v>
      </c>
      <c r="L13" s="347"/>
    </row>
    <row r="14" spans="1:13" ht="15.75" customHeight="1" x14ac:dyDescent="0.2">
      <c r="A14" s="1576" t="s">
        <v>448</v>
      </c>
      <c r="B14" s="1578">
        <v>3000</v>
      </c>
      <c r="C14" s="1743">
        <f>'Expenditures 15-22'!K75</f>
        <v>1078423</v>
      </c>
      <c r="D14" s="1743">
        <f>'Expenditures 15-22'!K130</f>
        <v>0</v>
      </c>
      <c r="E14" s="520" t="s">
        <v>1168</v>
      </c>
      <c r="F14" s="1743">
        <f>'Expenditures 15-22'!K185</f>
        <v>0</v>
      </c>
      <c r="G14" s="1743">
        <f>'Expenditures 15-22'!K280</f>
        <v>87240</v>
      </c>
      <c r="H14" s="512"/>
      <c r="I14" s="468" t="s">
        <v>1168</v>
      </c>
      <c r="J14" s="468" t="s">
        <v>1168</v>
      </c>
      <c r="K14" s="512" t="s">
        <v>1168</v>
      </c>
      <c r="L14" s="347"/>
    </row>
    <row r="15" spans="1:13" ht="15.75" customHeight="1" x14ac:dyDescent="0.2">
      <c r="A15" s="1576" t="s">
        <v>107</v>
      </c>
      <c r="B15" s="1578">
        <v>4000</v>
      </c>
      <c r="C15" s="1743">
        <f>'Expenditures 15-22'!K102</f>
        <v>7044930</v>
      </c>
      <c r="D15" s="1743">
        <f>'Expenditures 15-22'!K139</f>
        <v>0</v>
      </c>
      <c r="E15" s="1743">
        <f>'Expenditures 15-22'!K160</f>
        <v>0</v>
      </c>
      <c r="F15" s="1743">
        <f>'Expenditures 15-22'!K196</f>
        <v>0</v>
      </c>
      <c r="G15" s="1743">
        <f>'Expenditures 15-22'!K285</f>
        <v>0</v>
      </c>
      <c r="H15" s="1743">
        <f>'Expenditures 15-22'!K310</f>
        <v>0</v>
      </c>
      <c r="I15" s="468" t="s">
        <v>1168</v>
      </c>
      <c r="J15" s="1835">
        <f>'Expenditures 15-22'!K334</f>
        <v>0</v>
      </c>
      <c r="K15" s="1743">
        <f>'Expenditures 15-22'!K357</f>
        <v>0</v>
      </c>
      <c r="L15" s="347"/>
    </row>
    <row r="16" spans="1:13" ht="15.75" customHeight="1" x14ac:dyDescent="0.2">
      <c r="A16" s="1576" t="s">
        <v>449</v>
      </c>
      <c r="B16" s="1578">
        <v>5000</v>
      </c>
      <c r="C16" s="1743">
        <f>'Expenditures 15-22'!K112</f>
        <v>543397</v>
      </c>
      <c r="D16" s="1743">
        <f>'Expenditures 15-22'!K149</f>
        <v>0</v>
      </c>
      <c r="E16" s="1743">
        <f>'Expenditures 15-22'!K172</f>
        <v>16196924</v>
      </c>
      <c r="F16" s="1743">
        <f>'Expenditures 15-22'!K208</f>
        <v>1112541</v>
      </c>
      <c r="G16" s="1743">
        <f>'Expenditures 15-22'!K293</f>
        <v>0</v>
      </c>
      <c r="H16" s="523"/>
      <c r="I16" s="468" t="s">
        <v>1168</v>
      </c>
      <c r="J16" s="1748">
        <f>'Expenditures 15-22'!K340</f>
        <v>0</v>
      </c>
      <c r="K16" s="1743">
        <f>'Expenditures 15-22'!K365</f>
        <v>0</v>
      </c>
      <c r="L16" s="347"/>
    </row>
    <row r="17" spans="1:12" ht="13.5" thickBot="1" x14ac:dyDescent="0.25">
      <c r="A17" s="1708" t="s">
        <v>48</v>
      </c>
      <c r="B17" s="1709"/>
      <c r="C17" s="1688">
        <f t="shared" ref="C17:H17" si="2">SUM(C12:C16)</f>
        <v>128559459</v>
      </c>
      <c r="D17" s="1688">
        <f t="shared" si="2"/>
        <v>14922023</v>
      </c>
      <c r="E17" s="1688">
        <f t="shared" si="2"/>
        <v>16196924</v>
      </c>
      <c r="F17" s="1688">
        <f t="shared" si="2"/>
        <v>8371850</v>
      </c>
      <c r="G17" s="1688">
        <f t="shared" si="2"/>
        <v>4234661</v>
      </c>
      <c r="H17" s="1688">
        <f t="shared" si="2"/>
        <v>9003775</v>
      </c>
      <c r="I17" s="468"/>
      <c r="J17" s="1688">
        <f>SUM(J12:J16)</f>
        <v>129633</v>
      </c>
      <c r="K17" s="1688">
        <f>SUM(K12:K16)</f>
        <v>0</v>
      </c>
      <c r="L17" s="347"/>
    </row>
    <row r="18" spans="1:12" ht="15" customHeight="1" thickTop="1" x14ac:dyDescent="0.2">
      <c r="A18" s="1744" t="s">
        <v>1653</v>
      </c>
      <c r="B18" s="1745">
        <v>4180</v>
      </c>
      <c r="C18" s="1742">
        <f t="shared" ref="C18:H18" si="3">C9</f>
        <v>8687240</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504</v>
      </c>
      <c r="B19" s="1709"/>
      <c r="C19" s="1688">
        <f t="shared" ref="C19:H19" si="4">SUM(C17:C18)</f>
        <v>137246699</v>
      </c>
      <c r="D19" s="1688">
        <f t="shared" si="4"/>
        <v>14922023</v>
      </c>
      <c r="E19" s="1688">
        <f t="shared" si="4"/>
        <v>16196924</v>
      </c>
      <c r="F19" s="1688">
        <f t="shared" si="4"/>
        <v>8371850</v>
      </c>
      <c r="G19" s="1688">
        <f t="shared" si="4"/>
        <v>4234661</v>
      </c>
      <c r="H19" s="1688">
        <f t="shared" si="4"/>
        <v>9003775</v>
      </c>
      <c r="I19" s="468"/>
      <c r="J19" s="1688">
        <f>SUM(J17:J18)</f>
        <v>129633</v>
      </c>
      <c r="K19" s="1688">
        <f>SUM(K17:K18)</f>
        <v>0</v>
      </c>
      <c r="L19" s="347"/>
    </row>
    <row r="20" spans="1:12" ht="16.5" thickTop="1" thickBot="1" x14ac:dyDescent="0.25">
      <c r="A20" s="2182" t="s">
        <v>1654</v>
      </c>
      <c r="B20" s="2183"/>
      <c r="C20" s="1746">
        <f>C8-C17</f>
        <v>11575062</v>
      </c>
      <c r="D20" s="1746">
        <f t="shared" ref="D20:K20" si="5">D8-D17</f>
        <v>735875</v>
      </c>
      <c r="E20" s="1746">
        <f t="shared" si="5"/>
        <v>-344563</v>
      </c>
      <c r="F20" s="1746">
        <f t="shared" si="5"/>
        <v>2017970</v>
      </c>
      <c r="G20" s="1746">
        <f t="shared" si="5"/>
        <v>189756</v>
      </c>
      <c r="H20" s="1746">
        <f t="shared" si="5"/>
        <v>-8630664</v>
      </c>
      <c r="I20" s="1746">
        <f t="shared" si="5"/>
        <v>0</v>
      </c>
      <c r="J20" s="1746">
        <f t="shared" si="5"/>
        <v>-126605</v>
      </c>
      <c r="K20" s="1746">
        <f t="shared" si="5"/>
        <v>293</v>
      </c>
      <c r="L20" s="347"/>
    </row>
    <row r="21" spans="1:12" ht="16.7" customHeight="1" thickTop="1" x14ac:dyDescent="0.2">
      <c r="A21" s="2194" t="s">
        <v>594</v>
      </c>
      <c r="B21" s="2195"/>
      <c r="C21" s="1570"/>
      <c r="D21" s="1571"/>
      <c r="E21" s="1571"/>
      <c r="F21" s="1571"/>
      <c r="G21" s="1571"/>
      <c r="H21" s="1571"/>
      <c r="I21" s="1571"/>
      <c r="J21" s="1571"/>
      <c r="K21" s="1572"/>
      <c r="L21" s="524"/>
    </row>
    <row r="22" spans="1:12" ht="15.75" customHeight="1" collapsed="1" x14ac:dyDescent="0.2">
      <c r="A22" s="2190" t="s">
        <v>595</v>
      </c>
      <c r="B22" s="2191"/>
      <c r="C22" s="477"/>
      <c r="D22" s="477"/>
      <c r="E22" s="477"/>
      <c r="F22" s="477"/>
      <c r="G22" s="477"/>
      <c r="H22" s="477"/>
      <c r="I22" s="477"/>
      <c r="J22" s="477"/>
      <c r="K22" s="477"/>
      <c r="L22" s="347"/>
    </row>
    <row r="23" spans="1:12" s="485" customFormat="1" ht="15.75" customHeight="1" x14ac:dyDescent="0.2">
      <c r="A23" s="2186" t="s">
        <v>292</v>
      </c>
      <c r="B23" s="2187"/>
      <c r="C23" s="480"/>
      <c r="D23" s="477"/>
      <c r="E23" s="477"/>
      <c r="F23" s="477"/>
      <c r="G23" s="477"/>
      <c r="H23" s="477"/>
      <c r="I23" s="477"/>
      <c r="J23" s="477"/>
      <c r="K23" s="477"/>
      <c r="L23" s="524"/>
    </row>
    <row r="24" spans="1:12" s="485" customFormat="1" ht="13.5" customHeight="1" x14ac:dyDescent="0.2">
      <c r="A24" s="1489" t="s">
        <v>1655</v>
      </c>
      <c r="B24" s="525">
        <v>7110</v>
      </c>
      <c r="C24" s="467"/>
      <c r="D24" s="477"/>
      <c r="E24" s="477"/>
      <c r="F24" s="477"/>
      <c r="G24" s="477"/>
      <c r="H24" s="477"/>
      <c r="I24" s="477"/>
      <c r="J24" s="477"/>
      <c r="K24" s="477"/>
      <c r="L24" s="524"/>
    </row>
    <row r="25" spans="1:12" s="485" customFormat="1" ht="13.5" customHeight="1" x14ac:dyDescent="0.2">
      <c r="A25" s="1489" t="s">
        <v>1656</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1397</v>
      </c>
      <c r="B28" s="483">
        <v>7140</v>
      </c>
      <c r="C28" s="467"/>
      <c r="D28" s="467"/>
      <c r="E28" s="467"/>
      <c r="F28" s="467"/>
      <c r="G28" s="467"/>
      <c r="H28" s="467"/>
      <c r="I28" s="467"/>
      <c r="J28" s="467"/>
      <c r="K28" s="467"/>
      <c r="L28" s="524"/>
    </row>
    <row r="29" spans="1:12" s="485" customFormat="1" ht="13.5" customHeight="1" x14ac:dyDescent="0.2">
      <c r="A29" s="1489" t="s">
        <v>293</v>
      </c>
      <c r="B29" s="483">
        <v>7150</v>
      </c>
      <c r="C29" s="475"/>
      <c r="D29" s="467"/>
      <c r="E29" s="475"/>
      <c r="F29" s="475"/>
      <c r="G29" s="475"/>
      <c r="H29" s="475"/>
      <c r="I29" s="475"/>
      <c r="J29" s="475"/>
      <c r="K29" s="475"/>
      <c r="L29" s="524"/>
    </row>
    <row r="30" spans="1:12" s="485" customFormat="1" ht="26.25" x14ac:dyDescent="0.2">
      <c r="A30" s="1489" t="s">
        <v>1790</v>
      </c>
      <c r="B30" s="527">
        <v>7160</v>
      </c>
      <c r="C30" s="477"/>
      <c r="D30" s="467"/>
      <c r="E30" s="477"/>
      <c r="F30" s="477"/>
      <c r="G30" s="477"/>
      <c r="H30" s="477"/>
      <c r="I30" s="477"/>
      <c r="J30" s="477"/>
      <c r="K30" s="477"/>
      <c r="L30" s="524"/>
    </row>
    <row r="31" spans="1:12" s="485" customFormat="1" ht="26.25" x14ac:dyDescent="0.2">
      <c r="A31" s="1489" t="s">
        <v>1794</v>
      </c>
      <c r="B31" s="527">
        <v>7170</v>
      </c>
      <c r="C31" s="477"/>
      <c r="D31" s="477"/>
      <c r="E31" s="474"/>
      <c r="F31" s="477"/>
      <c r="G31" s="477"/>
      <c r="H31" s="477"/>
      <c r="I31" s="477"/>
      <c r="J31" s="477"/>
      <c r="K31" s="477"/>
      <c r="L31" s="524"/>
    </row>
    <row r="32" spans="1:12" s="485" customFormat="1" ht="15.75" customHeight="1" x14ac:dyDescent="0.2">
      <c r="A32" s="2188" t="s">
        <v>980</v>
      </c>
      <c r="B32" s="2189"/>
      <c r="C32" s="477"/>
      <c r="D32" s="477"/>
      <c r="E32" s="475"/>
      <c r="F32" s="477"/>
      <c r="G32" s="477"/>
      <c r="H32" s="477"/>
      <c r="I32" s="477"/>
      <c r="J32" s="477"/>
      <c r="K32" s="477"/>
      <c r="L32" s="524"/>
    </row>
    <row r="33" spans="1:12" s="485" customFormat="1" x14ac:dyDescent="0.2">
      <c r="A33" s="1489" t="s">
        <v>411</v>
      </c>
      <c r="B33" s="525">
        <v>7210</v>
      </c>
      <c r="C33" s="467"/>
      <c r="D33" s="467"/>
      <c r="E33" s="467">
        <v>9110000</v>
      </c>
      <c r="F33" s="467"/>
      <c r="G33" s="477"/>
      <c r="H33" s="467"/>
      <c r="I33" s="467"/>
      <c r="J33" s="467"/>
      <c r="K33" s="467"/>
      <c r="L33" s="524"/>
    </row>
    <row r="34" spans="1:12" s="485" customFormat="1" x14ac:dyDescent="0.2">
      <c r="A34" s="1489" t="s">
        <v>1000</v>
      </c>
      <c r="B34" s="525">
        <v>7220</v>
      </c>
      <c r="C34" s="467"/>
      <c r="D34" s="467"/>
      <c r="E34" s="467">
        <v>388591</v>
      </c>
      <c r="F34" s="467"/>
      <c r="G34" s="477"/>
      <c r="H34" s="478"/>
      <c r="I34" s="478"/>
      <c r="J34" s="478"/>
      <c r="K34" s="478"/>
      <c r="L34" s="524"/>
    </row>
    <row r="35" spans="1:12" s="485" customFormat="1" x14ac:dyDescent="0.2">
      <c r="A35" s="1489" t="s">
        <v>989</v>
      </c>
      <c r="B35" s="525">
        <v>7230</v>
      </c>
      <c r="C35" s="467"/>
      <c r="D35" s="467"/>
      <c r="E35" s="467"/>
      <c r="F35" s="467"/>
      <c r="G35" s="480"/>
      <c r="H35" s="467"/>
      <c r="I35" s="467"/>
      <c r="J35" s="467"/>
      <c r="K35" s="467"/>
      <c r="L35" s="524"/>
    </row>
    <row r="36" spans="1:12" s="485" customFormat="1" ht="15" x14ac:dyDescent="0.2">
      <c r="A36" s="1489" t="s">
        <v>1657</v>
      </c>
      <c r="B36" s="525">
        <v>7300</v>
      </c>
      <c r="C36" s="467"/>
      <c r="D36" s="467"/>
      <c r="E36" s="467"/>
      <c r="F36" s="467"/>
      <c r="G36" s="467"/>
      <c r="H36" s="467"/>
      <c r="I36" s="475"/>
      <c r="J36" s="467"/>
      <c r="K36" s="467"/>
      <c r="L36" s="524"/>
    </row>
    <row r="37" spans="1:12" s="485" customFormat="1" x14ac:dyDescent="0.2">
      <c r="A37" s="1489" t="s">
        <v>440</v>
      </c>
      <c r="B37" s="525">
        <v>7400</v>
      </c>
      <c r="C37" s="475"/>
      <c r="D37" s="475"/>
      <c r="E37" s="1743">
        <f>SUM(C54:D57,H54:H57)</f>
        <v>0</v>
      </c>
      <c r="F37" s="475"/>
      <c r="G37" s="475"/>
      <c r="H37" s="475"/>
      <c r="I37" s="477"/>
      <c r="J37" s="475"/>
      <c r="K37" s="475"/>
      <c r="L37" s="524"/>
    </row>
    <row r="38" spans="1:12" s="485" customFormat="1" x14ac:dyDescent="0.2">
      <c r="A38" s="1489" t="s">
        <v>441</v>
      </c>
      <c r="B38" s="525">
        <v>7500</v>
      </c>
      <c r="C38" s="477"/>
      <c r="D38" s="477"/>
      <c r="E38" s="1743">
        <f>SUM(C58:D61,H58:H61)</f>
        <v>0</v>
      </c>
      <c r="F38" s="477"/>
      <c r="G38" s="477"/>
      <c r="H38" s="477"/>
      <c r="I38" s="477"/>
      <c r="J38" s="477"/>
      <c r="K38" s="477"/>
      <c r="L38" s="524"/>
    </row>
    <row r="39" spans="1:12" s="485" customFormat="1" x14ac:dyDescent="0.2">
      <c r="A39" s="1489" t="s">
        <v>442</v>
      </c>
      <c r="B39" s="525">
        <v>7600</v>
      </c>
      <c r="C39" s="477"/>
      <c r="D39" s="477"/>
      <c r="E39" s="1743">
        <f>SUM(C62:D65)</f>
        <v>0</v>
      </c>
      <c r="F39" s="477"/>
      <c r="G39" s="477"/>
      <c r="H39" s="477"/>
      <c r="I39" s="477"/>
      <c r="J39" s="477"/>
      <c r="K39" s="477"/>
      <c r="L39" s="524"/>
    </row>
    <row r="40" spans="1:12" s="485" customFormat="1" ht="13.5" customHeight="1" x14ac:dyDescent="0.2">
      <c r="A40" s="1489" t="s">
        <v>641</v>
      </c>
      <c r="B40" s="483">
        <v>7700</v>
      </c>
      <c r="C40" s="477"/>
      <c r="D40" s="477"/>
      <c r="E40" s="1743">
        <f>SUM(C66:D69)</f>
        <v>0</v>
      </c>
      <c r="F40" s="477"/>
      <c r="G40" s="477"/>
      <c r="H40" s="480"/>
      <c r="I40" s="477"/>
      <c r="J40" s="477"/>
      <c r="K40" s="477"/>
      <c r="L40" s="524"/>
    </row>
    <row r="41" spans="1:12" s="485" customFormat="1" ht="13.5" customHeight="1" x14ac:dyDescent="0.2">
      <c r="A41" s="1489" t="s">
        <v>639</v>
      </c>
      <c r="B41" s="483">
        <v>7800</v>
      </c>
      <c r="C41" s="480"/>
      <c r="D41" s="480"/>
      <c r="E41" s="526"/>
      <c r="F41" s="480"/>
      <c r="G41" s="480"/>
      <c r="H41" s="1743">
        <f>SUM(C70:D73)</f>
        <v>0</v>
      </c>
      <c r="I41" s="477"/>
      <c r="J41" s="477"/>
      <c r="K41" s="480"/>
      <c r="L41" s="524"/>
    </row>
    <row r="42" spans="1:12" s="485" customFormat="1" ht="13.5" customHeight="1" x14ac:dyDescent="0.2">
      <c r="A42" s="1489" t="s">
        <v>640</v>
      </c>
      <c r="B42" s="483">
        <v>7900</v>
      </c>
      <c r="C42" s="467"/>
      <c r="D42" s="467"/>
      <c r="E42" s="467"/>
      <c r="F42" s="467"/>
      <c r="G42" s="467"/>
      <c r="H42" s="467"/>
      <c r="I42" s="480"/>
      <c r="J42" s="480"/>
      <c r="K42" s="467"/>
      <c r="L42" s="524"/>
    </row>
    <row r="43" spans="1:12" s="485" customFormat="1" ht="13.5" customHeight="1" x14ac:dyDescent="0.2">
      <c r="A43" s="1489" t="s">
        <v>372</v>
      </c>
      <c r="B43" s="483">
        <v>7990</v>
      </c>
      <c r="C43" s="467"/>
      <c r="D43" s="467"/>
      <c r="E43" s="467"/>
      <c r="F43" s="467"/>
      <c r="G43" s="467"/>
      <c r="H43" s="467"/>
      <c r="I43" s="467"/>
      <c r="J43" s="467"/>
      <c r="K43" s="467"/>
      <c r="L43" s="524"/>
    </row>
    <row r="44" spans="1:12" s="485" customFormat="1" ht="13.5" customHeight="1" thickBot="1" x14ac:dyDescent="0.25">
      <c r="A44" s="2196" t="s">
        <v>373</v>
      </c>
      <c r="B44" s="2197"/>
      <c r="C44" s="1703">
        <f>SUM(C24:C43)</f>
        <v>0</v>
      </c>
      <c r="D44" s="1703">
        <f t="shared" ref="D44:K44" si="6">SUM(D24:D43)</f>
        <v>0</v>
      </c>
      <c r="E44" s="1703">
        <f t="shared" si="6"/>
        <v>9498591</v>
      </c>
      <c r="F44" s="1703">
        <f t="shared" si="6"/>
        <v>0</v>
      </c>
      <c r="G44" s="1703">
        <f t="shared" si="6"/>
        <v>0</v>
      </c>
      <c r="H44" s="1703">
        <f t="shared" si="6"/>
        <v>0</v>
      </c>
      <c r="I44" s="1703">
        <f t="shared" si="6"/>
        <v>0</v>
      </c>
      <c r="J44" s="1703">
        <f t="shared" si="6"/>
        <v>0</v>
      </c>
      <c r="K44" s="1703">
        <f t="shared" si="6"/>
        <v>0</v>
      </c>
      <c r="L44" s="524"/>
    </row>
    <row r="45" spans="1:12" ht="15.75" customHeight="1" thickTop="1" x14ac:dyDescent="0.2">
      <c r="A45" s="2190" t="s">
        <v>108</v>
      </c>
      <c r="B45" s="2191"/>
      <c r="C45" s="528"/>
      <c r="D45" s="528"/>
      <c r="E45" s="528"/>
      <c r="F45" s="528"/>
      <c r="G45" s="528"/>
      <c r="H45" s="528"/>
      <c r="I45" s="528"/>
      <c r="J45" s="528"/>
      <c r="K45" s="528"/>
      <c r="L45" s="347"/>
    </row>
    <row r="46" spans="1:12" s="485" customFormat="1" ht="15.75" customHeight="1" x14ac:dyDescent="0.2">
      <c r="A46" s="2198" t="s">
        <v>109</v>
      </c>
      <c r="B46" s="2199"/>
      <c r="C46" s="477"/>
      <c r="D46" s="477"/>
      <c r="E46" s="477"/>
      <c r="F46" s="477"/>
      <c r="G46" s="477"/>
      <c r="H46" s="477"/>
      <c r="I46" s="480"/>
      <c r="J46" s="477"/>
      <c r="K46" s="477"/>
      <c r="L46" s="529"/>
    </row>
    <row r="47" spans="1:12" s="485" customFormat="1" ht="15" x14ac:dyDescent="0.2">
      <c r="A47" s="1490" t="s">
        <v>1658</v>
      </c>
      <c r="B47" s="483">
        <v>8110</v>
      </c>
      <c r="C47" s="477"/>
      <c r="D47" s="477"/>
      <c r="E47" s="477"/>
      <c r="F47" s="477"/>
      <c r="G47" s="477"/>
      <c r="H47" s="477"/>
      <c r="I47" s="1743">
        <f>SUM(C24,C25:H25,J25:K25)</f>
        <v>0</v>
      </c>
      <c r="J47" s="477"/>
      <c r="K47" s="477"/>
      <c r="L47" s="529"/>
    </row>
    <row r="48" spans="1:12" s="485" customFormat="1" ht="15" x14ac:dyDescent="0.2">
      <c r="A48" s="1490" t="s">
        <v>1659</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1397</v>
      </c>
      <c r="B50" s="483">
        <v>8140</v>
      </c>
      <c r="C50" s="467"/>
      <c r="D50" s="467"/>
      <c r="E50" s="467"/>
      <c r="F50" s="467"/>
      <c r="G50" s="467"/>
      <c r="H50" s="467"/>
      <c r="I50" s="477"/>
      <c r="J50" s="467"/>
      <c r="K50" s="477"/>
      <c r="L50" s="524"/>
    </row>
    <row r="51" spans="1:12" s="485" customFormat="1" x14ac:dyDescent="0.2">
      <c r="A51" s="1490" t="s">
        <v>293</v>
      </c>
      <c r="B51" s="483">
        <v>8150</v>
      </c>
      <c r="C51" s="475"/>
      <c r="D51" s="475"/>
      <c r="E51" s="475"/>
      <c r="F51" s="475"/>
      <c r="G51" s="475"/>
      <c r="H51" s="1743">
        <f>SUM(D29)</f>
        <v>0</v>
      </c>
      <c r="I51" s="477"/>
      <c r="J51" s="475"/>
      <c r="K51" s="480"/>
      <c r="L51" s="524"/>
    </row>
    <row r="52" spans="1:12" s="485" customFormat="1" ht="26.25" x14ac:dyDescent="0.2">
      <c r="A52" s="1490" t="s">
        <v>1793</v>
      </c>
      <c r="B52" s="483">
        <v>8160</v>
      </c>
      <c r="C52" s="477"/>
      <c r="D52" s="477"/>
      <c r="E52" s="477"/>
      <c r="F52" s="477"/>
      <c r="G52" s="477"/>
      <c r="H52" s="477"/>
      <c r="I52" s="477"/>
      <c r="J52" s="477"/>
      <c r="K52" s="1743">
        <f>D30</f>
        <v>0</v>
      </c>
      <c r="L52" s="524"/>
    </row>
    <row r="53" spans="1:12" s="485" customFormat="1" ht="26.25" x14ac:dyDescent="0.2">
      <c r="A53" s="1490" t="s">
        <v>1792</v>
      </c>
      <c r="B53" s="483">
        <v>8170</v>
      </c>
      <c r="C53" s="480"/>
      <c r="D53" s="480"/>
      <c r="E53" s="477"/>
      <c r="F53" s="477"/>
      <c r="G53" s="477"/>
      <c r="H53" s="480"/>
      <c r="I53" s="477"/>
      <c r="J53" s="477"/>
      <c r="K53" s="1743">
        <f>E31</f>
        <v>0</v>
      </c>
      <c r="L53" s="524"/>
    </row>
    <row r="54" spans="1:12" s="485" customFormat="1" ht="13.5" thickBot="1" x14ac:dyDescent="0.25">
      <c r="A54" s="1490" t="s">
        <v>691</v>
      </c>
      <c r="B54" s="483">
        <v>8410</v>
      </c>
      <c r="C54" s="530"/>
      <c r="D54" s="530"/>
      <c r="E54" s="477"/>
      <c r="F54" s="477"/>
      <c r="G54" s="477"/>
      <c r="H54" s="530"/>
      <c r="I54" s="477"/>
      <c r="J54" s="477"/>
      <c r="K54" s="475"/>
      <c r="L54" s="524"/>
    </row>
    <row r="55" spans="1:12" s="485" customFormat="1" ht="14.25" thickTop="1" thickBot="1" x14ac:dyDescent="0.25">
      <c r="A55" s="1491" t="s">
        <v>692</v>
      </c>
      <c r="B55" s="483">
        <v>8420</v>
      </c>
      <c r="C55" s="531"/>
      <c r="D55" s="531"/>
      <c r="E55" s="477"/>
      <c r="F55" s="477"/>
      <c r="G55" s="477"/>
      <c r="H55" s="530"/>
      <c r="I55" s="477"/>
      <c r="J55" s="477"/>
      <c r="K55" s="477"/>
      <c r="L55" s="524"/>
    </row>
    <row r="56" spans="1:12" s="485" customFormat="1" ht="14.25" thickTop="1" thickBot="1" x14ac:dyDescent="0.25">
      <c r="A56" s="1490" t="s">
        <v>580</v>
      </c>
      <c r="B56" s="483">
        <v>8430</v>
      </c>
      <c r="C56" s="531"/>
      <c r="D56" s="531"/>
      <c r="E56" s="477"/>
      <c r="F56" s="477"/>
      <c r="G56" s="477"/>
      <c r="H56" s="530"/>
      <c r="I56" s="477"/>
      <c r="J56" s="477"/>
      <c r="K56" s="477"/>
      <c r="L56" s="524"/>
    </row>
    <row r="57" spans="1:12" s="485" customFormat="1" ht="14.25" thickTop="1" thickBot="1" x14ac:dyDescent="0.25">
      <c r="A57" s="1491" t="s">
        <v>577</v>
      </c>
      <c r="B57" s="483">
        <v>8440</v>
      </c>
      <c r="C57" s="531"/>
      <c r="D57" s="531"/>
      <c r="E57" s="477"/>
      <c r="F57" s="477"/>
      <c r="G57" s="477"/>
      <c r="H57" s="530"/>
      <c r="I57" s="477"/>
      <c r="J57" s="477"/>
      <c r="K57" s="477"/>
      <c r="L57" s="524"/>
    </row>
    <row r="58" spans="1:12" s="485" customFormat="1" ht="14.25" thickTop="1" thickBot="1" x14ac:dyDescent="0.25">
      <c r="A58" s="1490" t="s">
        <v>578</v>
      </c>
      <c r="B58" s="483">
        <v>8510</v>
      </c>
      <c r="C58" s="531"/>
      <c r="D58" s="531"/>
      <c r="E58" s="477"/>
      <c r="F58" s="477"/>
      <c r="G58" s="477"/>
      <c r="H58" s="530"/>
      <c r="I58" s="477"/>
      <c r="J58" s="477"/>
      <c r="K58" s="477"/>
      <c r="L58" s="524"/>
    </row>
    <row r="59" spans="1:12" s="485" customFormat="1" ht="14.25" thickTop="1" thickBot="1" x14ac:dyDescent="0.25">
      <c r="A59" s="1492" t="s">
        <v>693</v>
      </c>
      <c r="B59" s="483">
        <v>8520</v>
      </c>
      <c r="C59" s="531"/>
      <c r="D59" s="531"/>
      <c r="E59" s="477"/>
      <c r="F59" s="477"/>
      <c r="G59" s="477"/>
      <c r="H59" s="530"/>
      <c r="I59" s="477"/>
      <c r="J59" s="477"/>
      <c r="K59" s="477"/>
      <c r="L59" s="524"/>
    </row>
    <row r="60" spans="1:12" s="485" customFormat="1" ht="14.25" thickTop="1" thickBot="1" x14ac:dyDescent="0.25">
      <c r="A60" s="1490" t="s">
        <v>579</v>
      </c>
      <c r="B60" s="483">
        <v>8530</v>
      </c>
      <c r="C60" s="531"/>
      <c r="D60" s="531"/>
      <c r="E60" s="477"/>
      <c r="F60" s="477"/>
      <c r="G60" s="477"/>
      <c r="H60" s="530"/>
      <c r="I60" s="477"/>
      <c r="J60" s="477"/>
      <c r="K60" s="477"/>
      <c r="L60" s="524"/>
    </row>
    <row r="61" spans="1:12" s="485" customFormat="1" ht="14.25" thickTop="1" thickBot="1" x14ac:dyDescent="0.25">
      <c r="A61" s="1491" t="s">
        <v>742</v>
      </c>
      <c r="B61" s="483">
        <v>8540</v>
      </c>
      <c r="C61" s="531"/>
      <c r="D61" s="531"/>
      <c r="E61" s="477"/>
      <c r="F61" s="477"/>
      <c r="G61" s="477"/>
      <c r="H61" s="530"/>
      <c r="I61" s="477"/>
      <c r="J61" s="477"/>
      <c r="K61" s="477"/>
      <c r="L61" s="524"/>
    </row>
    <row r="62" spans="1:12" s="485" customFormat="1" ht="13.5" customHeight="1" thickTop="1" thickBot="1" x14ac:dyDescent="0.25">
      <c r="A62" s="1490" t="s">
        <v>743</v>
      </c>
      <c r="B62" s="483">
        <v>8610</v>
      </c>
      <c r="C62" s="531"/>
      <c r="D62" s="531"/>
      <c r="E62" s="477"/>
      <c r="F62" s="477"/>
      <c r="G62" s="477"/>
      <c r="H62" s="477"/>
      <c r="I62" s="477"/>
      <c r="J62" s="477"/>
      <c r="K62" s="477"/>
      <c r="L62" s="524"/>
    </row>
    <row r="63" spans="1:12" s="485" customFormat="1" ht="14.25" thickTop="1" thickBot="1" x14ac:dyDescent="0.25">
      <c r="A63" s="1491" t="s">
        <v>694</v>
      </c>
      <c r="B63" s="483">
        <v>8620</v>
      </c>
      <c r="C63" s="531"/>
      <c r="D63" s="531"/>
      <c r="E63" s="477"/>
      <c r="F63" s="477"/>
      <c r="G63" s="477"/>
      <c r="H63" s="477"/>
      <c r="I63" s="477"/>
      <c r="J63" s="477"/>
      <c r="K63" s="477"/>
      <c r="L63" s="524"/>
    </row>
    <row r="64" spans="1:12" s="485" customFormat="1" ht="13.5" customHeight="1" thickTop="1" thickBot="1" x14ac:dyDescent="0.25">
      <c r="A64" s="1490" t="s">
        <v>744</v>
      </c>
      <c r="B64" s="483">
        <v>8630</v>
      </c>
      <c r="C64" s="531"/>
      <c r="D64" s="531"/>
      <c r="E64" s="477"/>
      <c r="F64" s="477"/>
      <c r="G64" s="477"/>
      <c r="H64" s="477"/>
      <c r="I64" s="477"/>
      <c r="J64" s="477"/>
      <c r="K64" s="477"/>
      <c r="L64" s="524"/>
    </row>
    <row r="65" spans="1:12" s="485" customFormat="1" ht="14.25" thickTop="1" thickBot="1" x14ac:dyDescent="0.25">
      <c r="A65" s="1491" t="s">
        <v>745</v>
      </c>
      <c r="B65" s="483">
        <v>8640</v>
      </c>
      <c r="C65" s="531"/>
      <c r="D65" s="531"/>
      <c r="E65" s="477"/>
      <c r="F65" s="477"/>
      <c r="G65" s="477"/>
      <c r="H65" s="477"/>
      <c r="I65" s="477"/>
      <c r="J65" s="477"/>
      <c r="K65" s="477"/>
      <c r="L65" s="524"/>
    </row>
    <row r="66" spans="1:12" s="485" customFormat="1" ht="14.25" thickTop="1" thickBot="1" x14ac:dyDescent="0.25">
      <c r="A66" s="1490" t="s">
        <v>746</v>
      </c>
      <c r="B66" s="483">
        <v>8710</v>
      </c>
      <c r="C66" s="531"/>
      <c r="D66" s="531"/>
      <c r="E66" s="477"/>
      <c r="F66" s="477"/>
      <c r="G66" s="477"/>
      <c r="H66" s="477"/>
      <c r="I66" s="477"/>
      <c r="J66" s="477"/>
      <c r="K66" s="477"/>
      <c r="L66" s="524"/>
    </row>
    <row r="67" spans="1:12" s="485" customFormat="1" ht="14.25" thickTop="1" thickBot="1" x14ac:dyDescent="0.25">
      <c r="A67" s="1491" t="s">
        <v>695</v>
      </c>
      <c r="B67" s="483">
        <v>8720</v>
      </c>
      <c r="C67" s="531"/>
      <c r="D67" s="531"/>
      <c r="E67" s="477"/>
      <c r="F67" s="477"/>
      <c r="G67" s="477"/>
      <c r="H67" s="477"/>
      <c r="I67" s="477"/>
      <c r="J67" s="477"/>
      <c r="K67" s="477"/>
      <c r="L67" s="524"/>
    </row>
    <row r="68" spans="1:12" s="485" customFormat="1" ht="14.25" thickTop="1" thickBot="1" x14ac:dyDescent="0.25">
      <c r="A68" s="1492" t="s">
        <v>747</v>
      </c>
      <c r="B68" s="483">
        <v>8730</v>
      </c>
      <c r="C68" s="531"/>
      <c r="D68" s="531"/>
      <c r="E68" s="477"/>
      <c r="F68" s="477"/>
      <c r="G68" s="477"/>
      <c r="H68" s="477"/>
      <c r="I68" s="477"/>
      <c r="J68" s="477"/>
      <c r="K68" s="477"/>
      <c r="L68" s="524"/>
    </row>
    <row r="69" spans="1:12" s="485" customFormat="1" ht="14.25" thickTop="1" thickBot="1" x14ac:dyDescent="0.25">
      <c r="A69" s="1491" t="s">
        <v>748</v>
      </c>
      <c r="B69" s="483">
        <v>8740</v>
      </c>
      <c r="C69" s="531"/>
      <c r="D69" s="531"/>
      <c r="E69" s="477"/>
      <c r="F69" s="477"/>
      <c r="G69" s="477"/>
      <c r="H69" s="477"/>
      <c r="I69" s="477"/>
      <c r="J69" s="477"/>
      <c r="K69" s="477"/>
      <c r="L69" s="524"/>
    </row>
    <row r="70" spans="1:12" s="485" customFormat="1" ht="14.25" thickTop="1" thickBot="1" x14ac:dyDescent="0.25">
      <c r="A70" s="1490" t="s">
        <v>749</v>
      </c>
      <c r="B70" s="483">
        <v>8810</v>
      </c>
      <c r="C70" s="531"/>
      <c r="D70" s="531"/>
      <c r="E70" s="477"/>
      <c r="F70" s="477"/>
      <c r="G70" s="477"/>
      <c r="H70" s="477"/>
      <c r="I70" s="477"/>
      <c r="J70" s="477"/>
      <c r="K70" s="477"/>
      <c r="L70" s="524"/>
    </row>
    <row r="71" spans="1:12" s="485" customFormat="1" ht="14.25" thickTop="1" thickBot="1" x14ac:dyDescent="0.25">
      <c r="A71" s="1490" t="s">
        <v>753</v>
      </c>
      <c r="B71" s="483">
        <v>8820</v>
      </c>
      <c r="C71" s="531"/>
      <c r="D71" s="531"/>
      <c r="E71" s="477"/>
      <c r="F71" s="477"/>
      <c r="G71" s="477"/>
      <c r="H71" s="477"/>
      <c r="I71" s="477"/>
      <c r="J71" s="477"/>
      <c r="K71" s="477"/>
      <c r="L71" s="524"/>
    </row>
    <row r="72" spans="1:12" s="485" customFormat="1" ht="14.25" thickTop="1" thickBot="1" x14ac:dyDescent="0.25">
      <c r="A72" s="1490" t="s">
        <v>750</v>
      </c>
      <c r="B72" s="483">
        <v>8830</v>
      </c>
      <c r="C72" s="531"/>
      <c r="D72" s="531"/>
      <c r="E72" s="477"/>
      <c r="F72" s="477"/>
      <c r="G72" s="477"/>
      <c r="H72" s="477"/>
      <c r="I72" s="477"/>
      <c r="J72" s="477"/>
      <c r="K72" s="477"/>
      <c r="L72" s="524"/>
    </row>
    <row r="73" spans="1:12" s="485" customFormat="1" ht="14.25" thickTop="1" thickBot="1" x14ac:dyDescent="0.25">
      <c r="A73" s="1490" t="s">
        <v>751</v>
      </c>
      <c r="B73" s="483">
        <v>8840</v>
      </c>
      <c r="C73" s="531"/>
      <c r="D73" s="531"/>
      <c r="E73" s="477"/>
      <c r="F73" s="477"/>
      <c r="G73" s="477"/>
      <c r="H73" s="477"/>
      <c r="I73" s="477"/>
      <c r="J73" s="477"/>
      <c r="K73" s="480"/>
      <c r="L73" s="524"/>
    </row>
    <row r="74" spans="1:12" s="485" customFormat="1" ht="14.25" thickTop="1" thickBot="1" x14ac:dyDescent="0.25">
      <c r="A74" s="1490" t="s">
        <v>374</v>
      </c>
      <c r="B74" s="483">
        <v>8910</v>
      </c>
      <c r="C74" s="531"/>
      <c r="D74" s="531"/>
      <c r="E74" s="480"/>
      <c r="F74" s="530"/>
      <c r="G74" s="530"/>
      <c r="H74" s="530"/>
      <c r="I74" s="480"/>
      <c r="J74" s="480"/>
      <c r="K74" s="530"/>
      <c r="L74" s="524"/>
    </row>
    <row r="75" spans="1:12" s="485" customFormat="1" ht="14.25" thickTop="1" thickBot="1" x14ac:dyDescent="0.25">
      <c r="A75" s="1493" t="s">
        <v>438</v>
      </c>
      <c r="B75" s="483">
        <v>8990</v>
      </c>
      <c r="C75" s="531"/>
      <c r="D75" s="531"/>
      <c r="E75" s="530">
        <v>9362238</v>
      </c>
      <c r="F75" s="532"/>
      <c r="G75" s="532"/>
      <c r="H75" s="532"/>
      <c r="I75" s="530"/>
      <c r="J75" s="530"/>
      <c r="K75" s="532"/>
      <c r="L75" s="524"/>
    </row>
    <row r="76" spans="1:12" s="485" customFormat="1" ht="14.25" thickTop="1" thickBot="1" x14ac:dyDescent="0.25">
      <c r="A76" s="2172" t="s">
        <v>439</v>
      </c>
      <c r="B76" s="2173"/>
      <c r="C76" s="1703">
        <f t="shared" ref="C76:K76" si="7">SUM(C47:C75)</f>
        <v>0</v>
      </c>
      <c r="D76" s="1703">
        <f t="shared" si="7"/>
        <v>0</v>
      </c>
      <c r="E76" s="1703">
        <f t="shared" si="7"/>
        <v>9362238</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74" t="s">
        <v>1176</v>
      </c>
      <c r="B77" s="2175"/>
      <c r="C77" s="1703">
        <f t="shared" ref="C77:K77" si="8">C44-C76</f>
        <v>0</v>
      </c>
      <c r="D77" s="1703">
        <f t="shared" si="8"/>
        <v>0</v>
      </c>
      <c r="E77" s="1703">
        <f t="shared" si="8"/>
        <v>136353</v>
      </c>
      <c r="F77" s="1703">
        <f t="shared" si="8"/>
        <v>0</v>
      </c>
      <c r="G77" s="1703">
        <f t="shared" si="8"/>
        <v>0</v>
      </c>
      <c r="H77" s="1703">
        <f t="shared" si="8"/>
        <v>0</v>
      </c>
      <c r="I77" s="1703">
        <f t="shared" si="8"/>
        <v>0</v>
      </c>
      <c r="J77" s="1703">
        <f t="shared" si="8"/>
        <v>0</v>
      </c>
      <c r="K77" s="1703">
        <f t="shared" si="8"/>
        <v>0</v>
      </c>
      <c r="L77" s="347"/>
    </row>
    <row r="78" spans="1:12" ht="21.75" customHeight="1" thickTop="1" thickBot="1" x14ac:dyDescent="0.25">
      <c r="A78" s="2178" t="s">
        <v>596</v>
      </c>
      <c r="B78" s="2179"/>
      <c r="C78" s="1702">
        <f t="shared" ref="C78:K78" si="9">C20+C77</f>
        <v>11575062</v>
      </c>
      <c r="D78" s="1702">
        <f t="shared" si="9"/>
        <v>735875</v>
      </c>
      <c r="E78" s="1702">
        <f t="shared" si="9"/>
        <v>-208210</v>
      </c>
      <c r="F78" s="1702">
        <f t="shared" si="9"/>
        <v>2017970</v>
      </c>
      <c r="G78" s="1702">
        <f t="shared" si="9"/>
        <v>189756</v>
      </c>
      <c r="H78" s="1702">
        <f t="shared" si="9"/>
        <v>-8630664</v>
      </c>
      <c r="I78" s="1702">
        <f t="shared" si="9"/>
        <v>0</v>
      </c>
      <c r="J78" s="1702">
        <f t="shared" si="9"/>
        <v>-126605</v>
      </c>
      <c r="K78" s="1702">
        <f t="shared" si="9"/>
        <v>293</v>
      </c>
      <c r="L78" s="533"/>
    </row>
    <row r="79" spans="1:12" ht="13.5" thickTop="1" x14ac:dyDescent="0.2">
      <c r="A79" s="1494" t="s">
        <v>1943</v>
      </c>
      <c r="B79" s="534"/>
      <c r="C79" s="478">
        <v>21331134</v>
      </c>
      <c r="D79" s="535">
        <v>1494338</v>
      </c>
      <c r="E79" s="535">
        <v>10050642</v>
      </c>
      <c r="F79" s="535">
        <v>610771</v>
      </c>
      <c r="G79" s="535">
        <v>-166195</v>
      </c>
      <c r="H79" s="535">
        <v>11745526</v>
      </c>
      <c r="I79" s="535">
        <v>14253044</v>
      </c>
      <c r="J79" s="535">
        <v>11070</v>
      </c>
      <c r="K79" s="535">
        <v>14611</v>
      </c>
      <c r="L79" s="347"/>
    </row>
    <row r="80" spans="1:12" x14ac:dyDescent="0.2">
      <c r="A80" s="2184" t="s">
        <v>1791</v>
      </c>
      <c r="B80" s="2185"/>
      <c r="C80" s="467"/>
      <c r="D80" s="467"/>
      <c r="E80" s="467"/>
      <c r="F80" s="467"/>
      <c r="G80" s="467"/>
      <c r="H80" s="467"/>
      <c r="I80" s="467"/>
      <c r="J80" s="467"/>
      <c r="K80" s="467"/>
      <c r="L80" s="347"/>
    </row>
    <row r="81" spans="1:12" ht="13.5" thickBot="1" x14ac:dyDescent="0.25">
      <c r="A81" s="2176" t="s">
        <v>1944</v>
      </c>
      <c r="B81" s="2177"/>
      <c r="C81" s="1688">
        <f>(SUM(C78:C80))</f>
        <v>32906196</v>
      </c>
      <c r="D81" s="1688">
        <f>SUM(D78:D80)</f>
        <v>2230213</v>
      </c>
      <c r="E81" s="1688">
        <f t="shared" ref="E81:K81" si="10">SUM(E78:E80)</f>
        <v>9842432</v>
      </c>
      <c r="F81" s="1688">
        <f t="shared" si="10"/>
        <v>2628741</v>
      </c>
      <c r="G81" s="1688">
        <f t="shared" si="10"/>
        <v>23561</v>
      </c>
      <c r="H81" s="1688">
        <f t="shared" si="10"/>
        <v>3114862</v>
      </c>
      <c r="I81" s="1688">
        <f t="shared" si="10"/>
        <v>14253044</v>
      </c>
      <c r="J81" s="1688">
        <f t="shared" si="10"/>
        <v>-115535</v>
      </c>
      <c r="K81" s="1688">
        <f t="shared" si="10"/>
        <v>14904</v>
      </c>
      <c r="L81" s="347"/>
    </row>
    <row r="82" spans="1:12" ht="0.75" customHeight="1" thickTop="1" thickBot="1" x14ac:dyDescent="0.25">
      <c r="A82" s="536" t="s">
        <v>342</v>
      </c>
      <c r="B82" s="537"/>
      <c r="C82" s="538">
        <f>(C81-C79)</f>
        <v>11575062</v>
      </c>
      <c r="D82" s="538">
        <f t="shared" ref="D82:K82" si="11">(D81-D79)</f>
        <v>735875</v>
      </c>
      <c r="E82" s="538">
        <f t="shared" si="11"/>
        <v>-208210</v>
      </c>
      <c r="F82" s="538">
        <f t="shared" si="11"/>
        <v>2017970</v>
      </c>
      <c r="G82" s="538">
        <f t="shared" si="11"/>
        <v>189756</v>
      </c>
      <c r="H82" s="538">
        <f t="shared" si="11"/>
        <v>-8630664</v>
      </c>
      <c r="I82" s="538">
        <f t="shared" si="11"/>
        <v>0</v>
      </c>
      <c r="J82" s="538">
        <f t="shared" si="11"/>
        <v>-126605</v>
      </c>
      <c r="K82" s="538">
        <f t="shared" si="11"/>
        <v>293</v>
      </c>
    </row>
    <row r="83" spans="1:12" ht="14.25" hidden="1" thickTop="1" thickBot="1" x14ac:dyDescent="0.25">
      <c r="A83" s="539" t="s">
        <v>343</v>
      </c>
      <c r="B83" s="464"/>
      <c r="C83" s="540">
        <f>C82/C81</f>
        <v>0.35175934647687629</v>
      </c>
      <c r="D83" s="540">
        <f t="shared" ref="D83:K83" si="12">D82/D81</f>
        <v>0.32995727313938178</v>
      </c>
      <c r="E83" s="540">
        <f t="shared" si="12"/>
        <v>-2.1154324459645747E-2</v>
      </c>
      <c r="F83" s="540">
        <f t="shared" si="12"/>
        <v>0.76765645607536082</v>
      </c>
      <c r="G83" s="540">
        <f t="shared" si="12"/>
        <v>8.053817749671067</v>
      </c>
      <c r="H83" s="540">
        <f t="shared" si="12"/>
        <v>-2.7708014030798154</v>
      </c>
      <c r="I83" s="540">
        <f t="shared" si="12"/>
        <v>0</v>
      </c>
      <c r="J83" s="540">
        <f t="shared" si="12"/>
        <v>1.0958151209590168</v>
      </c>
      <c r="K83" s="540">
        <f t="shared" si="12"/>
        <v>1.9659151905528718E-2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L279"/>
  <sheetViews>
    <sheetView showGridLines="0" defaultGridColor="0" colorId="8" zoomScale="110" zoomScaleNormal="110" zoomScaleSheetLayoutView="75" workbookViewId="0">
      <pane ySplit="2" topLeftCell="A237" activePane="bottomLeft" state="frozen"/>
      <selection activeCell="H14" sqref="H14"/>
      <selection pane="bottomLeft" activeCell="C256" sqref="C256"/>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80" t="s">
        <v>1798</v>
      </c>
      <c r="B1" s="452"/>
      <c r="C1" s="453" t="s">
        <v>424</v>
      </c>
      <c r="D1" s="453" t="s">
        <v>425</v>
      </c>
      <c r="E1" s="453" t="s">
        <v>426</v>
      </c>
      <c r="F1" s="453" t="s">
        <v>427</v>
      </c>
      <c r="G1" s="453" t="s">
        <v>428</v>
      </c>
      <c r="H1" s="453" t="s">
        <v>429</v>
      </c>
      <c r="I1" s="453" t="s">
        <v>430</v>
      </c>
      <c r="J1" s="453" t="s">
        <v>431</v>
      </c>
      <c r="K1" s="453" t="s">
        <v>755</v>
      </c>
    </row>
    <row r="2" spans="1:12" ht="36" x14ac:dyDescent="0.2">
      <c r="A2" s="2181"/>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378</v>
      </c>
      <c r="B4" s="1591">
        <v>1100</v>
      </c>
      <c r="C4" s="543"/>
      <c r="D4" s="543"/>
      <c r="E4" s="543"/>
      <c r="F4" s="544"/>
      <c r="G4" s="545"/>
      <c r="H4" s="546"/>
      <c r="I4" s="546"/>
      <c r="J4" s="546"/>
      <c r="K4" s="546"/>
    </row>
    <row r="5" spans="1:12" ht="15" x14ac:dyDescent="0.2">
      <c r="A5" s="493" t="s">
        <v>1660</v>
      </c>
      <c r="B5" s="547"/>
      <c r="C5" s="481">
        <v>50810017</v>
      </c>
      <c r="D5" s="481">
        <v>11636413</v>
      </c>
      <c r="E5" s="466">
        <v>14045736</v>
      </c>
      <c r="F5" s="548">
        <v>3985597</v>
      </c>
      <c r="G5" s="466">
        <v>2002592</v>
      </c>
      <c r="H5" s="466"/>
      <c r="I5" s="466"/>
      <c r="J5" s="467"/>
      <c r="K5" s="466"/>
    </row>
    <row r="6" spans="1:12" ht="15" x14ac:dyDescent="0.2">
      <c r="A6" s="463" t="s">
        <v>1661</v>
      </c>
      <c r="B6" s="470">
        <v>1130</v>
      </c>
      <c r="C6" s="466"/>
      <c r="D6" s="466"/>
      <c r="E6" s="475"/>
      <c r="F6" s="475"/>
      <c r="G6" s="468"/>
      <c r="H6" s="468"/>
      <c r="I6" s="468"/>
      <c r="J6" s="468"/>
      <c r="K6" s="468"/>
    </row>
    <row r="7" spans="1:12" x14ac:dyDescent="0.2">
      <c r="A7" s="463" t="s">
        <v>110</v>
      </c>
      <c r="B7" s="549">
        <v>1140</v>
      </c>
      <c r="C7" s="466">
        <v>8972748</v>
      </c>
      <c r="D7" s="466"/>
      <c r="E7" s="468"/>
      <c r="F7" s="467"/>
      <c r="G7" s="467"/>
      <c r="H7" s="467"/>
      <c r="I7" s="468"/>
      <c r="J7" s="468"/>
      <c r="K7" s="468"/>
    </row>
    <row r="8" spans="1:12" x14ac:dyDescent="0.2">
      <c r="A8" s="463" t="s">
        <v>412</v>
      </c>
      <c r="B8" s="470">
        <v>1150</v>
      </c>
      <c r="C8" s="475"/>
      <c r="D8" s="475"/>
      <c r="E8" s="477"/>
      <c r="F8" s="477"/>
      <c r="G8" s="481">
        <v>2002591</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59782765</v>
      </c>
      <c r="D12" s="1707">
        <f t="shared" si="0"/>
        <v>11636413</v>
      </c>
      <c r="E12" s="1707">
        <f t="shared" si="0"/>
        <v>14045736</v>
      </c>
      <c r="F12" s="1707">
        <f t="shared" si="0"/>
        <v>3985597</v>
      </c>
      <c r="G12" s="1707">
        <f t="shared" si="0"/>
        <v>4005183</v>
      </c>
      <c r="H12" s="1707">
        <f t="shared" si="0"/>
        <v>0</v>
      </c>
      <c r="I12" s="1707">
        <f t="shared" si="0"/>
        <v>0</v>
      </c>
      <c r="J12" s="1707">
        <f t="shared" si="0"/>
        <v>0</v>
      </c>
      <c r="K12" s="1688">
        <f t="shared" si="0"/>
        <v>0</v>
      </c>
    </row>
    <row r="13" spans="1:12" ht="15.75" customHeight="1" thickTop="1" x14ac:dyDescent="0.2">
      <c r="A13" s="1592" t="s">
        <v>450</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1662</v>
      </c>
      <c r="B16" s="549">
        <v>1230</v>
      </c>
      <c r="C16" s="551">
        <v>1676935</v>
      </c>
      <c r="D16" s="466"/>
      <c r="E16" s="466"/>
      <c r="F16" s="466"/>
      <c r="G16" s="466">
        <v>419234</v>
      </c>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708" t="s">
        <v>536</v>
      </c>
      <c r="B18" s="1709"/>
      <c r="C18" s="1710">
        <f>SUM(C14:C17)</f>
        <v>1676935</v>
      </c>
      <c r="D18" s="1710">
        <f t="shared" ref="D18:K18" si="1">SUM(D14:D17)</f>
        <v>0</v>
      </c>
      <c r="E18" s="1710">
        <f t="shared" si="1"/>
        <v>0</v>
      </c>
      <c r="F18" s="1710">
        <f t="shared" si="1"/>
        <v>0</v>
      </c>
      <c r="G18" s="1710">
        <f t="shared" si="1"/>
        <v>419234</v>
      </c>
      <c r="H18" s="1710">
        <f t="shared" si="1"/>
        <v>0</v>
      </c>
      <c r="I18" s="1710">
        <f t="shared" si="1"/>
        <v>0</v>
      </c>
      <c r="J18" s="1710">
        <f t="shared" si="1"/>
        <v>0</v>
      </c>
      <c r="K18" s="1711">
        <f t="shared" si="1"/>
        <v>0</v>
      </c>
    </row>
    <row r="19" spans="1:11" ht="15.75" customHeight="1" thickTop="1" x14ac:dyDescent="0.2">
      <c r="A19" s="1592" t="s">
        <v>451</v>
      </c>
      <c r="B19" s="1593">
        <v>1300</v>
      </c>
      <c r="C19" s="554"/>
      <c r="D19" s="554"/>
      <c r="E19" s="554"/>
      <c r="F19" s="554"/>
      <c r="G19" s="553"/>
      <c r="H19" s="554"/>
      <c r="I19" s="554"/>
      <c r="J19" s="554"/>
      <c r="K19" s="555"/>
    </row>
    <row r="20" spans="1:11" x14ac:dyDescent="0.2">
      <c r="A20" s="463" t="s">
        <v>1072</v>
      </c>
      <c r="B20" s="470">
        <v>1311</v>
      </c>
      <c r="C20" s="466"/>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v>9750</v>
      </c>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v>2668</v>
      </c>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95" t="s">
        <v>593</v>
      </c>
      <c r="B39" s="556">
        <v>1354</v>
      </c>
      <c r="C39" s="489"/>
      <c r="D39" s="468"/>
      <c r="E39" s="468"/>
      <c r="F39" s="468"/>
      <c r="G39" s="468"/>
      <c r="H39" s="468"/>
      <c r="I39" s="468"/>
      <c r="J39" s="468"/>
      <c r="K39" s="468"/>
    </row>
    <row r="40" spans="1:11" ht="12.75" customHeight="1" thickBot="1" x14ac:dyDescent="0.25">
      <c r="A40" s="1708" t="s">
        <v>537</v>
      </c>
      <c r="B40" s="1709"/>
      <c r="C40" s="1688">
        <f>SUM(C20:C39)</f>
        <v>12418</v>
      </c>
      <c r="D40" s="468"/>
      <c r="E40" s="468"/>
      <c r="F40" s="468"/>
      <c r="G40" s="468"/>
      <c r="H40" s="468"/>
      <c r="I40" s="468"/>
      <c r="J40" s="468"/>
      <c r="K40" s="468"/>
    </row>
    <row r="41" spans="1:11" ht="15.75" customHeight="1" thickTop="1" x14ac:dyDescent="0.2">
      <c r="A41" s="1592" t="s">
        <v>273</v>
      </c>
      <c r="B41" s="1593">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1105</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1106</v>
      </c>
      <c r="B56" s="557">
        <v>1442</v>
      </c>
      <c r="C56" s="468"/>
      <c r="D56" s="468"/>
      <c r="E56" s="468"/>
      <c r="F56" s="466"/>
      <c r="G56" s="468"/>
      <c r="H56" s="468"/>
      <c r="I56" s="468"/>
      <c r="J56" s="468"/>
      <c r="K56" s="468"/>
    </row>
    <row r="57" spans="1:11" ht="12.75" customHeight="1" x14ac:dyDescent="0.2">
      <c r="A57" s="1496" t="s">
        <v>488</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877</v>
      </c>
      <c r="B59" s="557">
        <v>1451</v>
      </c>
      <c r="C59" s="468"/>
      <c r="D59" s="468"/>
      <c r="E59" s="468"/>
      <c r="F59" s="466"/>
      <c r="G59" s="468"/>
      <c r="H59" s="468"/>
      <c r="I59" s="468"/>
      <c r="J59" s="468"/>
      <c r="K59" s="468"/>
    </row>
    <row r="60" spans="1:11" ht="12.75" customHeight="1" x14ac:dyDescent="0.2">
      <c r="A60" s="1496"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97" t="s">
        <v>879</v>
      </c>
      <c r="B62" s="558">
        <v>1454</v>
      </c>
      <c r="C62" s="468"/>
      <c r="D62" s="468"/>
      <c r="E62" s="468"/>
      <c r="F62" s="467"/>
      <c r="G62" s="468"/>
      <c r="H62" s="468"/>
      <c r="I62" s="468"/>
      <c r="J62" s="468"/>
      <c r="K62" s="468"/>
    </row>
    <row r="63" spans="1:11" ht="12.75" customHeight="1" thickBot="1" x14ac:dyDescent="0.25">
      <c r="A63" s="1708" t="s">
        <v>484</v>
      </c>
      <c r="B63" s="1709"/>
      <c r="C63" s="468"/>
      <c r="D63" s="468"/>
      <c r="E63" s="468"/>
      <c r="F63" s="1688">
        <f>SUM(F42:F62)</f>
        <v>0</v>
      </c>
      <c r="G63" s="468"/>
      <c r="H63" s="468"/>
      <c r="I63" s="468"/>
      <c r="J63" s="468"/>
      <c r="K63" s="468"/>
    </row>
    <row r="64" spans="1:11" ht="15.75" customHeight="1" thickTop="1" x14ac:dyDescent="0.2">
      <c r="A64" s="1592" t="s">
        <v>453</v>
      </c>
      <c r="B64" s="1593">
        <v>1500</v>
      </c>
      <c r="C64" s="468"/>
      <c r="D64" s="468"/>
      <c r="E64" s="468"/>
      <c r="F64" s="468"/>
      <c r="G64" s="468"/>
      <c r="H64" s="468"/>
      <c r="I64" s="468"/>
      <c r="J64" s="468"/>
      <c r="K64" s="468"/>
    </row>
    <row r="65" spans="1:11" ht="12.75" customHeight="1" x14ac:dyDescent="0.2">
      <c r="A65" s="463" t="s">
        <v>546</v>
      </c>
      <c r="B65" s="470">
        <v>1510</v>
      </c>
      <c r="C65" s="466">
        <v>625333</v>
      </c>
      <c r="D65" s="466">
        <v>132317</v>
      </c>
      <c r="E65" s="466">
        <v>13084</v>
      </c>
      <c r="F65" s="467"/>
      <c r="G65" s="466"/>
      <c r="H65" s="466">
        <v>373111</v>
      </c>
      <c r="I65" s="466"/>
      <c r="J65" s="467">
        <v>3028</v>
      </c>
      <c r="K65" s="466">
        <v>293</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708" t="s">
        <v>485</v>
      </c>
      <c r="B67" s="1709"/>
      <c r="C67" s="1688">
        <f>SUM(C65:C66)</f>
        <v>625333</v>
      </c>
      <c r="D67" s="1688">
        <f t="shared" ref="D67:K67" si="2">SUM(D65:D66)</f>
        <v>132317</v>
      </c>
      <c r="E67" s="1688">
        <f t="shared" si="2"/>
        <v>13084</v>
      </c>
      <c r="F67" s="1688">
        <f t="shared" si="2"/>
        <v>0</v>
      </c>
      <c r="G67" s="1688">
        <f t="shared" si="2"/>
        <v>0</v>
      </c>
      <c r="H67" s="1688">
        <f t="shared" si="2"/>
        <v>373111</v>
      </c>
      <c r="I67" s="1688">
        <f t="shared" si="2"/>
        <v>0</v>
      </c>
      <c r="J67" s="1688">
        <f t="shared" si="2"/>
        <v>3028</v>
      </c>
      <c r="K67" s="1688">
        <f t="shared" si="2"/>
        <v>293</v>
      </c>
    </row>
    <row r="68" spans="1:11" ht="15.75" customHeight="1" thickTop="1" x14ac:dyDescent="0.2">
      <c r="A68" s="1592" t="s">
        <v>454</v>
      </c>
      <c r="B68" s="1594">
        <v>1600</v>
      </c>
      <c r="C68" s="553"/>
      <c r="D68" s="468"/>
      <c r="E68" s="468"/>
      <c r="F68" s="468"/>
      <c r="G68" s="468"/>
      <c r="H68" s="468"/>
      <c r="I68" s="468"/>
      <c r="J68" s="468"/>
      <c r="K68" s="468"/>
    </row>
    <row r="69" spans="1:11" ht="12.75" customHeight="1" x14ac:dyDescent="0.2">
      <c r="A69" s="463" t="s">
        <v>665</v>
      </c>
      <c r="B69" s="470">
        <v>1611</v>
      </c>
      <c r="C69" s="466">
        <f>353965-21274</f>
        <v>332691</v>
      </c>
      <c r="D69" s="468"/>
      <c r="E69" s="468"/>
      <c r="F69" s="468"/>
      <c r="G69" s="468"/>
      <c r="H69" s="468"/>
      <c r="I69" s="468"/>
      <c r="J69" s="468"/>
      <c r="K69" s="468"/>
    </row>
    <row r="70" spans="1:11" ht="12.75" customHeight="1" x14ac:dyDescent="0.2">
      <c r="A70" s="463" t="s">
        <v>996</v>
      </c>
      <c r="B70" s="470">
        <v>1612</v>
      </c>
      <c r="C70" s="551">
        <v>69161</v>
      </c>
      <c r="D70" s="468"/>
      <c r="E70" s="468"/>
      <c r="F70" s="468"/>
      <c r="G70" s="468"/>
      <c r="H70" s="468"/>
      <c r="I70" s="468"/>
      <c r="J70" s="468"/>
      <c r="K70" s="468"/>
    </row>
    <row r="71" spans="1:11" ht="12.75" customHeight="1" x14ac:dyDescent="0.2">
      <c r="A71" s="463" t="s">
        <v>272</v>
      </c>
      <c r="B71" s="470">
        <v>1613</v>
      </c>
      <c r="C71" s="551">
        <v>309615</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997</v>
      </c>
      <c r="B73" s="470">
        <v>1620</v>
      </c>
      <c r="C73" s="551">
        <v>11652</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547</v>
      </c>
      <c r="B75" s="1709"/>
      <c r="C75" s="1688">
        <f>SUM(C69:C74)</f>
        <v>723119</v>
      </c>
      <c r="D75" s="468"/>
      <c r="E75" s="468"/>
      <c r="F75" s="468"/>
      <c r="G75" s="468"/>
      <c r="H75" s="468"/>
      <c r="I75" s="468"/>
      <c r="J75" s="468"/>
      <c r="K75" s="468"/>
    </row>
    <row r="76" spans="1:11" ht="15.75" customHeight="1" thickTop="1" x14ac:dyDescent="0.2">
      <c r="A76" s="1592" t="s">
        <v>880</v>
      </c>
      <c r="B76" s="1594">
        <v>1700</v>
      </c>
      <c r="C76" s="553"/>
      <c r="D76" s="468"/>
      <c r="E76" s="468"/>
      <c r="F76" s="468"/>
      <c r="G76" s="468"/>
      <c r="H76" s="468"/>
      <c r="I76" s="468"/>
      <c r="J76" s="468"/>
      <c r="K76" s="468"/>
    </row>
    <row r="77" spans="1:11" ht="12.75" customHeight="1" x14ac:dyDescent="0.2">
      <c r="A77" s="463" t="s">
        <v>548</v>
      </c>
      <c r="B77" s="470">
        <v>1711</v>
      </c>
      <c r="C77" s="516">
        <v>49558</v>
      </c>
      <c r="D77" s="466"/>
      <c r="E77" s="468"/>
      <c r="F77" s="468"/>
      <c r="G77" s="468"/>
      <c r="H77" s="468"/>
      <c r="I77" s="468"/>
      <c r="J77" s="468"/>
      <c r="K77" s="468"/>
    </row>
    <row r="78" spans="1:11" ht="12.75" customHeight="1" x14ac:dyDescent="0.2">
      <c r="A78" s="463" t="s">
        <v>76</v>
      </c>
      <c r="B78" s="470">
        <v>1719</v>
      </c>
      <c r="C78" s="551">
        <v>25713</v>
      </c>
      <c r="D78" s="466"/>
      <c r="E78" s="468"/>
      <c r="F78" s="468"/>
      <c r="G78" s="468"/>
      <c r="H78" s="468"/>
      <c r="I78" s="468"/>
      <c r="J78" s="468"/>
      <c r="K78" s="468"/>
    </row>
    <row r="79" spans="1:11" ht="12.75" customHeight="1" x14ac:dyDescent="0.2">
      <c r="A79" s="463" t="s">
        <v>549</v>
      </c>
      <c r="B79" s="470">
        <v>1720</v>
      </c>
      <c r="C79" s="551">
        <v>269420</v>
      </c>
      <c r="D79" s="466"/>
      <c r="E79" s="468"/>
      <c r="F79" s="468"/>
      <c r="G79" s="468"/>
      <c r="H79" s="468"/>
      <c r="I79" s="468"/>
      <c r="J79" s="468"/>
      <c r="K79" s="468"/>
    </row>
    <row r="80" spans="1:11" ht="12.75" customHeight="1" x14ac:dyDescent="0.2">
      <c r="A80" s="463" t="s">
        <v>550</v>
      </c>
      <c r="B80" s="470">
        <v>1730</v>
      </c>
      <c r="C80" s="551">
        <v>17181</v>
      </c>
      <c r="D80" s="466"/>
      <c r="E80" s="468"/>
      <c r="F80" s="468"/>
      <c r="G80" s="468"/>
      <c r="H80" s="468"/>
      <c r="I80" s="468"/>
      <c r="J80" s="468"/>
      <c r="K80" s="468"/>
    </row>
    <row r="81" spans="1:11" ht="12.75" customHeight="1" x14ac:dyDescent="0.2">
      <c r="A81" s="463" t="s">
        <v>26</v>
      </c>
      <c r="B81" s="470">
        <v>1790</v>
      </c>
      <c r="C81" s="551">
        <v>53257</v>
      </c>
      <c r="D81" s="466"/>
      <c r="E81" s="468"/>
      <c r="F81" s="468"/>
      <c r="G81" s="468"/>
      <c r="H81" s="468"/>
      <c r="I81" s="468"/>
      <c r="J81" s="468"/>
      <c r="K81" s="468"/>
    </row>
    <row r="82" spans="1:11" ht="12.75" customHeight="1" thickBot="1" x14ac:dyDescent="0.25">
      <c r="A82" s="1708" t="s">
        <v>241</v>
      </c>
      <c r="B82" s="1709"/>
      <c r="C82" s="1707">
        <f>SUM(C77:C81)</f>
        <v>415129</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551</v>
      </c>
      <c r="B84" s="470">
        <v>1811</v>
      </c>
      <c r="C84" s="466">
        <v>810186</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c r="D92" s="468"/>
      <c r="E92" s="468"/>
      <c r="F92" s="468"/>
      <c r="G92" s="468"/>
      <c r="H92" s="468"/>
      <c r="I92" s="468"/>
      <c r="J92" s="468"/>
      <c r="K92" s="468"/>
    </row>
    <row r="93" spans="1:11" ht="12.75" customHeight="1" thickBot="1" x14ac:dyDescent="0.25">
      <c r="A93" s="1708" t="s">
        <v>243</v>
      </c>
      <c r="B93" s="1709"/>
      <c r="C93" s="1688">
        <f>SUM(C84:C92)</f>
        <v>810186</v>
      </c>
      <c r="D93" s="468"/>
      <c r="E93" s="468"/>
      <c r="F93" s="468"/>
      <c r="G93" s="468"/>
      <c r="H93" s="468"/>
      <c r="I93" s="468"/>
      <c r="J93" s="468"/>
      <c r="K93" s="468"/>
    </row>
    <row r="94" spans="1:11" ht="15.75" customHeight="1" thickTop="1" x14ac:dyDescent="0.2">
      <c r="A94" s="1592" t="s">
        <v>1136</v>
      </c>
      <c r="B94" s="1594">
        <v>1900</v>
      </c>
      <c r="C94" s="553"/>
      <c r="D94" s="521"/>
      <c r="E94" s="468"/>
      <c r="F94" s="468"/>
      <c r="G94" s="468"/>
      <c r="H94" s="468"/>
      <c r="I94" s="468"/>
      <c r="J94" s="468"/>
      <c r="K94" s="468"/>
    </row>
    <row r="95" spans="1:11" ht="12.75" customHeight="1" x14ac:dyDescent="0.2">
      <c r="A95" s="463" t="s">
        <v>1063</v>
      </c>
      <c r="B95" s="470">
        <v>1910</v>
      </c>
      <c r="C95" s="466">
        <v>2975</v>
      </c>
      <c r="D95" s="551">
        <v>190005</v>
      </c>
      <c r="E95" s="521"/>
      <c r="F95" s="521"/>
      <c r="G95" s="521"/>
      <c r="H95" s="521"/>
      <c r="I95" s="521"/>
      <c r="J95" s="521"/>
      <c r="K95" s="521"/>
    </row>
    <row r="96" spans="1:11" ht="12.75" customHeight="1" x14ac:dyDescent="0.2">
      <c r="A96" s="463" t="s">
        <v>390</v>
      </c>
      <c r="B96" s="470">
        <v>1920</v>
      </c>
      <c r="C96" s="551">
        <v>120251</v>
      </c>
      <c r="D96" s="551"/>
      <c r="E96" s="479"/>
      <c r="F96" s="478"/>
      <c r="G96" s="478"/>
      <c r="H96" s="478"/>
      <c r="I96" s="478"/>
      <c r="J96" s="478"/>
      <c r="K96" s="478"/>
    </row>
    <row r="97" spans="1:12" ht="12.75" customHeight="1" x14ac:dyDescent="0.2">
      <c r="A97" s="1495" t="s">
        <v>244</v>
      </c>
      <c r="B97" s="559">
        <v>1930</v>
      </c>
      <c r="C97" s="489"/>
      <c r="D97" s="467">
        <v>286299</v>
      </c>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v>30400</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c r="I103" s="468"/>
      <c r="J103" s="510"/>
      <c r="K103" s="510"/>
    </row>
    <row r="104" spans="1:12" ht="12.75" customHeight="1" x14ac:dyDescent="0.2">
      <c r="A104" s="463" t="s">
        <v>829</v>
      </c>
      <c r="B104" s="470">
        <v>1991</v>
      </c>
      <c r="C104" s="489"/>
      <c r="D104" s="466"/>
      <c r="E104" s="481"/>
      <c r="F104" s="467"/>
      <c r="G104" s="467"/>
      <c r="H104" s="466"/>
      <c r="I104" s="468"/>
      <c r="J104" s="468"/>
      <c r="K104" s="468"/>
    </row>
    <row r="105" spans="1:12" ht="12.75" customHeight="1" x14ac:dyDescent="0.2">
      <c r="A105" s="463" t="s">
        <v>821</v>
      </c>
      <c r="B105" s="470">
        <v>1992</v>
      </c>
      <c r="C105" s="466">
        <v>32512</v>
      </c>
      <c r="D105" s="561"/>
      <c r="E105" s="468"/>
      <c r="F105" s="468"/>
      <c r="G105" s="468"/>
      <c r="H105" s="510"/>
      <c r="I105" s="468"/>
      <c r="J105" s="468"/>
      <c r="K105" s="468"/>
    </row>
    <row r="106" spans="1:12" ht="12.75" customHeight="1" x14ac:dyDescent="0.2">
      <c r="A106" s="463" t="s">
        <v>1429</v>
      </c>
      <c r="B106" s="470">
        <v>1993</v>
      </c>
      <c r="C106" s="466"/>
      <c r="D106" s="489">
        <v>379931</v>
      </c>
      <c r="E106" s="467"/>
      <c r="F106" s="467"/>
      <c r="G106" s="467"/>
      <c r="H106" s="467"/>
      <c r="I106" s="521"/>
      <c r="J106" s="467"/>
      <c r="K106" s="467"/>
    </row>
    <row r="107" spans="1:12" ht="12.75" customHeight="1" x14ac:dyDescent="0.2">
      <c r="A107" s="463" t="s">
        <v>78</v>
      </c>
      <c r="B107" s="470">
        <v>1999</v>
      </c>
      <c r="C107" s="551">
        <v>407278</v>
      </c>
      <c r="D107" s="466">
        <v>32933</v>
      </c>
      <c r="E107" s="466">
        <v>1793541</v>
      </c>
      <c r="F107" s="466">
        <v>60167</v>
      </c>
      <c r="G107" s="466"/>
      <c r="H107" s="466"/>
      <c r="I107" s="466"/>
      <c r="J107" s="467"/>
      <c r="K107" s="466"/>
    </row>
    <row r="108" spans="1:12" ht="12.75" customHeight="1" thickBot="1" x14ac:dyDescent="0.25">
      <c r="A108" s="1708" t="s">
        <v>486</v>
      </c>
      <c r="B108" s="1712"/>
      <c r="C108" s="1707">
        <f>SUM(C95:C107)</f>
        <v>593416</v>
      </c>
      <c r="D108" s="1707">
        <f t="shared" ref="D108:K108" si="3">SUM(D95:D107)</f>
        <v>889168</v>
      </c>
      <c r="E108" s="1707">
        <f t="shared" si="3"/>
        <v>1793541</v>
      </c>
      <c r="F108" s="1707">
        <f t="shared" si="3"/>
        <v>60167</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569</v>
      </c>
      <c r="C109" s="1715">
        <f t="shared" ref="C109:K109" si="4">SUM(C12,C18,C40,C63,C67,C75,C82,C93,C108,)</f>
        <v>64639301</v>
      </c>
      <c r="D109" s="1715">
        <f t="shared" si="4"/>
        <v>12657898</v>
      </c>
      <c r="E109" s="1715">
        <f t="shared" si="4"/>
        <v>15852361</v>
      </c>
      <c r="F109" s="1715">
        <f t="shared" si="4"/>
        <v>4045764</v>
      </c>
      <c r="G109" s="1715">
        <f t="shared" si="4"/>
        <v>4424417</v>
      </c>
      <c r="H109" s="1715">
        <f t="shared" si="4"/>
        <v>373111</v>
      </c>
      <c r="I109" s="1715">
        <f t="shared" si="4"/>
        <v>0</v>
      </c>
      <c r="J109" s="1715">
        <f t="shared" si="4"/>
        <v>3028</v>
      </c>
      <c r="K109" s="1702">
        <f t="shared" si="4"/>
        <v>293</v>
      </c>
    </row>
    <row r="110" spans="1:12" ht="30" customHeight="1" thickTop="1" x14ac:dyDescent="0.2">
      <c r="A110" s="1585" t="s">
        <v>345</v>
      </c>
      <c r="B110" s="1586"/>
      <c r="C110" s="1571"/>
      <c r="D110" s="1571"/>
      <c r="E110" s="1571"/>
      <c r="F110" s="1571"/>
      <c r="G110" s="1571"/>
      <c r="H110" s="1571"/>
      <c r="I110" s="1571"/>
      <c r="J110" s="1571"/>
      <c r="K110" s="1572"/>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805</v>
      </c>
      <c r="B114" s="1717" t="s">
        <v>568</v>
      </c>
      <c r="C114" s="1718">
        <f>SUM(C111:C113)</f>
        <v>0</v>
      </c>
      <c r="D114" s="1718">
        <f>SUM(D111:D113)</f>
        <v>0</v>
      </c>
      <c r="E114" s="561" t="s">
        <v>1168</v>
      </c>
      <c r="F114" s="1718">
        <f>SUM(F111:F113)</f>
        <v>0</v>
      </c>
      <c r="G114" s="1718">
        <f>SUM(G111:G113)</f>
        <v>0</v>
      </c>
      <c r="H114" s="561"/>
      <c r="I114" s="468"/>
      <c r="J114" s="468"/>
      <c r="K114" s="468"/>
    </row>
    <row r="115" spans="1:11" ht="16.7" customHeight="1" thickTop="1" x14ac:dyDescent="0.2">
      <c r="A115" s="1587" t="s">
        <v>802</v>
      </c>
      <c r="B115" s="1588"/>
      <c r="C115" s="1570"/>
      <c r="D115" s="1571"/>
      <c r="E115" s="1571"/>
      <c r="F115" s="1571"/>
      <c r="G115" s="1571"/>
      <c r="H115" s="1571"/>
      <c r="I115" s="1571"/>
      <c r="J115" s="1571"/>
      <c r="K115" s="1572"/>
    </row>
    <row r="116" spans="1:11" ht="18" customHeight="1" x14ac:dyDescent="0.2">
      <c r="A116" s="1595" t="s">
        <v>1490</v>
      </c>
      <c r="B116" s="1596"/>
      <c r="C116" s="522"/>
      <c r="D116" s="521"/>
      <c r="E116" s="561"/>
      <c r="F116" s="521"/>
      <c r="G116" s="521"/>
      <c r="H116" s="561"/>
      <c r="I116" s="468"/>
      <c r="J116" s="521"/>
      <c r="K116" s="521"/>
    </row>
    <row r="117" spans="1:11" ht="12.75" customHeight="1" x14ac:dyDescent="0.2">
      <c r="A117" s="463" t="s">
        <v>1666</v>
      </c>
      <c r="B117" s="562">
        <v>3001</v>
      </c>
      <c r="C117" s="516">
        <v>53554848</v>
      </c>
      <c r="D117" s="481">
        <v>3000000</v>
      </c>
      <c r="E117" s="466"/>
      <c r="F117" s="481">
        <v>500000</v>
      </c>
      <c r="G117" s="481"/>
      <c r="H117" s="466"/>
      <c r="I117" s="468"/>
      <c r="J117" s="467"/>
      <c r="K117" s="466"/>
    </row>
    <row r="118" spans="1:11" ht="12.75" customHeight="1" x14ac:dyDescent="0.2">
      <c r="A118" s="463" t="s">
        <v>1795</v>
      </c>
      <c r="B118" s="562">
        <v>3002</v>
      </c>
      <c r="C118" s="551"/>
      <c r="D118" s="466"/>
      <c r="E118" s="466"/>
      <c r="F118" s="466"/>
      <c r="G118" s="466"/>
      <c r="H118" s="466"/>
      <c r="I118" s="468"/>
      <c r="J118" s="467"/>
      <c r="K118" s="466"/>
    </row>
    <row r="119" spans="1:11" ht="12.75" customHeight="1" x14ac:dyDescent="0.2">
      <c r="A119" s="463" t="s">
        <v>1796</v>
      </c>
      <c r="B119" s="562">
        <v>3005</v>
      </c>
      <c r="C119" s="551"/>
      <c r="D119" s="466"/>
      <c r="E119" s="466"/>
      <c r="F119" s="466"/>
      <c r="G119" s="466"/>
      <c r="H119" s="466"/>
      <c r="I119" s="468"/>
      <c r="J119" s="467"/>
      <c r="K119" s="466"/>
    </row>
    <row r="120" spans="1:11" ht="12.75" customHeight="1" x14ac:dyDescent="0.2">
      <c r="A120" s="1931" t="s">
        <v>1930</v>
      </c>
      <c r="B120" s="562">
        <v>3030</v>
      </c>
      <c r="C120" s="551"/>
      <c r="D120" s="466"/>
      <c r="E120" s="466"/>
      <c r="F120" s="466"/>
      <c r="G120" s="466"/>
      <c r="H120" s="466"/>
      <c r="I120" s="468"/>
      <c r="J120" s="467"/>
      <c r="K120" s="466"/>
    </row>
    <row r="121" spans="1:11" x14ac:dyDescent="0.2">
      <c r="A121" s="1496" t="s">
        <v>1797</v>
      </c>
      <c r="B121" s="564">
        <v>3099</v>
      </c>
      <c r="C121" s="551"/>
      <c r="D121" s="466"/>
      <c r="E121" s="466"/>
      <c r="F121" s="466"/>
      <c r="G121" s="466"/>
      <c r="H121" s="466"/>
      <c r="I121" s="468"/>
      <c r="J121" s="467"/>
      <c r="K121" s="466"/>
    </row>
    <row r="122" spans="1:11" ht="12.6" customHeight="1" thickBot="1" x14ac:dyDescent="0.25">
      <c r="A122" s="1708" t="s">
        <v>487</v>
      </c>
      <c r="B122" s="1719"/>
      <c r="C122" s="1707">
        <f t="shared" ref="C122:H122" si="5">SUM(C117:C121)</f>
        <v>53554848</v>
      </c>
      <c r="D122" s="1707">
        <f t="shared" si="5"/>
        <v>3000000</v>
      </c>
      <c r="E122" s="1707">
        <f t="shared" si="5"/>
        <v>0</v>
      </c>
      <c r="F122" s="1707">
        <f t="shared" si="5"/>
        <v>500000</v>
      </c>
      <c r="G122" s="1707">
        <f t="shared" si="5"/>
        <v>0</v>
      </c>
      <c r="H122" s="1707">
        <f t="shared" si="5"/>
        <v>0</v>
      </c>
      <c r="I122" s="468"/>
      <c r="J122" s="1707">
        <f>SUM(J117:J121)</f>
        <v>0</v>
      </c>
      <c r="K122" s="1688">
        <f>SUM(K117:K121)</f>
        <v>0</v>
      </c>
    </row>
    <row r="123" spans="1:11" ht="15.75" customHeight="1" thickTop="1" x14ac:dyDescent="0.2">
      <c r="A123" s="1592" t="s">
        <v>1489</v>
      </c>
      <c r="B123" s="1597"/>
      <c r="C123" s="565"/>
      <c r="D123" s="509"/>
      <c r="E123" s="468"/>
      <c r="F123" s="566"/>
      <c r="G123" s="468"/>
      <c r="H123" s="468"/>
      <c r="I123" s="468"/>
      <c r="J123" s="468"/>
      <c r="K123" s="468"/>
    </row>
    <row r="124" spans="1:11" ht="15" customHeight="1" x14ac:dyDescent="0.2">
      <c r="A124" s="1598" t="s">
        <v>666</v>
      </c>
      <c r="B124" s="1599"/>
      <c r="C124" s="521"/>
      <c r="D124" s="509"/>
      <c r="E124" s="468"/>
      <c r="F124" s="521"/>
      <c r="G124" s="468"/>
      <c r="H124" s="468"/>
      <c r="I124" s="468"/>
      <c r="J124" s="468"/>
      <c r="K124" s="468"/>
    </row>
    <row r="125" spans="1:11" ht="12.75" customHeight="1" x14ac:dyDescent="0.2">
      <c r="A125" s="463" t="s">
        <v>865</v>
      </c>
      <c r="B125" s="567">
        <v>3100</v>
      </c>
      <c r="C125" s="481">
        <v>2042193</v>
      </c>
      <c r="D125" s="561"/>
      <c r="E125" s="468"/>
      <c r="F125" s="548"/>
      <c r="G125" s="468"/>
      <c r="H125" s="468"/>
      <c r="I125" s="468"/>
      <c r="J125" s="468"/>
      <c r="K125" s="468"/>
    </row>
    <row r="126" spans="1:11" ht="12.75" customHeight="1" x14ac:dyDescent="0.2">
      <c r="A126" s="463" t="s">
        <v>1445</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v>254570</v>
      </c>
      <c r="D128" s="561"/>
      <c r="E128" s="468"/>
      <c r="F128" s="466"/>
      <c r="G128" s="468"/>
      <c r="H128" s="468"/>
      <c r="I128" s="468"/>
      <c r="J128" s="468"/>
      <c r="K128" s="468"/>
    </row>
    <row r="129" spans="1:11" ht="12.75" customHeight="1" x14ac:dyDescent="0.2">
      <c r="A129" s="463" t="s">
        <v>1446</v>
      </c>
      <c r="B129" s="562">
        <v>3130</v>
      </c>
      <c r="C129" s="466">
        <v>12799</v>
      </c>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1031</v>
      </c>
      <c r="B132" s="1720"/>
      <c r="C132" s="1707">
        <f>SUM(C125:C131)</f>
        <v>2309562</v>
      </c>
      <c r="D132" s="1707">
        <f>SUM(D125:D131)</f>
        <v>0</v>
      </c>
      <c r="E132" s="469" t="s">
        <v>1168</v>
      </c>
      <c r="F132" s="1707">
        <f>SUM(F125:F131)</f>
        <v>0</v>
      </c>
      <c r="G132" s="468" t="s">
        <v>1168</v>
      </c>
      <c r="H132" s="468" t="s">
        <v>1168</v>
      </c>
      <c r="I132" s="468" t="s">
        <v>1168</v>
      </c>
      <c r="J132" s="468" t="s">
        <v>1168</v>
      </c>
      <c r="K132" s="468" t="s">
        <v>1168</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v>89635</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602</v>
      </c>
      <c r="B141" s="1720"/>
      <c r="C141" s="1707">
        <f>SUM(C134:C140)</f>
        <v>89635</v>
      </c>
      <c r="D141" s="1707">
        <f>SUM(D134:D140)</f>
        <v>0</v>
      </c>
      <c r="E141" s="561" t="s">
        <v>1168</v>
      </c>
      <c r="F141" s="477"/>
      <c r="G141" s="1707">
        <f>SUM(G134:G140)</f>
        <v>0</v>
      </c>
      <c r="H141" s="468" t="s">
        <v>1168</v>
      </c>
      <c r="I141" s="468" t="s">
        <v>1168</v>
      </c>
      <c r="J141" s="468" t="s">
        <v>1168</v>
      </c>
      <c r="K141" s="468" t="s">
        <v>1168</v>
      </c>
    </row>
    <row r="142" spans="1:11" ht="15.75" customHeight="1" thickTop="1" x14ac:dyDescent="0.2">
      <c r="A142" s="1600" t="s">
        <v>669</v>
      </c>
      <c r="B142" s="1601"/>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708" t="s">
        <v>395</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1055</v>
      </c>
      <c r="B146" s="568">
        <v>3360</v>
      </c>
      <c r="C146" s="569">
        <v>86490</v>
      </c>
      <c r="D146" s="570"/>
      <c r="E146" s="509"/>
      <c r="F146" s="468"/>
      <c r="G146" s="571"/>
      <c r="H146" s="468"/>
      <c r="I146" s="468"/>
      <c r="J146" s="468"/>
      <c r="K146" s="468"/>
    </row>
    <row r="147" spans="1:11" ht="12.75" customHeight="1" thickBot="1" x14ac:dyDescent="0.25">
      <c r="A147" s="1499" t="s">
        <v>921</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82167</v>
      </c>
      <c r="D148" s="573"/>
      <c r="E148" s="509"/>
      <c r="F148" s="468"/>
      <c r="G148" s="468"/>
      <c r="H148" s="468"/>
      <c r="I148" s="468"/>
      <c r="J148" s="468"/>
      <c r="K148" s="468"/>
    </row>
    <row r="149" spans="1:11" ht="12.75" customHeight="1" thickTop="1" thickBot="1" x14ac:dyDescent="0.25">
      <c r="A149" s="1500" t="s">
        <v>766</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452</v>
      </c>
      <c r="B151" s="1602"/>
      <c r="C151" s="553"/>
      <c r="D151" s="468"/>
      <c r="E151" s="561"/>
      <c r="F151" s="468"/>
      <c r="G151" s="468"/>
      <c r="H151" s="468"/>
      <c r="I151" s="468"/>
      <c r="J151" s="468"/>
      <c r="K151" s="468"/>
    </row>
    <row r="152" spans="1:11" ht="12.75" customHeight="1" x14ac:dyDescent="0.2">
      <c r="A152" s="463" t="s">
        <v>1447</v>
      </c>
      <c r="B152" s="562">
        <v>3500</v>
      </c>
      <c r="C152" s="551"/>
      <c r="D152" s="466"/>
      <c r="E152" s="561"/>
      <c r="F152" s="466">
        <v>2143228</v>
      </c>
      <c r="G152" s="467"/>
      <c r="H152" s="468"/>
      <c r="I152" s="468"/>
      <c r="J152" s="468"/>
      <c r="K152" s="468"/>
    </row>
    <row r="153" spans="1:11" ht="12.75" customHeight="1" x14ac:dyDescent="0.2">
      <c r="A153" s="463" t="s">
        <v>1056</v>
      </c>
      <c r="B153" s="562">
        <v>3510</v>
      </c>
      <c r="C153" s="551"/>
      <c r="D153" s="466"/>
      <c r="E153" s="561"/>
      <c r="F153" s="466">
        <v>3700828</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5844056</v>
      </c>
      <c r="G155" s="1707">
        <f>SUM(G152:G154)</f>
        <v>0</v>
      </c>
      <c r="H155" s="468"/>
      <c r="I155" s="468"/>
      <c r="J155" s="468"/>
      <c r="K155" s="468"/>
    </row>
    <row r="156" spans="1:11" ht="12.75" customHeight="1" thickTop="1" thickBot="1" x14ac:dyDescent="0.25">
      <c r="A156" s="1500" t="s">
        <v>379</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999</v>
      </c>
      <c r="B158" s="574">
        <v>3695</v>
      </c>
      <c r="C158" s="576"/>
      <c r="D158" s="468"/>
      <c r="E158" s="561"/>
      <c r="F158" s="576"/>
      <c r="G158" s="576"/>
      <c r="H158" s="468"/>
      <c r="I158" s="468"/>
      <c r="J158" s="468"/>
      <c r="K158" s="468"/>
    </row>
    <row r="159" spans="1:11" ht="12.75" customHeight="1" thickTop="1" thickBot="1" x14ac:dyDescent="0.25">
      <c r="A159" s="1500" t="s">
        <v>1050</v>
      </c>
      <c r="B159" s="574">
        <v>3705</v>
      </c>
      <c r="C159" s="576">
        <v>2557506</v>
      </c>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984</v>
      </c>
      <c r="B161" s="574">
        <v>3767</v>
      </c>
      <c r="C161" s="576"/>
      <c r="D161" s="531"/>
      <c r="E161" s="561"/>
      <c r="F161" s="531"/>
      <c r="G161" s="531"/>
      <c r="H161" s="468"/>
      <c r="I161" s="468"/>
      <c r="J161" s="468"/>
      <c r="K161" s="468"/>
    </row>
    <row r="162" spans="1:11" ht="12.75" customHeight="1" thickTop="1" thickBot="1" x14ac:dyDescent="0.25">
      <c r="A162" s="1500" t="s">
        <v>985</v>
      </c>
      <c r="B162" s="574">
        <v>3775</v>
      </c>
      <c r="C162" s="576"/>
      <c r="D162" s="573"/>
      <c r="E162" s="530"/>
      <c r="F162" s="573"/>
      <c r="G162" s="532"/>
      <c r="H162" s="530"/>
      <c r="I162" s="468"/>
      <c r="J162" s="468"/>
      <c r="K162" s="530"/>
    </row>
    <row r="163" spans="1:11" ht="12.75" customHeight="1" thickTop="1" thickBot="1" x14ac:dyDescent="0.25">
      <c r="A163" s="1500" t="s">
        <v>1448</v>
      </c>
      <c r="B163" s="574">
        <v>3780</v>
      </c>
      <c r="C163" s="531"/>
      <c r="D163" s="530"/>
      <c r="E163" s="531"/>
      <c r="F163" s="531"/>
      <c r="G163" s="531"/>
      <c r="H163" s="531"/>
      <c r="I163" s="468"/>
      <c r="J163" s="468"/>
      <c r="K163" s="531"/>
    </row>
    <row r="164" spans="1:11" ht="12.75" customHeight="1" thickTop="1" thickBot="1" x14ac:dyDescent="0.25">
      <c r="A164" s="1500" t="s">
        <v>857</v>
      </c>
      <c r="B164" s="574">
        <v>3815</v>
      </c>
      <c r="C164" s="576"/>
      <c r="D164" s="468"/>
      <c r="E164" s="561"/>
      <c r="F164" s="576"/>
      <c r="G164" s="468"/>
      <c r="H164" s="468"/>
      <c r="I164" s="468"/>
      <c r="J164" s="468"/>
      <c r="K164" s="468"/>
    </row>
    <row r="165" spans="1:11" ht="12.75" customHeight="1" thickTop="1" thickBot="1" x14ac:dyDescent="0.25">
      <c r="A165" s="1500" t="s">
        <v>396</v>
      </c>
      <c r="B165" s="574">
        <v>3825</v>
      </c>
      <c r="C165" s="576"/>
      <c r="D165" s="468"/>
      <c r="E165" s="561"/>
      <c r="F165" s="576"/>
      <c r="G165" s="468"/>
      <c r="H165" s="468"/>
      <c r="I165" s="468"/>
      <c r="J165" s="468"/>
      <c r="K165" s="468"/>
    </row>
    <row r="166" spans="1:11" ht="12.75" customHeight="1" thickTop="1" thickBot="1" x14ac:dyDescent="0.25">
      <c r="A166" s="1500" t="s">
        <v>347</v>
      </c>
      <c r="B166" s="574">
        <v>3920</v>
      </c>
      <c r="C166" s="566"/>
      <c r="D166" s="578"/>
      <c r="E166" s="468"/>
      <c r="F166" s="566"/>
      <c r="G166" s="468"/>
      <c r="H166" s="530"/>
      <c r="I166" s="468"/>
      <c r="J166" s="468"/>
      <c r="K166" s="468"/>
    </row>
    <row r="167" spans="1:11" ht="12.75" customHeight="1" thickTop="1" thickBot="1" x14ac:dyDescent="0.25">
      <c r="A167" s="1500" t="s">
        <v>348</v>
      </c>
      <c r="B167" s="574">
        <v>3925</v>
      </c>
      <c r="C167" s="521"/>
      <c r="D167" s="576"/>
      <c r="E167" s="521"/>
      <c r="F167" s="521"/>
      <c r="G167" s="468"/>
      <c r="H167" s="531"/>
      <c r="I167" s="468"/>
      <c r="J167" s="468"/>
      <c r="K167" s="530"/>
    </row>
    <row r="168" spans="1:11" ht="14.25" thickTop="1" thickBot="1" x14ac:dyDescent="0.25">
      <c r="A168" s="1500" t="s">
        <v>70</v>
      </c>
      <c r="B168" s="574">
        <v>3999</v>
      </c>
      <c r="C168" s="579">
        <v>313449</v>
      </c>
      <c r="D168" s="580"/>
      <c r="E168" s="580"/>
      <c r="F168" s="580"/>
      <c r="G168" s="581"/>
      <c r="H168" s="582"/>
      <c r="I168" s="581"/>
      <c r="J168" s="581"/>
      <c r="K168" s="582"/>
    </row>
    <row r="169" spans="1:11" ht="12.75" customHeight="1" thickTop="1" thickBot="1" x14ac:dyDescent="0.25">
      <c r="A169" s="2200" t="s">
        <v>397</v>
      </c>
      <c r="B169" s="2201"/>
      <c r="C169" s="1722">
        <f t="shared" ref="C169:K169" si="6">SUM(C132,C141,C145,C146:C150,C155,C156:C167,C168)</f>
        <v>5438809</v>
      </c>
      <c r="D169" s="1722">
        <f t="shared" si="6"/>
        <v>0</v>
      </c>
      <c r="E169" s="1722">
        <f t="shared" si="6"/>
        <v>0</v>
      </c>
      <c r="F169" s="1722">
        <f t="shared" si="6"/>
        <v>5844056</v>
      </c>
      <c r="G169" s="1722">
        <f t="shared" si="6"/>
        <v>0</v>
      </c>
      <c r="H169" s="1722">
        <f t="shared" si="6"/>
        <v>0</v>
      </c>
      <c r="I169" s="1722">
        <f t="shared" si="6"/>
        <v>0</v>
      </c>
      <c r="J169" s="1722">
        <f t="shared" si="6"/>
        <v>0</v>
      </c>
      <c r="K169" s="1703">
        <f t="shared" si="6"/>
        <v>0</v>
      </c>
    </row>
    <row r="170" spans="1:11" ht="12.75" customHeight="1" thickTop="1" thickBot="1" x14ac:dyDescent="0.25">
      <c r="A170" s="1708" t="s">
        <v>398</v>
      </c>
      <c r="B170" s="1714" t="s">
        <v>574</v>
      </c>
      <c r="C170" s="1715">
        <f t="shared" ref="C170:K170" si="7">SUM(C122,C169)</f>
        <v>58993657</v>
      </c>
      <c r="D170" s="1715">
        <f t="shared" si="7"/>
        <v>3000000</v>
      </c>
      <c r="E170" s="1715">
        <f t="shared" si="7"/>
        <v>0</v>
      </c>
      <c r="F170" s="1715">
        <f t="shared" si="7"/>
        <v>6344056</v>
      </c>
      <c r="G170" s="1715">
        <f t="shared" si="7"/>
        <v>0</v>
      </c>
      <c r="H170" s="1715">
        <f t="shared" si="7"/>
        <v>0</v>
      </c>
      <c r="I170" s="1715">
        <f t="shared" si="7"/>
        <v>0</v>
      </c>
      <c r="J170" s="1715">
        <f t="shared" si="7"/>
        <v>0</v>
      </c>
      <c r="K170" s="1702">
        <f t="shared" si="7"/>
        <v>0</v>
      </c>
    </row>
    <row r="171" spans="1:11" ht="16.7" customHeight="1" thickTop="1" x14ac:dyDescent="0.2">
      <c r="A171" s="1589" t="s">
        <v>803</v>
      </c>
      <c r="B171" s="1567"/>
      <c r="C171" s="1570"/>
      <c r="D171" s="1571"/>
      <c r="E171" s="1571"/>
      <c r="F171" s="1571"/>
      <c r="G171" s="1571"/>
      <c r="H171" s="1571"/>
      <c r="I171" s="1571"/>
      <c r="J171" s="1571"/>
      <c r="K171" s="1572"/>
    </row>
    <row r="172" spans="1:11" ht="15.75" customHeight="1" x14ac:dyDescent="0.2">
      <c r="A172" s="2202" t="s">
        <v>1491</v>
      </c>
      <c r="B172" s="2203"/>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206" t="s">
        <v>1664</v>
      </c>
      <c r="B175" s="2207"/>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210" t="s">
        <v>1663</v>
      </c>
      <c r="B176" s="2211"/>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208" t="s">
        <v>784</v>
      </c>
      <c r="B181" s="2209"/>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204" t="s">
        <v>1799</v>
      </c>
      <c r="B182" s="2205"/>
      <c r="C182" s="584"/>
      <c r="D182" s="566"/>
      <c r="E182" s="509"/>
      <c r="F182" s="566"/>
      <c r="G182" s="566"/>
      <c r="H182" s="468"/>
      <c r="I182" s="468"/>
      <c r="J182" s="468"/>
      <c r="K182" s="468"/>
    </row>
    <row r="183" spans="1:11" ht="15.75" customHeight="1" x14ac:dyDescent="0.2">
      <c r="A183" s="1603" t="s">
        <v>1601</v>
      </c>
      <c r="B183" s="1604"/>
      <c r="C183" s="522"/>
      <c r="D183" s="521"/>
      <c r="E183" s="509"/>
      <c r="F183" s="521"/>
      <c r="G183" s="521"/>
      <c r="H183" s="468"/>
      <c r="I183" s="468"/>
      <c r="J183" s="468"/>
      <c r="K183" s="468"/>
    </row>
    <row r="184" spans="1:11" ht="12.75" customHeight="1" x14ac:dyDescent="0.2">
      <c r="A184" s="463" t="s">
        <v>1602</v>
      </c>
      <c r="B184" s="470">
        <v>4100</v>
      </c>
      <c r="C184" s="516"/>
      <c r="D184" s="481"/>
      <c r="E184" s="561"/>
      <c r="F184" s="481"/>
      <c r="G184" s="481"/>
      <c r="H184" s="468"/>
      <c r="I184" s="468"/>
      <c r="J184" s="468"/>
      <c r="K184" s="468"/>
    </row>
    <row r="185" spans="1:11" ht="12.75" customHeight="1" x14ac:dyDescent="0.2">
      <c r="A185" s="463" t="s">
        <v>1603</v>
      </c>
      <c r="B185" s="470">
        <v>4105</v>
      </c>
      <c r="C185" s="551"/>
      <c r="D185" s="466"/>
      <c r="E185" s="561"/>
      <c r="F185" s="466"/>
      <c r="G185" s="466"/>
      <c r="H185" s="468"/>
      <c r="I185" s="468"/>
      <c r="J185" s="468"/>
      <c r="K185" s="468"/>
    </row>
    <row r="186" spans="1:11" ht="12.75" customHeight="1" x14ac:dyDescent="0.2">
      <c r="A186" s="463" t="s">
        <v>1605</v>
      </c>
      <c r="B186" s="470">
        <v>4107</v>
      </c>
      <c r="C186" s="551"/>
      <c r="D186" s="466"/>
      <c r="E186" s="561"/>
      <c r="F186" s="466"/>
      <c r="G186" s="466"/>
      <c r="H186" s="468"/>
      <c r="I186" s="468"/>
      <c r="J186" s="468"/>
      <c r="K186" s="468"/>
    </row>
    <row r="187" spans="1:11" ht="12.75" customHeight="1" x14ac:dyDescent="0.2">
      <c r="A187" s="463" t="s">
        <v>1604</v>
      </c>
      <c r="B187" s="470">
        <v>4199</v>
      </c>
      <c r="C187" s="551"/>
      <c r="D187" s="466"/>
      <c r="E187" s="561"/>
      <c r="F187" s="466"/>
      <c r="G187" s="466"/>
      <c r="H187" s="468"/>
      <c r="I187" s="468"/>
      <c r="J187" s="468"/>
      <c r="K187" s="468"/>
    </row>
    <row r="188" spans="1:11" ht="12.75" customHeight="1" thickBot="1" x14ac:dyDescent="0.25">
      <c r="A188" s="1708" t="s">
        <v>1606</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454</v>
      </c>
      <c r="B189" s="1605"/>
      <c r="C189" s="553"/>
      <c r="D189" s="566"/>
      <c r="E189" s="561"/>
      <c r="F189" s="553"/>
      <c r="G189" s="553"/>
      <c r="H189" s="468"/>
      <c r="I189" s="468"/>
      <c r="J189" s="468"/>
      <c r="K189" s="468"/>
    </row>
    <row r="190" spans="1:11" x14ac:dyDescent="0.2">
      <c r="A190" s="463" t="s">
        <v>1449</v>
      </c>
      <c r="B190" s="470">
        <v>4200</v>
      </c>
      <c r="C190" s="467"/>
      <c r="D190" s="468"/>
      <c r="E190" s="561"/>
      <c r="F190" s="553"/>
      <c r="G190" s="585"/>
      <c r="H190" s="468"/>
      <c r="I190" s="468"/>
      <c r="J190" s="468"/>
      <c r="K190" s="468"/>
    </row>
    <row r="191" spans="1:11" ht="12.75" customHeight="1" x14ac:dyDescent="0.2">
      <c r="A191" s="463" t="s">
        <v>1057</v>
      </c>
      <c r="B191" s="470">
        <v>4210</v>
      </c>
      <c r="C191" s="466">
        <v>3820030</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1263255</v>
      </c>
      <c r="D193" s="468"/>
      <c r="E193" s="561"/>
      <c r="F193" s="468"/>
      <c r="G193" s="585"/>
      <c r="H193" s="468"/>
      <c r="I193" s="468"/>
      <c r="J193" s="468"/>
      <c r="K193" s="468"/>
    </row>
    <row r="194" spans="1:11" ht="12.75" customHeight="1" x14ac:dyDescent="0.2">
      <c r="A194" s="463" t="s">
        <v>1450</v>
      </c>
      <c r="B194" s="470">
        <v>4225</v>
      </c>
      <c r="C194" s="551"/>
      <c r="D194" s="468"/>
      <c r="E194" s="561"/>
      <c r="F194" s="468"/>
      <c r="G194" s="585"/>
      <c r="H194" s="468"/>
      <c r="I194" s="468"/>
      <c r="J194" s="468"/>
      <c r="K194" s="468"/>
    </row>
    <row r="195" spans="1:11" ht="12.75" customHeight="1" x14ac:dyDescent="0.2">
      <c r="A195" s="463" t="s">
        <v>1451</v>
      </c>
      <c r="B195" s="470">
        <v>4226</v>
      </c>
      <c r="C195" s="551"/>
      <c r="D195" s="468"/>
      <c r="E195" s="561"/>
      <c r="F195" s="468"/>
      <c r="G195" s="585"/>
      <c r="H195" s="468"/>
      <c r="I195" s="468"/>
      <c r="J195" s="468"/>
      <c r="K195" s="468"/>
    </row>
    <row r="196" spans="1:11" ht="12.75" customHeight="1" x14ac:dyDescent="0.2">
      <c r="A196" s="463" t="s">
        <v>791</v>
      </c>
      <c r="B196" s="470">
        <v>4240</v>
      </c>
      <c r="C196" s="489">
        <v>162</v>
      </c>
      <c r="D196" s="468"/>
      <c r="E196" s="561"/>
      <c r="F196" s="468"/>
      <c r="G196" s="586"/>
      <c r="H196" s="468"/>
      <c r="I196" s="468"/>
      <c r="J196" s="468"/>
      <c r="K196" s="468"/>
    </row>
    <row r="197" spans="1:11" ht="12.75" customHeight="1" x14ac:dyDescent="0.2">
      <c r="A197" s="463" t="s">
        <v>71</v>
      </c>
      <c r="B197" s="470">
        <v>4299</v>
      </c>
      <c r="C197" s="551">
        <v>48819</v>
      </c>
      <c r="D197" s="468"/>
      <c r="E197" s="561"/>
      <c r="F197" s="468"/>
      <c r="G197" s="585"/>
      <c r="H197" s="468"/>
      <c r="I197" s="468"/>
      <c r="J197" s="468"/>
      <c r="K197" s="468"/>
    </row>
    <row r="198" spans="1:11" ht="12.75" customHeight="1" thickBot="1" x14ac:dyDescent="0.25">
      <c r="A198" s="1708" t="s">
        <v>547</v>
      </c>
      <c r="B198" s="1709"/>
      <c r="C198" s="1688">
        <f>SUM(C190:C197)</f>
        <v>5132266</v>
      </c>
      <c r="D198" s="468"/>
      <c r="E198" s="468"/>
      <c r="F198" s="468"/>
      <c r="G198" s="1688">
        <f>SUM(G190:G197)</f>
        <v>0</v>
      </c>
      <c r="H198" s="468"/>
      <c r="I198" s="468"/>
      <c r="J198" s="468"/>
      <c r="K198" s="468"/>
    </row>
    <row r="199" spans="1:11" ht="15.75" customHeight="1" thickTop="1" x14ac:dyDescent="0.2">
      <c r="A199" s="1600" t="s">
        <v>1137</v>
      </c>
      <c r="B199" s="1605"/>
      <c r="C199" s="553"/>
      <c r="D199" s="468"/>
      <c r="E199" s="468"/>
      <c r="F199" s="468"/>
      <c r="G199" s="468"/>
      <c r="H199" s="468"/>
      <c r="I199" s="468"/>
      <c r="J199" s="468"/>
      <c r="K199" s="468"/>
    </row>
    <row r="200" spans="1:11" ht="12.75" customHeight="1" x14ac:dyDescent="0.2">
      <c r="A200" s="463" t="s">
        <v>917</v>
      </c>
      <c r="B200" s="470">
        <v>4300</v>
      </c>
      <c r="C200" s="466">
        <v>3505452</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v>240694</v>
      </c>
      <c r="D203" s="466"/>
      <c r="E203" s="468"/>
      <c r="F203" s="466"/>
      <c r="G203" s="466"/>
      <c r="H203" s="468"/>
      <c r="I203" s="468"/>
      <c r="J203" s="468"/>
      <c r="K203" s="468"/>
    </row>
    <row r="204" spans="1:11" ht="12.75" customHeight="1" thickBot="1" x14ac:dyDescent="0.25">
      <c r="A204" s="1708" t="s">
        <v>399</v>
      </c>
      <c r="B204" s="1709"/>
      <c r="C204" s="1707">
        <f>SUM(C200:C203)</f>
        <v>3746146</v>
      </c>
      <c r="D204" s="1707">
        <f>SUM(D200:D203)</f>
        <v>0</v>
      </c>
      <c r="E204" s="468"/>
      <c r="F204" s="1707">
        <f>SUM(F200:F203)</f>
        <v>0</v>
      </c>
      <c r="G204" s="1707">
        <f>SUM(G200:G203)</f>
        <v>0</v>
      </c>
      <c r="H204" s="468"/>
      <c r="I204" s="468"/>
      <c r="J204" s="468"/>
      <c r="K204" s="468"/>
    </row>
    <row r="205" spans="1:11" ht="15.75" customHeight="1" thickTop="1" x14ac:dyDescent="0.2">
      <c r="A205" s="1600" t="s">
        <v>1138</v>
      </c>
      <c r="B205" s="1605"/>
      <c r="C205" s="553"/>
      <c r="D205" s="553"/>
      <c r="E205" s="468"/>
      <c r="F205" s="553"/>
      <c r="G205" s="553"/>
      <c r="H205" s="468"/>
      <c r="I205" s="468"/>
      <c r="J205" s="468"/>
      <c r="K205" s="468"/>
    </row>
    <row r="206" spans="1:11" ht="12.75" customHeight="1" x14ac:dyDescent="0.2">
      <c r="A206" s="463" t="s">
        <v>758</v>
      </c>
      <c r="B206" s="470">
        <v>4400</v>
      </c>
      <c r="C206" s="551"/>
      <c r="D206" s="466"/>
      <c r="E206" s="468"/>
      <c r="F206" s="466"/>
      <c r="G206" s="466"/>
      <c r="H206" s="468"/>
      <c r="I206" s="468"/>
      <c r="J206" s="468"/>
      <c r="K206" s="468"/>
    </row>
    <row r="207" spans="1:11" ht="12.75" customHeight="1" x14ac:dyDescent="0.2">
      <c r="A207" s="463" t="s">
        <v>1452</v>
      </c>
      <c r="B207" s="470">
        <v>4421</v>
      </c>
      <c r="C207" s="551">
        <v>493768</v>
      </c>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888</v>
      </c>
      <c r="B209" s="1709"/>
      <c r="C209" s="1707">
        <f>SUM(C206:C208)</f>
        <v>493768</v>
      </c>
      <c r="D209" s="1707">
        <f>SUM(D206:D208)</f>
        <v>0</v>
      </c>
      <c r="E209" s="468" t="s">
        <v>1168</v>
      </c>
      <c r="F209" s="1707">
        <f>SUM(F206:F208)</f>
        <v>0</v>
      </c>
      <c r="G209" s="1707">
        <f>SUM(G206:G208)</f>
        <v>0</v>
      </c>
      <c r="H209" s="468"/>
      <c r="I209" s="468"/>
      <c r="J209" s="468"/>
      <c r="K209" s="468"/>
    </row>
    <row r="210" spans="1:11" ht="15.75" customHeight="1" thickTop="1" x14ac:dyDescent="0.2">
      <c r="A210" s="1600" t="s">
        <v>1091</v>
      </c>
      <c r="B210" s="1605"/>
      <c r="C210" s="553"/>
      <c r="D210" s="553"/>
      <c r="E210" s="468"/>
      <c r="F210" s="553"/>
      <c r="G210" s="553"/>
      <c r="H210" s="468"/>
      <c r="I210" s="468"/>
      <c r="J210" s="468"/>
      <c r="K210" s="468"/>
    </row>
    <row r="211" spans="1:11" ht="12.75" customHeight="1" x14ac:dyDescent="0.2">
      <c r="A211" s="463" t="s">
        <v>1051</v>
      </c>
      <c r="B211" s="470">
        <v>4600</v>
      </c>
      <c r="C211" s="551">
        <v>60812</v>
      </c>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1453</v>
      </c>
      <c r="B213" s="557">
        <v>4620</v>
      </c>
      <c r="C213" s="551">
        <v>2880822</v>
      </c>
      <c r="D213" s="466"/>
      <c r="E213" s="468"/>
      <c r="F213" s="466"/>
      <c r="G213" s="466"/>
      <c r="H213" s="468"/>
      <c r="I213" s="468"/>
      <c r="J213" s="468"/>
      <c r="K213" s="468"/>
    </row>
    <row r="214" spans="1:11" ht="12.75" customHeight="1" x14ac:dyDescent="0.2">
      <c r="A214" s="463" t="s">
        <v>1053</v>
      </c>
      <c r="B214" s="470">
        <v>4625</v>
      </c>
      <c r="C214" s="551">
        <v>24512</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446</v>
      </c>
      <c r="B217" s="1709"/>
      <c r="C217" s="1707">
        <f>SUM(C211:C216)</f>
        <v>2966146</v>
      </c>
      <c r="D217" s="1707">
        <f>SUM(D211:D216)</f>
        <v>0</v>
      </c>
      <c r="E217" s="468"/>
      <c r="F217" s="1707">
        <f>SUM(F211:F216)</f>
        <v>0</v>
      </c>
      <c r="G217" s="1707">
        <f>SUM(G211:G216)</f>
        <v>0</v>
      </c>
      <c r="H217" s="468"/>
      <c r="I217" s="468"/>
      <c r="J217" s="468"/>
      <c r="K217" s="468"/>
    </row>
    <row r="218" spans="1:11" ht="15.75" customHeight="1" thickTop="1" x14ac:dyDescent="0.2">
      <c r="A218" s="1600" t="s">
        <v>1092</v>
      </c>
      <c r="B218" s="1605"/>
      <c r="C218" s="553"/>
      <c r="D218" s="553"/>
      <c r="E218" s="468"/>
      <c r="F218" s="553"/>
      <c r="G218" s="553"/>
      <c r="H218" s="468"/>
      <c r="I218" s="468"/>
      <c r="J218" s="468"/>
      <c r="K218" s="468"/>
    </row>
    <row r="219" spans="1:11" ht="12.75" customHeight="1" x14ac:dyDescent="0.2">
      <c r="A219" s="463" t="s">
        <v>786</v>
      </c>
      <c r="B219" s="470">
        <v>4770</v>
      </c>
      <c r="C219" s="551">
        <v>129964</v>
      </c>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1084</v>
      </c>
      <c r="B221" s="1724"/>
      <c r="C221" s="1707">
        <f>SUM(C219:C220)</f>
        <v>129964</v>
      </c>
      <c r="D221" s="1707">
        <f>SUM(D219:D220)</f>
        <v>0</v>
      </c>
      <c r="E221" s="468"/>
      <c r="F221" s="468"/>
      <c r="G221" s="1707">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1454</v>
      </c>
      <c r="B251" s="587">
        <v>4880</v>
      </c>
      <c r="C251" s="489"/>
      <c r="D251" s="467"/>
      <c r="E251" s="467"/>
      <c r="F251" s="467"/>
      <c r="G251" s="467"/>
      <c r="H251" s="467"/>
      <c r="I251" s="468"/>
      <c r="J251" s="467"/>
      <c r="K251" s="467"/>
    </row>
    <row r="252" spans="1:11" ht="12.75" customHeight="1" thickBot="1" x14ac:dyDescent="0.25">
      <c r="A252" s="1725" t="s">
        <v>773</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1420</v>
      </c>
      <c r="B253" s="588">
        <v>4901</v>
      </c>
      <c r="C253" s="589"/>
      <c r="D253" s="469"/>
      <c r="E253" s="468"/>
      <c r="F253" s="468"/>
      <c r="G253" s="468"/>
      <c r="H253" s="468"/>
      <c r="I253" s="468"/>
      <c r="J253" s="468"/>
      <c r="K253" s="468"/>
    </row>
    <row r="254" spans="1:11" ht="12.75" customHeight="1" thickTop="1" thickBot="1" x14ac:dyDescent="0.25">
      <c r="A254" s="1503" t="s">
        <v>1462</v>
      </c>
      <c r="B254" s="590">
        <v>4902</v>
      </c>
      <c r="C254" s="591">
        <v>1335586</v>
      </c>
      <c r="D254" s="592"/>
      <c r="E254" s="469"/>
      <c r="F254" s="592"/>
      <c r="G254" s="592"/>
      <c r="H254" s="469"/>
      <c r="I254" s="468"/>
      <c r="J254" s="469"/>
      <c r="K254" s="469"/>
    </row>
    <row r="255" spans="1:11" ht="12.75" customHeight="1" thickTop="1" thickBot="1" x14ac:dyDescent="0.25">
      <c r="A255" s="463" t="s">
        <v>1455</v>
      </c>
      <c r="B255" s="470">
        <v>4905</v>
      </c>
      <c r="C255" s="573">
        <v>43865</v>
      </c>
      <c r="D255" s="468"/>
      <c r="E255" s="468"/>
      <c r="F255" s="578"/>
      <c r="G255" s="573"/>
      <c r="H255" s="468"/>
      <c r="I255" s="468"/>
      <c r="J255" s="468"/>
      <c r="K255" s="468"/>
    </row>
    <row r="256" spans="1:11" ht="12.75" customHeight="1" thickTop="1" thickBot="1" x14ac:dyDescent="0.25">
      <c r="A256" s="463" t="s">
        <v>1456</v>
      </c>
      <c r="B256" s="470">
        <v>4909</v>
      </c>
      <c r="C256" s="576">
        <v>302171</v>
      </c>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625702</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931" t="s">
        <v>1931</v>
      </c>
      <c r="B261" s="470">
        <v>4981</v>
      </c>
      <c r="C261" s="575"/>
      <c r="D261" s="576"/>
      <c r="E261" s="468"/>
      <c r="F261" s="576"/>
      <c r="G261" s="576"/>
      <c r="H261" s="468"/>
      <c r="I261" s="468"/>
      <c r="J261" s="468"/>
      <c r="K261" s="468"/>
    </row>
    <row r="262" spans="1:11" ht="12.75" customHeight="1" thickTop="1" thickBot="1" x14ac:dyDescent="0.25">
      <c r="A262" s="1932" t="s">
        <v>1932</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v>439897</v>
      </c>
      <c r="D263" s="576"/>
      <c r="E263" s="468"/>
      <c r="F263" s="576"/>
      <c r="G263" s="576"/>
      <c r="H263" s="468"/>
      <c r="I263" s="468"/>
      <c r="J263" s="468"/>
      <c r="K263" s="468"/>
    </row>
    <row r="264" spans="1:11" ht="12.75" customHeight="1" thickTop="1" thickBot="1" x14ac:dyDescent="0.25">
      <c r="A264" s="463" t="s">
        <v>376</v>
      </c>
      <c r="B264" s="470">
        <v>4992</v>
      </c>
      <c r="C264" s="575">
        <v>1286052</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1665</v>
      </c>
      <c r="B266" s="1727"/>
      <c r="C266" s="1715">
        <f t="shared" ref="C266:H266" si="10">SUM(C188,C198,C204,C209,C217,C221,C222,C252:C265)</f>
        <v>16501563</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1085</v>
      </c>
      <c r="B267" s="1729" t="s">
        <v>859</v>
      </c>
      <c r="C267" s="1715">
        <f>SUM(C175,C181,C266)</f>
        <v>16501563</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140134521</v>
      </c>
      <c r="D268" s="1715">
        <f t="shared" si="12"/>
        <v>15657898</v>
      </c>
      <c r="E268" s="1715">
        <f t="shared" si="12"/>
        <v>15852361</v>
      </c>
      <c r="F268" s="1715">
        <f t="shared" si="12"/>
        <v>10389820</v>
      </c>
      <c r="G268" s="1715">
        <f t="shared" si="12"/>
        <v>4424417</v>
      </c>
      <c r="H268" s="1715">
        <f t="shared" si="12"/>
        <v>373111</v>
      </c>
      <c r="I268" s="1715">
        <f t="shared" si="12"/>
        <v>0</v>
      </c>
      <c r="J268" s="1715">
        <f t="shared" si="12"/>
        <v>3028</v>
      </c>
      <c r="K268" s="1702">
        <f t="shared" si="12"/>
        <v>293</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N368"/>
  <sheetViews>
    <sheetView showGridLines="0" defaultGridColor="0" colorId="8" zoomScale="110" zoomScaleNormal="110" workbookViewId="0">
      <pane ySplit="2" topLeftCell="A168" activePane="bottomLeft" state="frozen"/>
      <selection activeCell="H14" sqref="H14"/>
      <selection pane="bottomLeft" activeCell="H172" sqref="H172"/>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80" t="s">
        <v>1798</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212"/>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218" t="s">
        <v>296</v>
      </c>
      <c r="B3" s="2219"/>
      <c r="C3" s="1548"/>
      <c r="D3" s="1548"/>
      <c r="E3" s="1548"/>
      <c r="F3" s="1548"/>
      <c r="G3" s="1548"/>
      <c r="H3" s="1548"/>
      <c r="I3" s="1548"/>
      <c r="J3" s="1548"/>
      <c r="K3" s="1549"/>
      <c r="L3" s="1550"/>
      <c r="M3" s="609"/>
      <c r="N3" s="609"/>
    </row>
    <row r="4" spans="1:14" s="259" customFormat="1" ht="15.75" customHeight="1" x14ac:dyDescent="0.2">
      <c r="A4" s="1606" t="s">
        <v>44</v>
      </c>
      <c r="B4" s="1607" t="s">
        <v>569</v>
      </c>
      <c r="C4" s="610"/>
      <c r="D4" s="610"/>
      <c r="E4" s="610"/>
      <c r="F4" s="610"/>
      <c r="G4" s="610"/>
      <c r="H4" s="610"/>
      <c r="I4" s="611"/>
      <c r="J4" s="610"/>
      <c r="K4" s="612"/>
      <c r="L4" s="610"/>
      <c r="M4" s="613"/>
      <c r="N4" s="613"/>
    </row>
    <row r="5" spans="1:14" x14ac:dyDescent="0.2">
      <c r="A5" s="1504" t="s">
        <v>960</v>
      </c>
      <c r="B5" s="614">
        <v>1100</v>
      </c>
      <c r="C5" s="466">
        <v>38122015</v>
      </c>
      <c r="D5" s="466">
        <v>9662799</v>
      </c>
      <c r="E5" s="466">
        <v>574692</v>
      </c>
      <c r="F5" s="466">
        <v>1197316</v>
      </c>
      <c r="G5" s="466"/>
      <c r="H5" s="466"/>
      <c r="I5" s="467">
        <v>29403</v>
      </c>
      <c r="J5" s="467"/>
      <c r="K5" s="1671">
        <f>SUM(C5:J5)</f>
        <v>49586225</v>
      </c>
      <c r="L5" s="466"/>
    </row>
    <row r="6" spans="1:14" x14ac:dyDescent="0.2">
      <c r="A6" s="1504" t="s">
        <v>1432</v>
      </c>
      <c r="B6" s="614" t="s">
        <v>1430</v>
      </c>
      <c r="C6" s="477"/>
      <c r="D6" s="477"/>
      <c r="E6" s="466"/>
      <c r="F6" s="477"/>
      <c r="G6" s="477"/>
      <c r="H6" s="477"/>
      <c r="I6" s="477"/>
      <c r="J6" s="477"/>
      <c r="K6" s="1671">
        <f>SUM(C6,E6)</f>
        <v>0</v>
      </c>
      <c r="L6" s="466"/>
    </row>
    <row r="7" spans="1:14" x14ac:dyDescent="0.2">
      <c r="A7" s="1504" t="s">
        <v>163</v>
      </c>
      <c r="B7" s="614" t="s">
        <v>966</v>
      </c>
      <c r="C7" s="467">
        <v>1551618</v>
      </c>
      <c r="D7" s="467">
        <v>498433</v>
      </c>
      <c r="E7" s="467">
        <v>21175</v>
      </c>
      <c r="F7" s="467">
        <v>117638</v>
      </c>
      <c r="G7" s="467"/>
      <c r="H7" s="467"/>
      <c r="I7" s="467"/>
      <c r="J7" s="467"/>
      <c r="K7" s="1671">
        <f t="shared" ref="K7:K32" si="0">SUM(C7:J7)</f>
        <v>2188864</v>
      </c>
      <c r="L7" s="466"/>
    </row>
    <row r="8" spans="1:14" x14ac:dyDescent="0.2">
      <c r="A8" s="1504" t="s">
        <v>164</v>
      </c>
      <c r="B8" s="614">
        <v>1200</v>
      </c>
      <c r="C8" s="466">
        <v>10060877</v>
      </c>
      <c r="D8" s="466">
        <v>2765458</v>
      </c>
      <c r="E8" s="466">
        <v>249641</v>
      </c>
      <c r="F8" s="466">
        <v>206773</v>
      </c>
      <c r="G8" s="466"/>
      <c r="H8" s="466">
        <v>4561240</v>
      </c>
      <c r="I8" s="467"/>
      <c r="J8" s="467"/>
      <c r="K8" s="1671">
        <f t="shared" si="0"/>
        <v>17843989</v>
      </c>
      <c r="L8" s="466"/>
    </row>
    <row r="9" spans="1:14" x14ac:dyDescent="0.2">
      <c r="A9" s="1504" t="s">
        <v>720</v>
      </c>
      <c r="B9" s="614" t="s">
        <v>967</v>
      </c>
      <c r="C9" s="467">
        <v>102883</v>
      </c>
      <c r="D9" s="467">
        <v>7547</v>
      </c>
      <c r="E9" s="467"/>
      <c r="F9" s="467"/>
      <c r="G9" s="467"/>
      <c r="H9" s="467"/>
      <c r="I9" s="467"/>
      <c r="J9" s="467"/>
      <c r="K9" s="1671">
        <f t="shared" si="0"/>
        <v>110430</v>
      </c>
      <c r="L9" s="466"/>
    </row>
    <row r="10" spans="1:14" x14ac:dyDescent="0.2">
      <c r="A10" s="1504" t="s">
        <v>721</v>
      </c>
      <c r="B10" s="614">
        <v>1250</v>
      </c>
      <c r="C10" s="466">
        <v>1588945</v>
      </c>
      <c r="D10" s="466">
        <v>485215</v>
      </c>
      <c r="E10" s="466">
        <v>38790</v>
      </c>
      <c r="F10" s="466">
        <v>1066215</v>
      </c>
      <c r="G10" s="466"/>
      <c r="H10" s="466"/>
      <c r="I10" s="467"/>
      <c r="J10" s="467"/>
      <c r="K10" s="1671">
        <f t="shared" si="0"/>
        <v>3179165</v>
      </c>
      <c r="L10" s="466"/>
    </row>
    <row r="11" spans="1:14" x14ac:dyDescent="0.2">
      <c r="A11" s="1504" t="s">
        <v>1129</v>
      </c>
      <c r="B11" s="614" t="s">
        <v>161</v>
      </c>
      <c r="C11" s="467"/>
      <c r="D11" s="467"/>
      <c r="E11" s="467"/>
      <c r="F11" s="467"/>
      <c r="G11" s="467"/>
      <c r="H11" s="467"/>
      <c r="I11" s="467"/>
      <c r="J11" s="467"/>
      <c r="K11" s="1671">
        <f t="shared" si="0"/>
        <v>0</v>
      </c>
      <c r="L11" s="466"/>
    </row>
    <row r="12" spans="1:14" x14ac:dyDescent="0.2">
      <c r="A12" s="1504" t="s">
        <v>961</v>
      </c>
      <c r="B12" s="614">
        <v>1300</v>
      </c>
      <c r="C12" s="466"/>
      <c r="D12" s="466"/>
      <c r="E12" s="466"/>
      <c r="F12" s="466"/>
      <c r="G12" s="466"/>
      <c r="H12" s="466"/>
      <c r="I12" s="467"/>
      <c r="J12" s="467"/>
      <c r="K12" s="1671">
        <f t="shared" si="0"/>
        <v>0</v>
      </c>
      <c r="L12" s="466"/>
    </row>
    <row r="13" spans="1:14" x14ac:dyDescent="0.2">
      <c r="A13" s="1504" t="s">
        <v>722</v>
      </c>
      <c r="B13" s="614">
        <v>1400</v>
      </c>
      <c r="C13" s="466">
        <v>33987</v>
      </c>
      <c r="D13" s="466">
        <v>841</v>
      </c>
      <c r="E13" s="466">
        <v>38206</v>
      </c>
      <c r="F13" s="466">
        <v>190007</v>
      </c>
      <c r="G13" s="466">
        <v>480340</v>
      </c>
      <c r="H13" s="466"/>
      <c r="I13" s="467"/>
      <c r="J13" s="467"/>
      <c r="K13" s="1671">
        <f t="shared" si="0"/>
        <v>743381</v>
      </c>
      <c r="L13" s="466"/>
    </row>
    <row r="14" spans="1:14" x14ac:dyDescent="0.2">
      <c r="A14" s="1504" t="s">
        <v>962</v>
      </c>
      <c r="B14" s="614">
        <v>1500</v>
      </c>
      <c r="C14" s="466">
        <v>2267116</v>
      </c>
      <c r="D14" s="466">
        <v>329645</v>
      </c>
      <c r="E14" s="466">
        <v>413934</v>
      </c>
      <c r="F14" s="466">
        <v>358875</v>
      </c>
      <c r="G14" s="466">
        <v>40039</v>
      </c>
      <c r="H14" s="466"/>
      <c r="I14" s="467">
        <v>4045</v>
      </c>
      <c r="J14" s="467"/>
      <c r="K14" s="1671">
        <f t="shared" si="0"/>
        <v>3413654</v>
      </c>
      <c r="L14" s="466"/>
    </row>
    <row r="15" spans="1:14" x14ac:dyDescent="0.2">
      <c r="A15" s="1504" t="s">
        <v>963</v>
      </c>
      <c r="B15" s="614">
        <v>1600</v>
      </c>
      <c r="C15" s="466">
        <v>228538</v>
      </c>
      <c r="D15" s="466">
        <v>21956</v>
      </c>
      <c r="E15" s="466">
        <v>940</v>
      </c>
      <c r="F15" s="466">
        <v>87276</v>
      </c>
      <c r="G15" s="466"/>
      <c r="H15" s="466"/>
      <c r="I15" s="467"/>
      <c r="J15" s="467"/>
      <c r="K15" s="1671">
        <f t="shared" si="0"/>
        <v>338710</v>
      </c>
      <c r="L15" s="466"/>
    </row>
    <row r="16" spans="1:14" x14ac:dyDescent="0.2">
      <c r="A16" s="1504" t="s">
        <v>986</v>
      </c>
      <c r="B16" s="614" t="s">
        <v>423</v>
      </c>
      <c r="C16" s="466">
        <v>289412</v>
      </c>
      <c r="D16" s="466">
        <v>67246</v>
      </c>
      <c r="E16" s="466">
        <v>19879</v>
      </c>
      <c r="F16" s="466">
        <v>9052</v>
      </c>
      <c r="G16" s="466"/>
      <c r="H16" s="466"/>
      <c r="I16" s="467"/>
      <c r="J16" s="467"/>
      <c r="K16" s="1671">
        <f t="shared" si="0"/>
        <v>385589</v>
      </c>
      <c r="L16" s="466"/>
    </row>
    <row r="17" spans="1:12" x14ac:dyDescent="0.2">
      <c r="A17" s="1504" t="s">
        <v>723</v>
      </c>
      <c r="B17" s="614" t="s">
        <v>162</v>
      </c>
      <c r="C17" s="467">
        <v>297755</v>
      </c>
      <c r="D17" s="467">
        <v>88554</v>
      </c>
      <c r="E17" s="467">
        <v>15666</v>
      </c>
      <c r="F17" s="467">
        <v>9482</v>
      </c>
      <c r="G17" s="467"/>
      <c r="H17" s="467"/>
      <c r="I17" s="467"/>
      <c r="J17" s="467"/>
      <c r="K17" s="1671">
        <f t="shared" si="0"/>
        <v>411457</v>
      </c>
      <c r="L17" s="466"/>
    </row>
    <row r="18" spans="1:12" x14ac:dyDescent="0.2">
      <c r="A18" s="1504" t="s">
        <v>1086</v>
      </c>
      <c r="B18" s="614">
        <v>1800</v>
      </c>
      <c r="C18" s="466">
        <v>6038730</v>
      </c>
      <c r="D18" s="466">
        <v>1495534</v>
      </c>
      <c r="E18" s="466"/>
      <c r="F18" s="466">
        <v>203451</v>
      </c>
      <c r="G18" s="466"/>
      <c r="H18" s="466"/>
      <c r="I18" s="467"/>
      <c r="J18" s="467"/>
      <c r="K18" s="1671">
        <f t="shared" si="0"/>
        <v>7737715</v>
      </c>
      <c r="L18" s="466"/>
    </row>
    <row r="19" spans="1:12" x14ac:dyDescent="0.2">
      <c r="A19" s="1504" t="s">
        <v>134</v>
      </c>
      <c r="B19" s="614">
        <v>1900</v>
      </c>
      <c r="C19" s="466">
        <v>317731</v>
      </c>
      <c r="D19" s="466">
        <v>85955</v>
      </c>
      <c r="E19" s="466"/>
      <c r="F19" s="466">
        <v>11550</v>
      </c>
      <c r="G19" s="466"/>
      <c r="H19" s="466"/>
      <c r="I19" s="467"/>
      <c r="J19" s="467"/>
      <c r="K19" s="1671">
        <f t="shared" si="0"/>
        <v>415236</v>
      </c>
      <c r="L19" s="466"/>
    </row>
    <row r="20" spans="1:12" x14ac:dyDescent="0.2">
      <c r="A20" s="1505" t="s">
        <v>737</v>
      </c>
      <c r="B20" s="602" t="s">
        <v>724</v>
      </c>
      <c r="C20" s="477"/>
      <c r="D20" s="477"/>
      <c r="E20" s="477"/>
      <c r="F20" s="477"/>
      <c r="G20" s="477"/>
      <c r="H20" s="474"/>
      <c r="I20" s="616"/>
      <c r="J20" s="475"/>
      <c r="K20" s="1671">
        <f t="shared" si="0"/>
        <v>0</v>
      </c>
      <c r="L20" s="471"/>
    </row>
    <row r="21" spans="1:12" x14ac:dyDescent="0.2">
      <c r="A21" s="1505" t="s">
        <v>738</v>
      </c>
      <c r="B21" s="602" t="s">
        <v>725</v>
      </c>
      <c r="C21" s="477"/>
      <c r="D21" s="477"/>
      <c r="E21" s="477"/>
      <c r="F21" s="477"/>
      <c r="G21" s="477"/>
      <c r="H21" s="474"/>
      <c r="I21" s="616"/>
      <c r="J21" s="477"/>
      <c r="K21" s="1671">
        <f t="shared" si="0"/>
        <v>0</v>
      </c>
      <c r="L21" s="471"/>
    </row>
    <row r="22" spans="1:12" x14ac:dyDescent="0.2">
      <c r="A22" s="1505" t="s">
        <v>739</v>
      </c>
      <c r="B22" s="602" t="s">
        <v>726</v>
      </c>
      <c r="C22" s="477"/>
      <c r="D22" s="477"/>
      <c r="E22" s="477"/>
      <c r="F22" s="477"/>
      <c r="G22" s="477"/>
      <c r="H22" s="474"/>
      <c r="I22" s="616"/>
      <c r="J22" s="477"/>
      <c r="K22" s="1671">
        <f t="shared" si="0"/>
        <v>0</v>
      </c>
      <c r="L22" s="471"/>
    </row>
    <row r="23" spans="1:12" x14ac:dyDescent="0.2">
      <c r="A23" s="1505" t="s">
        <v>740</v>
      </c>
      <c r="B23" s="602" t="s">
        <v>727</v>
      </c>
      <c r="C23" s="477"/>
      <c r="D23" s="477"/>
      <c r="E23" s="477"/>
      <c r="F23" s="477"/>
      <c r="G23" s="477"/>
      <c r="H23" s="474"/>
      <c r="I23" s="616"/>
      <c r="J23" s="477"/>
      <c r="K23" s="1671">
        <f t="shared" si="0"/>
        <v>0</v>
      </c>
      <c r="L23" s="471"/>
    </row>
    <row r="24" spans="1:12" ht="12.75" customHeight="1" x14ac:dyDescent="0.2">
      <c r="A24" s="1505" t="s">
        <v>741</v>
      </c>
      <c r="B24" s="602" t="s">
        <v>728</v>
      </c>
      <c r="C24" s="477"/>
      <c r="D24" s="477"/>
      <c r="E24" s="477"/>
      <c r="F24" s="477"/>
      <c r="G24" s="477"/>
      <c r="H24" s="474"/>
      <c r="I24" s="616"/>
      <c r="J24" s="477"/>
      <c r="K24" s="1671">
        <f t="shared" si="0"/>
        <v>0</v>
      </c>
      <c r="L24" s="471"/>
    </row>
    <row r="25" spans="1:12" ht="12.75" customHeight="1" x14ac:dyDescent="0.2">
      <c r="A25" s="1505" t="s">
        <v>801</v>
      </c>
      <c r="B25" s="602" t="s">
        <v>729</v>
      </c>
      <c r="C25" s="477"/>
      <c r="D25" s="477"/>
      <c r="E25" s="477"/>
      <c r="F25" s="477"/>
      <c r="G25" s="477"/>
      <c r="H25" s="474"/>
      <c r="I25" s="616"/>
      <c r="J25" s="477"/>
      <c r="K25" s="1671">
        <f t="shared" si="0"/>
        <v>0</v>
      </c>
      <c r="L25" s="471"/>
    </row>
    <row r="26" spans="1:12" x14ac:dyDescent="0.2">
      <c r="A26" s="1505" t="s">
        <v>621</v>
      </c>
      <c r="B26" s="602" t="s">
        <v>730</v>
      </c>
      <c r="C26" s="477"/>
      <c r="D26" s="477"/>
      <c r="E26" s="477"/>
      <c r="F26" s="477"/>
      <c r="G26" s="477"/>
      <c r="H26" s="474"/>
      <c r="I26" s="616"/>
      <c r="J26" s="477"/>
      <c r="K26" s="1671">
        <f t="shared" si="0"/>
        <v>0</v>
      </c>
      <c r="L26" s="471"/>
    </row>
    <row r="27" spans="1:12" x14ac:dyDescent="0.2">
      <c r="A27" s="1505" t="s">
        <v>622</v>
      </c>
      <c r="B27" s="602" t="s">
        <v>731</v>
      </c>
      <c r="C27" s="477"/>
      <c r="D27" s="477"/>
      <c r="E27" s="477"/>
      <c r="F27" s="477"/>
      <c r="G27" s="477"/>
      <c r="H27" s="474"/>
      <c r="I27" s="616"/>
      <c r="J27" s="477"/>
      <c r="K27" s="1671">
        <f t="shared" si="0"/>
        <v>0</v>
      </c>
      <c r="L27" s="471"/>
    </row>
    <row r="28" spans="1:12" x14ac:dyDescent="0.2">
      <c r="A28" s="1505" t="s">
        <v>150</v>
      </c>
      <c r="B28" s="602" t="s">
        <v>732</v>
      </c>
      <c r="C28" s="477"/>
      <c r="D28" s="477"/>
      <c r="E28" s="477"/>
      <c r="F28" s="477"/>
      <c r="G28" s="477"/>
      <c r="H28" s="474"/>
      <c r="I28" s="616"/>
      <c r="J28" s="477"/>
      <c r="K28" s="1671">
        <f t="shared" si="0"/>
        <v>0</v>
      </c>
      <c r="L28" s="471"/>
    </row>
    <row r="29" spans="1:12" x14ac:dyDescent="0.2">
      <c r="A29" s="1505" t="s">
        <v>151</v>
      </c>
      <c r="B29" s="602" t="s">
        <v>733</v>
      </c>
      <c r="C29" s="477"/>
      <c r="D29" s="477"/>
      <c r="E29" s="477"/>
      <c r="F29" s="477"/>
      <c r="G29" s="477"/>
      <c r="H29" s="474"/>
      <c r="I29" s="616"/>
      <c r="J29" s="477"/>
      <c r="K29" s="1671">
        <f t="shared" si="0"/>
        <v>0</v>
      </c>
      <c r="L29" s="471"/>
    </row>
    <row r="30" spans="1:12" x14ac:dyDescent="0.2">
      <c r="A30" s="1505" t="s">
        <v>152</v>
      </c>
      <c r="B30" s="602" t="s">
        <v>734</v>
      </c>
      <c r="C30" s="477"/>
      <c r="D30" s="477"/>
      <c r="E30" s="477"/>
      <c r="F30" s="477"/>
      <c r="G30" s="477"/>
      <c r="H30" s="474"/>
      <c r="I30" s="616"/>
      <c r="J30" s="477"/>
      <c r="K30" s="1671">
        <f t="shared" si="0"/>
        <v>0</v>
      </c>
      <c r="L30" s="471"/>
    </row>
    <row r="31" spans="1:12" x14ac:dyDescent="0.2">
      <c r="A31" s="1505" t="s">
        <v>153</v>
      </c>
      <c r="B31" s="602" t="s">
        <v>735</v>
      </c>
      <c r="C31" s="477"/>
      <c r="D31" s="477"/>
      <c r="E31" s="477"/>
      <c r="F31" s="477"/>
      <c r="G31" s="477"/>
      <c r="H31" s="474"/>
      <c r="I31" s="616"/>
      <c r="J31" s="477"/>
      <c r="K31" s="1671">
        <f t="shared" si="0"/>
        <v>0</v>
      </c>
      <c r="L31" s="471"/>
    </row>
    <row r="32" spans="1:12" x14ac:dyDescent="0.2">
      <c r="A32" s="1506" t="s">
        <v>1128</v>
      </c>
      <c r="B32" s="614" t="s">
        <v>736</v>
      </c>
      <c r="C32" s="477"/>
      <c r="D32" s="477"/>
      <c r="E32" s="477"/>
      <c r="F32" s="477"/>
      <c r="G32" s="477"/>
      <c r="H32" s="474"/>
      <c r="I32" s="616"/>
      <c r="J32" s="480"/>
      <c r="K32" s="1671">
        <f t="shared" si="0"/>
        <v>0</v>
      </c>
      <c r="L32" s="471"/>
    </row>
    <row r="33" spans="1:14" ht="12.75" customHeight="1" thickBot="1" x14ac:dyDescent="0.25">
      <c r="A33" s="1668" t="s">
        <v>1667</v>
      </c>
      <c r="B33" s="1669" t="s">
        <v>569</v>
      </c>
      <c r="C33" s="1670">
        <f>SUM(C5:C32)</f>
        <v>60899607</v>
      </c>
      <c r="D33" s="1670">
        <f t="shared" ref="D33:L33" si="1">SUM(D5:D32)</f>
        <v>15509183</v>
      </c>
      <c r="E33" s="1670">
        <f t="shared" si="1"/>
        <v>1372923</v>
      </c>
      <c r="F33" s="1670">
        <f t="shared" si="1"/>
        <v>3457635</v>
      </c>
      <c r="G33" s="1670">
        <f t="shared" si="1"/>
        <v>520379</v>
      </c>
      <c r="H33" s="1670">
        <f t="shared" si="1"/>
        <v>4561240</v>
      </c>
      <c r="I33" s="1670">
        <f t="shared" si="1"/>
        <v>33448</v>
      </c>
      <c r="J33" s="1670">
        <f t="shared" si="1"/>
        <v>0</v>
      </c>
      <c r="K33" s="1670">
        <f t="shared" si="1"/>
        <v>86354415</v>
      </c>
      <c r="L33" s="1670">
        <f t="shared" si="1"/>
        <v>0</v>
      </c>
    </row>
    <row r="34" spans="1:14" s="620" customFormat="1" ht="15.75" customHeight="1" thickTop="1" x14ac:dyDescent="0.2">
      <c r="A34" s="1608" t="s">
        <v>46</v>
      </c>
      <c r="B34" s="1609"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504" t="s">
        <v>1088</v>
      </c>
      <c r="B36" s="614">
        <v>2110</v>
      </c>
      <c r="C36" s="481">
        <v>2688437</v>
      </c>
      <c r="D36" s="481">
        <v>692600</v>
      </c>
      <c r="E36" s="481">
        <v>161784</v>
      </c>
      <c r="F36" s="481">
        <v>40715</v>
      </c>
      <c r="G36" s="481"/>
      <c r="H36" s="481"/>
      <c r="I36" s="467"/>
      <c r="J36" s="467"/>
      <c r="K36" s="1671">
        <f t="shared" ref="K36:K41" si="2">SUM(C36:J36)</f>
        <v>3583536</v>
      </c>
      <c r="L36" s="466"/>
    </row>
    <row r="37" spans="1:14" x14ac:dyDescent="0.2">
      <c r="A37" s="1504" t="s">
        <v>1089</v>
      </c>
      <c r="B37" s="614">
        <v>2120</v>
      </c>
      <c r="C37" s="466">
        <v>1137076</v>
      </c>
      <c r="D37" s="466">
        <v>253950</v>
      </c>
      <c r="E37" s="466">
        <v>6180</v>
      </c>
      <c r="F37" s="466"/>
      <c r="G37" s="466"/>
      <c r="H37" s="466"/>
      <c r="I37" s="467"/>
      <c r="J37" s="467"/>
      <c r="K37" s="1671">
        <f t="shared" si="2"/>
        <v>1397206</v>
      </c>
      <c r="L37" s="466"/>
    </row>
    <row r="38" spans="1:14" x14ac:dyDescent="0.2">
      <c r="A38" s="1504" t="s">
        <v>198</v>
      </c>
      <c r="B38" s="614">
        <v>2130</v>
      </c>
      <c r="C38" s="466">
        <v>970208</v>
      </c>
      <c r="D38" s="466">
        <v>278875</v>
      </c>
      <c r="E38" s="466">
        <v>2350</v>
      </c>
      <c r="F38" s="466">
        <v>10564</v>
      </c>
      <c r="G38" s="466"/>
      <c r="H38" s="466"/>
      <c r="I38" s="467"/>
      <c r="J38" s="467"/>
      <c r="K38" s="1671">
        <f t="shared" si="2"/>
        <v>1261997</v>
      </c>
      <c r="L38" s="466"/>
    </row>
    <row r="39" spans="1:14" x14ac:dyDescent="0.2">
      <c r="A39" s="1504" t="s">
        <v>199</v>
      </c>
      <c r="B39" s="614">
        <v>2140</v>
      </c>
      <c r="C39" s="466">
        <v>999882</v>
      </c>
      <c r="D39" s="466">
        <v>244769</v>
      </c>
      <c r="E39" s="466">
        <v>2488</v>
      </c>
      <c r="F39" s="466">
        <v>20487</v>
      </c>
      <c r="G39" s="466"/>
      <c r="H39" s="466"/>
      <c r="I39" s="467"/>
      <c r="J39" s="467"/>
      <c r="K39" s="1671">
        <f t="shared" si="2"/>
        <v>1267626</v>
      </c>
      <c r="L39" s="466"/>
    </row>
    <row r="40" spans="1:14" x14ac:dyDescent="0.2">
      <c r="A40" s="1504" t="s">
        <v>200</v>
      </c>
      <c r="B40" s="614">
        <v>2150</v>
      </c>
      <c r="C40" s="466">
        <v>1422582</v>
      </c>
      <c r="D40" s="466">
        <v>428887</v>
      </c>
      <c r="E40" s="466">
        <v>36448</v>
      </c>
      <c r="F40" s="466">
        <v>8280</v>
      </c>
      <c r="G40" s="466"/>
      <c r="H40" s="466"/>
      <c r="I40" s="467"/>
      <c r="J40" s="467"/>
      <c r="K40" s="1671">
        <f t="shared" si="2"/>
        <v>1896197</v>
      </c>
      <c r="L40" s="466"/>
    </row>
    <row r="41" spans="1:14" x14ac:dyDescent="0.2">
      <c r="A41" s="1504" t="s">
        <v>1668</v>
      </c>
      <c r="B41" s="614">
        <v>2190</v>
      </c>
      <c r="C41" s="466">
        <v>182366</v>
      </c>
      <c r="D41" s="466">
        <v>257</v>
      </c>
      <c r="E41" s="466">
        <v>2191</v>
      </c>
      <c r="F41" s="466">
        <v>929</v>
      </c>
      <c r="G41" s="466"/>
      <c r="H41" s="466"/>
      <c r="I41" s="467"/>
      <c r="J41" s="467"/>
      <c r="K41" s="1671">
        <f t="shared" si="2"/>
        <v>185743</v>
      </c>
      <c r="L41" s="466"/>
    </row>
    <row r="42" spans="1:14" ht="12.75" customHeight="1" thickBot="1" x14ac:dyDescent="0.25">
      <c r="A42" s="1668" t="s">
        <v>559</v>
      </c>
      <c r="B42" s="1669" t="s">
        <v>715</v>
      </c>
      <c r="C42" s="1670">
        <f>SUM(C36:C41)</f>
        <v>7400551</v>
      </c>
      <c r="D42" s="1670">
        <f t="shared" ref="D42:L42" si="3">SUM(D36:D41)</f>
        <v>1899338</v>
      </c>
      <c r="E42" s="1670">
        <f t="shared" si="3"/>
        <v>211441</v>
      </c>
      <c r="F42" s="1670">
        <f t="shared" si="3"/>
        <v>80975</v>
      </c>
      <c r="G42" s="1670">
        <f t="shared" si="3"/>
        <v>0</v>
      </c>
      <c r="H42" s="1670">
        <f t="shared" si="3"/>
        <v>0</v>
      </c>
      <c r="I42" s="1670">
        <f t="shared" si="3"/>
        <v>0</v>
      </c>
      <c r="J42" s="1670">
        <f t="shared" si="3"/>
        <v>0</v>
      </c>
      <c r="K42" s="1670">
        <f t="shared" si="3"/>
        <v>9592305</v>
      </c>
      <c r="L42" s="1670">
        <f t="shared" si="3"/>
        <v>0</v>
      </c>
    </row>
    <row r="43" spans="1:14" ht="15.75" customHeight="1" thickTop="1" x14ac:dyDescent="0.2">
      <c r="A43" s="624" t="s">
        <v>591</v>
      </c>
      <c r="B43" s="625"/>
      <c r="C43" s="626"/>
      <c r="D43" s="626"/>
      <c r="E43" s="626"/>
      <c r="F43" s="626"/>
      <c r="G43" s="626"/>
      <c r="H43" s="626"/>
      <c r="I43" s="616"/>
      <c r="J43" s="616"/>
      <c r="K43" s="626"/>
      <c r="L43" s="626"/>
    </row>
    <row r="44" spans="1:14" x14ac:dyDescent="0.2">
      <c r="A44" s="1504" t="s">
        <v>813</v>
      </c>
      <c r="B44" s="614">
        <v>2210</v>
      </c>
      <c r="C44" s="481">
        <v>3383751</v>
      </c>
      <c r="D44" s="481">
        <v>833603</v>
      </c>
      <c r="E44" s="481">
        <v>469447</v>
      </c>
      <c r="F44" s="481">
        <v>247518</v>
      </c>
      <c r="G44" s="481">
        <v>10547</v>
      </c>
      <c r="H44" s="481"/>
      <c r="I44" s="467"/>
      <c r="J44" s="467"/>
      <c r="K44" s="1672">
        <f>SUM(C44:J44)</f>
        <v>4944866</v>
      </c>
      <c r="L44" s="481"/>
    </row>
    <row r="45" spans="1:14" x14ac:dyDescent="0.2">
      <c r="A45" s="1504" t="s">
        <v>814</v>
      </c>
      <c r="B45" s="614">
        <v>2220</v>
      </c>
      <c r="C45" s="466"/>
      <c r="D45" s="466"/>
      <c r="E45" s="466"/>
      <c r="F45" s="466">
        <v>16385</v>
      </c>
      <c r="G45" s="466"/>
      <c r="H45" s="466"/>
      <c r="I45" s="467"/>
      <c r="J45" s="467"/>
      <c r="K45" s="1672">
        <f>SUM(C45:J45)</f>
        <v>16385</v>
      </c>
      <c r="L45" s="466"/>
    </row>
    <row r="46" spans="1:14" x14ac:dyDescent="0.2">
      <c r="A46" s="1504" t="s">
        <v>815</v>
      </c>
      <c r="B46" s="614">
        <v>2230</v>
      </c>
      <c r="C46" s="466">
        <v>204397</v>
      </c>
      <c r="D46" s="466">
        <v>55109</v>
      </c>
      <c r="E46" s="466">
        <v>407580</v>
      </c>
      <c r="F46" s="466">
        <v>3462</v>
      </c>
      <c r="G46" s="466"/>
      <c r="H46" s="466"/>
      <c r="I46" s="467"/>
      <c r="J46" s="467"/>
      <c r="K46" s="1672">
        <f>SUM(C46:J46)</f>
        <v>670548</v>
      </c>
      <c r="L46" s="466"/>
    </row>
    <row r="47" spans="1:14" ht="12.75" customHeight="1" thickBot="1" x14ac:dyDescent="0.25">
      <c r="A47" s="1668" t="s">
        <v>560</v>
      </c>
      <c r="B47" s="1669" t="s">
        <v>32</v>
      </c>
      <c r="C47" s="1670">
        <f>SUM(C44:C46)</f>
        <v>3588148</v>
      </c>
      <c r="D47" s="1670">
        <f t="shared" ref="D47:K47" si="4">SUM(D44:D46)</f>
        <v>888712</v>
      </c>
      <c r="E47" s="1670">
        <f t="shared" si="4"/>
        <v>877027</v>
      </c>
      <c r="F47" s="1670">
        <f t="shared" si="4"/>
        <v>267365</v>
      </c>
      <c r="G47" s="1670">
        <f t="shared" si="4"/>
        <v>10547</v>
      </c>
      <c r="H47" s="1670">
        <f t="shared" si="4"/>
        <v>0</v>
      </c>
      <c r="I47" s="1670">
        <f t="shared" si="4"/>
        <v>0</v>
      </c>
      <c r="J47" s="1670">
        <f t="shared" si="4"/>
        <v>0</v>
      </c>
      <c r="K47" s="1670">
        <f t="shared" si="4"/>
        <v>5631799</v>
      </c>
      <c r="L47" s="1670">
        <f>SUM(L44:L46)</f>
        <v>0</v>
      </c>
    </row>
    <row r="48" spans="1:14" ht="15.75" customHeight="1" thickTop="1" x14ac:dyDescent="0.2">
      <c r="A48" s="624" t="s">
        <v>609</v>
      </c>
      <c r="B48" s="625"/>
      <c r="C48" s="626"/>
      <c r="D48" s="626"/>
      <c r="E48" s="626"/>
      <c r="F48" s="626"/>
      <c r="G48" s="626"/>
      <c r="H48" s="626"/>
      <c r="I48" s="616"/>
      <c r="J48" s="616"/>
      <c r="K48" s="626"/>
      <c r="L48" s="626"/>
    </row>
    <row r="49" spans="1:14" x14ac:dyDescent="0.2">
      <c r="A49" s="1504" t="s">
        <v>816</v>
      </c>
      <c r="B49" s="614">
        <v>2310</v>
      </c>
      <c r="C49" s="481">
        <v>62733</v>
      </c>
      <c r="D49" s="481">
        <v>19455</v>
      </c>
      <c r="E49" s="481">
        <v>10399</v>
      </c>
      <c r="F49" s="481">
        <v>33424</v>
      </c>
      <c r="G49" s="481"/>
      <c r="H49" s="481">
        <v>16835</v>
      </c>
      <c r="I49" s="467"/>
      <c r="J49" s="467"/>
      <c r="K49" s="1672">
        <f>SUM(C49:J49)</f>
        <v>142846</v>
      </c>
      <c r="L49" s="481"/>
    </row>
    <row r="50" spans="1:14" x14ac:dyDescent="0.2">
      <c r="A50" s="1504" t="s">
        <v>817</v>
      </c>
      <c r="B50" s="614">
        <v>2320</v>
      </c>
      <c r="C50" s="466">
        <v>219536</v>
      </c>
      <c r="D50" s="466">
        <v>52128</v>
      </c>
      <c r="E50" s="466">
        <v>139776</v>
      </c>
      <c r="F50" s="466">
        <v>3951</v>
      </c>
      <c r="G50" s="466"/>
      <c r="H50" s="466">
        <v>7951</v>
      </c>
      <c r="I50" s="467"/>
      <c r="J50" s="467"/>
      <c r="K50" s="1672">
        <f>SUM(C50:J50)</f>
        <v>423342</v>
      </c>
      <c r="L50" s="466"/>
    </row>
    <row r="51" spans="1:14" x14ac:dyDescent="0.2">
      <c r="A51" s="1504" t="s">
        <v>42</v>
      </c>
      <c r="B51" s="614">
        <v>2330</v>
      </c>
      <c r="C51" s="466">
        <v>139802</v>
      </c>
      <c r="D51" s="466">
        <v>21570</v>
      </c>
      <c r="E51" s="466">
        <v>38237</v>
      </c>
      <c r="F51" s="466">
        <v>548</v>
      </c>
      <c r="G51" s="466"/>
      <c r="H51" s="466"/>
      <c r="I51" s="467"/>
      <c r="J51" s="467"/>
      <c r="K51" s="1672">
        <f>SUM(C51:J51)</f>
        <v>200157</v>
      </c>
      <c r="L51" s="466"/>
    </row>
    <row r="52" spans="1:14" ht="22.5" x14ac:dyDescent="0.2">
      <c r="A52" s="1505" t="s">
        <v>297</v>
      </c>
      <c r="B52" s="627" t="s">
        <v>365</v>
      </c>
      <c r="C52" s="474"/>
      <c r="D52" s="474"/>
      <c r="E52" s="474"/>
      <c r="F52" s="474">
        <v>198019</v>
      </c>
      <c r="G52" s="474"/>
      <c r="H52" s="474"/>
      <c r="I52" s="474"/>
      <c r="J52" s="474"/>
      <c r="K52" s="1672">
        <f>SUM(C52:J52)</f>
        <v>198019</v>
      </c>
      <c r="L52" s="474"/>
    </row>
    <row r="53" spans="1:14" ht="12.75" customHeight="1" thickBot="1" x14ac:dyDescent="0.25">
      <c r="A53" s="1668" t="s">
        <v>716</v>
      </c>
      <c r="B53" s="1669" t="s">
        <v>33</v>
      </c>
      <c r="C53" s="1670">
        <f>SUM(C49:C52)</f>
        <v>422071</v>
      </c>
      <c r="D53" s="1670">
        <f t="shared" ref="D53:L53" si="5">SUM(D49:D52)</f>
        <v>93153</v>
      </c>
      <c r="E53" s="1670">
        <f t="shared" si="5"/>
        <v>188412</v>
      </c>
      <c r="F53" s="1670">
        <f t="shared" si="5"/>
        <v>235942</v>
      </c>
      <c r="G53" s="1670">
        <f t="shared" si="5"/>
        <v>0</v>
      </c>
      <c r="H53" s="1670">
        <f t="shared" si="5"/>
        <v>24786</v>
      </c>
      <c r="I53" s="1670">
        <f t="shared" si="5"/>
        <v>0</v>
      </c>
      <c r="J53" s="1670">
        <f t="shared" si="5"/>
        <v>0</v>
      </c>
      <c r="K53" s="1670">
        <f t="shared" si="5"/>
        <v>964364</v>
      </c>
      <c r="L53" s="1670">
        <f t="shared" si="5"/>
        <v>0</v>
      </c>
    </row>
    <row r="54" spans="1:14" ht="15.75" customHeight="1" thickTop="1" x14ac:dyDescent="0.2">
      <c r="A54" s="624" t="s">
        <v>610</v>
      </c>
      <c r="B54" s="625"/>
      <c r="C54" s="626"/>
      <c r="D54" s="626"/>
      <c r="E54" s="626"/>
      <c r="F54" s="626"/>
      <c r="G54" s="626"/>
      <c r="H54" s="626"/>
      <c r="I54" s="616"/>
      <c r="J54" s="616"/>
      <c r="K54" s="626"/>
      <c r="L54" s="626"/>
    </row>
    <row r="55" spans="1:14" x14ac:dyDescent="0.2">
      <c r="A55" s="1504" t="s">
        <v>1066</v>
      </c>
      <c r="B55" s="614">
        <v>2410</v>
      </c>
      <c r="C55" s="481">
        <v>4628392</v>
      </c>
      <c r="D55" s="481">
        <v>1110036</v>
      </c>
      <c r="E55" s="481">
        <v>56270</v>
      </c>
      <c r="F55" s="481">
        <v>134057</v>
      </c>
      <c r="G55" s="481"/>
      <c r="H55" s="481"/>
      <c r="I55" s="467"/>
      <c r="J55" s="467"/>
      <c r="K55" s="1672">
        <f>SUM(C55:J55)</f>
        <v>5928755</v>
      </c>
      <c r="L55" s="481"/>
    </row>
    <row r="56" spans="1:14" ht="12.75" customHeight="1" x14ac:dyDescent="0.2">
      <c r="A56" s="1508" t="s">
        <v>375</v>
      </c>
      <c r="B56" s="628">
        <v>2490</v>
      </c>
      <c r="C56" s="466"/>
      <c r="D56" s="466"/>
      <c r="E56" s="466"/>
      <c r="F56" s="466">
        <v>4691</v>
      </c>
      <c r="G56" s="466"/>
      <c r="H56" s="466"/>
      <c r="I56" s="467"/>
      <c r="J56" s="467"/>
      <c r="K56" s="1672">
        <f>SUM(C56:J56)</f>
        <v>4691</v>
      </c>
      <c r="L56" s="466"/>
    </row>
    <row r="57" spans="1:14" s="343" customFormat="1" ht="12.75" customHeight="1" thickBot="1" x14ac:dyDescent="0.25">
      <c r="A57" s="1668" t="s">
        <v>263</v>
      </c>
      <c r="B57" s="1673" t="s">
        <v>34</v>
      </c>
      <c r="C57" s="1674">
        <f>SUM(C55:C56)</f>
        <v>4628392</v>
      </c>
      <c r="D57" s="1674">
        <f t="shared" ref="D57:K57" si="6">SUM(D55:D56)</f>
        <v>1110036</v>
      </c>
      <c r="E57" s="1674">
        <f t="shared" si="6"/>
        <v>56270</v>
      </c>
      <c r="F57" s="1674">
        <f t="shared" si="6"/>
        <v>138748</v>
      </c>
      <c r="G57" s="1674">
        <f t="shared" si="6"/>
        <v>0</v>
      </c>
      <c r="H57" s="1674">
        <f t="shared" si="6"/>
        <v>0</v>
      </c>
      <c r="I57" s="1674">
        <f t="shared" si="6"/>
        <v>0</v>
      </c>
      <c r="J57" s="1674">
        <f t="shared" si="6"/>
        <v>0</v>
      </c>
      <c r="K57" s="1674">
        <f t="shared" si="6"/>
        <v>5933446</v>
      </c>
      <c r="L57" s="1670">
        <f>SUM(L55:L56)</f>
        <v>0</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504" t="s">
        <v>1067</v>
      </c>
      <c r="B59" s="614">
        <v>2510</v>
      </c>
      <c r="C59" s="481">
        <v>119432</v>
      </c>
      <c r="D59" s="481">
        <v>17317</v>
      </c>
      <c r="E59" s="481">
        <v>70041</v>
      </c>
      <c r="F59" s="481">
        <v>21864</v>
      </c>
      <c r="G59" s="481">
        <v>63397</v>
      </c>
      <c r="H59" s="481"/>
      <c r="I59" s="467"/>
      <c r="J59" s="467"/>
      <c r="K59" s="1672">
        <f t="shared" ref="K59:K64" si="7">SUM(C59:J59)</f>
        <v>292051</v>
      </c>
      <c r="L59" s="481"/>
      <c r="M59" s="609"/>
      <c r="N59" s="609"/>
    </row>
    <row r="60" spans="1:14" s="343" customFormat="1" x14ac:dyDescent="0.2">
      <c r="A60" s="1504" t="s">
        <v>462</v>
      </c>
      <c r="B60" s="614">
        <v>2520</v>
      </c>
      <c r="C60" s="466">
        <v>382655</v>
      </c>
      <c r="D60" s="466">
        <v>103095</v>
      </c>
      <c r="E60" s="466">
        <v>224756</v>
      </c>
      <c r="F60" s="466">
        <v>49113</v>
      </c>
      <c r="G60" s="466"/>
      <c r="H60" s="466"/>
      <c r="I60" s="467"/>
      <c r="J60" s="467"/>
      <c r="K60" s="1672">
        <f t="shared" si="7"/>
        <v>759619</v>
      </c>
      <c r="L60" s="466"/>
      <c r="M60" s="609"/>
      <c r="N60" s="609"/>
    </row>
    <row r="61" spans="1:14" s="343" customFormat="1" x14ac:dyDescent="0.2">
      <c r="A61" s="1504" t="s">
        <v>197</v>
      </c>
      <c r="B61" s="614">
        <v>2540</v>
      </c>
      <c r="C61" s="466">
        <v>624435</v>
      </c>
      <c r="D61" s="466">
        <v>145113</v>
      </c>
      <c r="E61" s="466"/>
      <c r="F61" s="466">
        <v>4370</v>
      </c>
      <c r="G61" s="466"/>
      <c r="H61" s="466"/>
      <c r="I61" s="467"/>
      <c r="J61" s="467"/>
      <c r="K61" s="1672">
        <f t="shared" si="7"/>
        <v>773918</v>
      </c>
      <c r="L61" s="466"/>
      <c r="M61" s="609"/>
      <c r="N61" s="609"/>
    </row>
    <row r="62" spans="1:14" s="343" customFormat="1" x14ac:dyDescent="0.2">
      <c r="A62" s="1504" t="s">
        <v>952</v>
      </c>
      <c r="B62" s="614">
        <v>2550</v>
      </c>
      <c r="C62" s="466"/>
      <c r="D62" s="466"/>
      <c r="E62" s="466">
        <v>6968</v>
      </c>
      <c r="F62" s="466"/>
      <c r="G62" s="466"/>
      <c r="H62" s="466"/>
      <c r="I62" s="467"/>
      <c r="J62" s="467"/>
      <c r="K62" s="1672">
        <f t="shared" si="7"/>
        <v>6968</v>
      </c>
      <c r="L62" s="466"/>
      <c r="M62" s="609"/>
      <c r="N62" s="609"/>
    </row>
    <row r="63" spans="1:14" s="609" customFormat="1" x14ac:dyDescent="0.2">
      <c r="A63" s="1504" t="s">
        <v>100</v>
      </c>
      <c r="B63" s="614">
        <v>2560</v>
      </c>
      <c r="C63" s="466">
        <v>262597</v>
      </c>
      <c r="D63" s="466">
        <v>13253</v>
      </c>
      <c r="E63" s="466">
        <v>4276047</v>
      </c>
      <c r="F63" s="466">
        <v>122471</v>
      </c>
      <c r="G63" s="466">
        <v>78036</v>
      </c>
      <c r="H63" s="466"/>
      <c r="I63" s="467"/>
      <c r="J63" s="467"/>
      <c r="K63" s="1672">
        <f t="shared" si="7"/>
        <v>4752404</v>
      </c>
      <c r="L63" s="466"/>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718</v>
      </c>
      <c r="B65" s="1669" t="s">
        <v>35</v>
      </c>
      <c r="C65" s="1670">
        <f>SUM(C59:C64)</f>
        <v>1389119</v>
      </c>
      <c r="D65" s="1670">
        <f t="shared" ref="D65:L65" si="8">SUM(D59:D64)</f>
        <v>278778</v>
      </c>
      <c r="E65" s="1670">
        <f t="shared" si="8"/>
        <v>4577812</v>
      </c>
      <c r="F65" s="1670">
        <f t="shared" si="8"/>
        <v>197818</v>
      </c>
      <c r="G65" s="1670">
        <f t="shared" si="8"/>
        <v>141433</v>
      </c>
      <c r="H65" s="1670">
        <f t="shared" si="8"/>
        <v>0</v>
      </c>
      <c r="I65" s="1670">
        <f t="shared" si="8"/>
        <v>0</v>
      </c>
      <c r="J65" s="1670">
        <f t="shared" si="8"/>
        <v>0</v>
      </c>
      <c r="K65" s="1670">
        <f t="shared" si="8"/>
        <v>6584960</v>
      </c>
      <c r="L65" s="1670">
        <f t="shared" si="8"/>
        <v>0</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504" t="s">
        <v>1059</v>
      </c>
      <c r="B67" s="614">
        <v>2610</v>
      </c>
      <c r="C67" s="466">
        <v>51263</v>
      </c>
      <c r="D67" s="466">
        <v>9952</v>
      </c>
      <c r="E67" s="466"/>
      <c r="F67" s="466">
        <v>32542</v>
      </c>
      <c r="G67" s="466"/>
      <c r="H67" s="466"/>
      <c r="I67" s="467"/>
      <c r="J67" s="467"/>
      <c r="K67" s="1672">
        <f>SUM(C67:J67)</f>
        <v>93757</v>
      </c>
      <c r="L67" s="481"/>
      <c r="M67" s="609"/>
      <c r="N67" s="609"/>
    </row>
    <row r="68" spans="1:14" s="343" customFormat="1" x14ac:dyDescent="0.2">
      <c r="A68" s="1504" t="s">
        <v>606</v>
      </c>
      <c r="B68" s="614">
        <v>2620</v>
      </c>
      <c r="C68" s="466">
        <v>70961</v>
      </c>
      <c r="D68" s="466">
        <v>12935</v>
      </c>
      <c r="E68" s="466">
        <v>19500</v>
      </c>
      <c r="F68" s="466"/>
      <c r="G68" s="466"/>
      <c r="H68" s="466"/>
      <c r="I68" s="467"/>
      <c r="J68" s="467"/>
      <c r="K68" s="1672">
        <f>SUM(C68:J68)</f>
        <v>103396</v>
      </c>
      <c r="L68" s="466"/>
      <c r="M68" s="609"/>
      <c r="N68" s="609"/>
    </row>
    <row r="69" spans="1:14" s="343" customFormat="1" x14ac:dyDescent="0.2">
      <c r="A69" s="1504" t="s">
        <v>1060</v>
      </c>
      <c r="B69" s="614">
        <v>2630</v>
      </c>
      <c r="C69" s="466">
        <v>205994</v>
      </c>
      <c r="D69" s="466">
        <v>22929</v>
      </c>
      <c r="E69" s="466">
        <v>115251</v>
      </c>
      <c r="F69" s="466">
        <v>10272</v>
      </c>
      <c r="G69" s="466"/>
      <c r="H69" s="466"/>
      <c r="I69" s="467"/>
      <c r="J69" s="467"/>
      <c r="K69" s="1672">
        <f>SUM(C69:J69)</f>
        <v>354446</v>
      </c>
      <c r="L69" s="466"/>
      <c r="M69" s="609"/>
      <c r="N69" s="609"/>
    </row>
    <row r="70" spans="1:14" s="343" customFormat="1" x14ac:dyDescent="0.2">
      <c r="A70" s="1504" t="s">
        <v>402</v>
      </c>
      <c r="B70" s="614">
        <v>2640</v>
      </c>
      <c r="C70" s="466">
        <v>420836</v>
      </c>
      <c r="D70" s="466">
        <v>148377</v>
      </c>
      <c r="E70" s="466">
        <v>98026</v>
      </c>
      <c r="F70" s="466">
        <v>52456</v>
      </c>
      <c r="G70" s="466"/>
      <c r="H70" s="466"/>
      <c r="I70" s="467"/>
      <c r="J70" s="467"/>
      <c r="K70" s="1672">
        <f>SUM(C70:J70)</f>
        <v>719695</v>
      </c>
      <c r="L70" s="466"/>
      <c r="M70" s="609"/>
      <c r="N70" s="609"/>
    </row>
    <row r="71" spans="1:14" s="343" customFormat="1" x14ac:dyDescent="0.2">
      <c r="A71" s="1504" t="s">
        <v>403</v>
      </c>
      <c r="B71" s="614">
        <v>2660</v>
      </c>
      <c r="C71" s="466">
        <v>1051018</v>
      </c>
      <c r="D71" s="466">
        <v>196229</v>
      </c>
      <c r="E71" s="466">
        <v>866132</v>
      </c>
      <c r="F71" s="466">
        <v>1321625</v>
      </c>
      <c r="G71" s="466"/>
      <c r="H71" s="466"/>
      <c r="I71" s="467">
        <v>1980</v>
      </c>
      <c r="J71" s="467"/>
      <c r="K71" s="1672">
        <f>SUM(C71:J71)</f>
        <v>3436984</v>
      </c>
      <c r="L71" s="466"/>
      <c r="M71" s="609"/>
      <c r="N71" s="609"/>
    </row>
    <row r="72" spans="1:14" s="343" customFormat="1" ht="12.75" customHeight="1" thickBot="1" x14ac:dyDescent="0.25">
      <c r="A72" s="1668" t="s">
        <v>37</v>
      </c>
      <c r="B72" s="1675" t="s">
        <v>36</v>
      </c>
      <c r="C72" s="1670">
        <f>SUM(C67:C71)</f>
        <v>1800072</v>
      </c>
      <c r="D72" s="1670">
        <f t="shared" ref="D72:K72" si="9">SUM(D67:D71)</f>
        <v>390422</v>
      </c>
      <c r="E72" s="1670">
        <f t="shared" si="9"/>
        <v>1098909</v>
      </c>
      <c r="F72" s="1670">
        <f t="shared" si="9"/>
        <v>1416895</v>
      </c>
      <c r="G72" s="1670">
        <f t="shared" si="9"/>
        <v>0</v>
      </c>
      <c r="H72" s="1670">
        <f t="shared" si="9"/>
        <v>0</v>
      </c>
      <c r="I72" s="1670">
        <f t="shared" si="9"/>
        <v>1980</v>
      </c>
      <c r="J72" s="1670">
        <f t="shared" si="9"/>
        <v>0</v>
      </c>
      <c r="K72" s="1670">
        <f t="shared" si="9"/>
        <v>4708278</v>
      </c>
      <c r="L72" s="1670">
        <f>SUM(L67:L71)</f>
        <v>0</v>
      </c>
      <c r="M72" s="609"/>
      <c r="N72" s="609"/>
    </row>
    <row r="73" spans="1:14" s="343" customFormat="1" ht="14.25" thickTop="1" thickBot="1" x14ac:dyDescent="0.25">
      <c r="A73" s="1510" t="s">
        <v>979</v>
      </c>
      <c r="B73" s="632" t="s">
        <v>573</v>
      </c>
      <c r="C73" s="573">
        <v>39967</v>
      </c>
      <c r="D73" s="573">
        <v>7159</v>
      </c>
      <c r="E73" s="573">
        <v>75784</v>
      </c>
      <c r="F73" s="573">
        <v>232</v>
      </c>
      <c r="G73" s="573"/>
      <c r="H73" s="573"/>
      <c r="I73" s="531"/>
      <c r="J73" s="531"/>
      <c r="K73" s="1670">
        <f>SUM(C73:J73)</f>
        <v>123142</v>
      </c>
      <c r="L73" s="576"/>
      <c r="M73" s="609"/>
      <c r="N73" s="609"/>
    </row>
    <row r="74" spans="1:14" ht="12.75" customHeight="1" thickTop="1" thickBot="1" x14ac:dyDescent="0.25">
      <c r="A74" s="1668" t="s">
        <v>810</v>
      </c>
      <c r="B74" s="1676">
        <v>2000</v>
      </c>
      <c r="C74" s="1677">
        <f>SUM(C42,C47,C53,C57,C65,C72,C73)</f>
        <v>19268320</v>
      </c>
      <c r="D74" s="1677">
        <f t="shared" ref="D74:K74" si="10">SUM(D42,D47,D53,D57,D65,D72,D73)</f>
        <v>4667598</v>
      </c>
      <c r="E74" s="1677">
        <f t="shared" si="10"/>
        <v>7085655</v>
      </c>
      <c r="F74" s="1677">
        <f t="shared" si="10"/>
        <v>2337975</v>
      </c>
      <c r="G74" s="1677">
        <f t="shared" si="10"/>
        <v>151980</v>
      </c>
      <c r="H74" s="1677">
        <f t="shared" si="10"/>
        <v>24786</v>
      </c>
      <c r="I74" s="1677">
        <f t="shared" si="10"/>
        <v>1980</v>
      </c>
      <c r="J74" s="1677">
        <f t="shared" si="10"/>
        <v>0</v>
      </c>
      <c r="K74" s="1677">
        <f t="shared" si="10"/>
        <v>33538294</v>
      </c>
      <c r="L74" s="1677">
        <f>SUM(L42,L47,L53,L57,L65,L72,L73)</f>
        <v>0</v>
      </c>
    </row>
    <row r="75" spans="1:14" s="259" customFormat="1" ht="15.75" customHeight="1" thickTop="1" thickBot="1" x14ac:dyDescent="0.25">
      <c r="A75" s="1610" t="s">
        <v>47</v>
      </c>
      <c r="B75" s="1611" t="s">
        <v>574</v>
      </c>
      <c r="C75" s="573">
        <v>650891</v>
      </c>
      <c r="D75" s="573">
        <v>178644</v>
      </c>
      <c r="E75" s="573">
        <v>118220</v>
      </c>
      <c r="F75" s="573">
        <v>130668</v>
      </c>
      <c r="G75" s="573"/>
      <c r="H75" s="573"/>
      <c r="I75" s="531"/>
      <c r="J75" s="531"/>
      <c r="K75" s="1670">
        <f>SUM(C75:J75)</f>
        <v>1078423</v>
      </c>
      <c r="L75" s="576"/>
      <c r="M75" s="613"/>
      <c r="N75" s="613"/>
    </row>
    <row r="76" spans="1:14" s="633" customFormat="1" ht="15.75" customHeight="1" thickTop="1" x14ac:dyDescent="0.2">
      <c r="A76" s="1612" t="s">
        <v>364</v>
      </c>
      <c r="B76" s="1609"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504" t="s">
        <v>495</v>
      </c>
      <c r="B78" s="614">
        <v>4110</v>
      </c>
      <c r="C78" s="616"/>
      <c r="D78" s="616"/>
      <c r="E78" s="481">
        <v>238203</v>
      </c>
      <c r="F78" s="616"/>
      <c r="G78" s="616"/>
      <c r="H78" s="634"/>
      <c r="I78" s="477"/>
      <c r="J78" s="477"/>
      <c r="K78" s="1671">
        <f t="shared" ref="K78:K83" si="11">SUM(C78:J78)</f>
        <v>238203</v>
      </c>
      <c r="L78" s="481"/>
    </row>
    <row r="79" spans="1:14" x14ac:dyDescent="0.2">
      <c r="A79" s="1504" t="s">
        <v>303</v>
      </c>
      <c r="B79" s="614">
        <v>4120</v>
      </c>
      <c r="C79" s="616"/>
      <c r="D79" s="616"/>
      <c r="E79" s="466"/>
      <c r="F79" s="616"/>
      <c r="G79" s="616"/>
      <c r="H79" s="466">
        <v>4420189</v>
      </c>
      <c r="I79" s="477"/>
      <c r="J79" s="477"/>
      <c r="K79" s="1671">
        <f t="shared" si="11"/>
        <v>4420189</v>
      </c>
      <c r="L79" s="466"/>
    </row>
    <row r="80" spans="1:14" x14ac:dyDescent="0.2">
      <c r="A80" s="1504" t="s">
        <v>304</v>
      </c>
      <c r="B80" s="614">
        <v>4130</v>
      </c>
      <c r="C80" s="616"/>
      <c r="D80" s="616"/>
      <c r="E80" s="466"/>
      <c r="F80" s="616"/>
      <c r="G80" s="616"/>
      <c r="H80" s="466"/>
      <c r="I80" s="477"/>
      <c r="J80" s="477"/>
      <c r="K80" s="1671">
        <f t="shared" si="11"/>
        <v>0</v>
      </c>
      <c r="L80" s="466"/>
    </row>
    <row r="81" spans="1:12" x14ac:dyDescent="0.2">
      <c r="A81" s="1504" t="s">
        <v>696</v>
      </c>
      <c r="B81" s="614">
        <v>4140</v>
      </c>
      <c r="C81" s="616"/>
      <c r="D81" s="616"/>
      <c r="E81" s="466"/>
      <c r="F81" s="616"/>
      <c r="G81" s="616"/>
      <c r="H81" s="466"/>
      <c r="I81" s="477"/>
      <c r="J81" s="477"/>
      <c r="K81" s="1671">
        <f t="shared" si="11"/>
        <v>0</v>
      </c>
      <c r="L81" s="466"/>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697</v>
      </c>
      <c r="B83" s="628">
        <v>4190</v>
      </c>
      <c r="C83" s="616"/>
      <c r="D83" s="616"/>
      <c r="E83" s="466">
        <v>1000003</v>
      </c>
      <c r="F83" s="616"/>
      <c r="G83" s="616"/>
      <c r="H83" s="466">
        <v>997695</v>
      </c>
      <c r="I83" s="477"/>
      <c r="J83" s="477"/>
      <c r="K83" s="1671">
        <f t="shared" si="11"/>
        <v>1997698</v>
      </c>
      <c r="L83" s="466"/>
    </row>
    <row r="84" spans="1:12" ht="13.5" thickBot="1" x14ac:dyDescent="0.25">
      <c r="A84" s="1668" t="s">
        <v>1484</v>
      </c>
      <c r="B84" s="1678">
        <v>4100</v>
      </c>
      <c r="C84" s="616"/>
      <c r="D84" s="616"/>
      <c r="E84" s="1670">
        <f>SUM(E78:E83)</f>
        <v>1238206</v>
      </c>
      <c r="F84" s="616"/>
      <c r="G84" s="616"/>
      <c r="H84" s="1670">
        <f>SUM(H78:H83)</f>
        <v>5417884</v>
      </c>
      <c r="I84" s="477"/>
      <c r="J84" s="477"/>
      <c r="K84" s="1670">
        <f>SUM(K78:K83)</f>
        <v>6656090</v>
      </c>
      <c r="L84" s="1670">
        <f>SUM(L78:L83)</f>
        <v>0</v>
      </c>
    </row>
    <row r="85" spans="1:12" ht="12.75" customHeight="1" thickTop="1" thickBot="1" x14ac:dyDescent="0.25">
      <c r="A85" s="1511" t="s">
        <v>255</v>
      </c>
      <c r="B85" s="635">
        <v>4210</v>
      </c>
      <c r="C85" s="616"/>
      <c r="D85" s="616"/>
      <c r="E85" s="636"/>
      <c r="F85" s="616"/>
      <c r="G85" s="616"/>
      <c r="H85" s="535">
        <v>112900</v>
      </c>
      <c r="I85" s="477"/>
      <c r="J85" s="477"/>
      <c r="K85" s="1677">
        <f>H85</f>
        <v>112900</v>
      </c>
      <c r="L85" s="530"/>
    </row>
    <row r="86" spans="1:12" ht="12.75" customHeight="1" thickTop="1" thickBot="1" x14ac:dyDescent="0.25">
      <c r="A86" s="1512" t="s">
        <v>698</v>
      </c>
      <c r="B86" s="637">
        <v>4220</v>
      </c>
      <c r="C86" s="616"/>
      <c r="D86" s="616"/>
      <c r="E86" s="638"/>
      <c r="F86" s="616"/>
      <c r="G86" s="616"/>
      <c r="H86" s="467"/>
      <c r="I86" s="477"/>
      <c r="J86" s="477"/>
      <c r="K86" s="1677">
        <f t="shared" ref="K86:K98" si="12">H86</f>
        <v>0</v>
      </c>
      <c r="L86" s="530"/>
    </row>
    <row r="87" spans="1:12" ht="14.25" thickTop="1" thickBot="1" x14ac:dyDescent="0.25">
      <c r="A87" s="1513" t="s">
        <v>699</v>
      </c>
      <c r="B87" s="639">
        <v>4230</v>
      </c>
      <c r="C87" s="616"/>
      <c r="D87" s="616"/>
      <c r="E87" s="638"/>
      <c r="F87" s="616"/>
      <c r="G87" s="616"/>
      <c r="H87" s="467"/>
      <c r="I87" s="477"/>
      <c r="J87" s="477"/>
      <c r="K87" s="1677">
        <f t="shared" si="12"/>
        <v>0</v>
      </c>
      <c r="L87" s="530"/>
    </row>
    <row r="88" spans="1:12" ht="12.75" customHeight="1" thickTop="1" thickBot="1" x14ac:dyDescent="0.25">
      <c r="A88" s="1513" t="s">
        <v>764</v>
      </c>
      <c r="B88" s="639">
        <v>4240</v>
      </c>
      <c r="C88" s="616"/>
      <c r="D88" s="616"/>
      <c r="E88" s="638"/>
      <c r="F88" s="616"/>
      <c r="G88" s="616"/>
      <c r="H88" s="467">
        <v>275940</v>
      </c>
      <c r="I88" s="477"/>
      <c r="J88" s="477"/>
      <c r="K88" s="1677">
        <f t="shared" si="12"/>
        <v>275940</v>
      </c>
      <c r="L88" s="530"/>
    </row>
    <row r="89" spans="1:12" ht="12.75" customHeight="1" thickTop="1" thickBot="1" x14ac:dyDescent="0.25">
      <c r="A89" s="1513" t="s">
        <v>700</v>
      </c>
      <c r="B89" s="639">
        <v>4270</v>
      </c>
      <c r="C89" s="616"/>
      <c r="D89" s="616"/>
      <c r="E89" s="638"/>
      <c r="F89" s="616"/>
      <c r="G89" s="616"/>
      <c r="H89" s="467"/>
      <c r="I89" s="477"/>
      <c r="J89" s="477"/>
      <c r="K89" s="1677">
        <f t="shared" si="12"/>
        <v>0</v>
      </c>
      <c r="L89" s="530"/>
    </row>
    <row r="90" spans="1:12" ht="12.75" customHeight="1" thickTop="1" thickBot="1" x14ac:dyDescent="0.25">
      <c r="A90" s="1513" t="s">
        <v>685</v>
      </c>
      <c r="B90" s="639">
        <v>4280</v>
      </c>
      <c r="C90" s="616"/>
      <c r="D90" s="616"/>
      <c r="E90" s="638"/>
      <c r="F90" s="616"/>
      <c r="G90" s="616"/>
      <c r="H90" s="467"/>
      <c r="I90" s="477"/>
      <c r="J90" s="477"/>
      <c r="K90" s="1677">
        <f t="shared" si="12"/>
        <v>0</v>
      </c>
      <c r="L90" s="530"/>
    </row>
    <row r="91" spans="1:12" ht="12.75" customHeight="1" thickTop="1" thickBot="1" x14ac:dyDescent="0.25">
      <c r="A91" s="1513" t="s">
        <v>686</v>
      </c>
      <c r="B91" s="639">
        <v>4290</v>
      </c>
      <c r="C91" s="616"/>
      <c r="D91" s="616"/>
      <c r="E91" s="638"/>
      <c r="F91" s="616"/>
      <c r="G91" s="616"/>
      <c r="H91" s="467"/>
      <c r="I91" s="477"/>
      <c r="J91" s="477"/>
      <c r="K91" s="1677">
        <f t="shared" si="12"/>
        <v>0</v>
      </c>
      <c r="L91" s="530"/>
    </row>
    <row r="92" spans="1:12" ht="14.25" thickTop="1" thickBot="1" x14ac:dyDescent="0.25">
      <c r="A92" s="1680" t="s">
        <v>1559</v>
      </c>
      <c r="B92" s="1678">
        <v>4200</v>
      </c>
      <c r="C92" s="616"/>
      <c r="D92" s="616"/>
      <c r="E92" s="638"/>
      <c r="F92" s="616"/>
      <c r="G92" s="616"/>
      <c r="H92" s="1670">
        <f>SUM(H85:H91)</f>
        <v>388840</v>
      </c>
      <c r="I92" s="477"/>
      <c r="J92" s="477"/>
      <c r="K92" s="1677">
        <f t="shared" si="12"/>
        <v>388840</v>
      </c>
      <c r="L92" s="1670">
        <f>SUM(L85:L91)</f>
        <v>0</v>
      </c>
    </row>
    <row r="93" spans="1:12" ht="14.25" thickTop="1" thickBot="1" x14ac:dyDescent="0.25">
      <c r="A93" s="1512" t="s">
        <v>687</v>
      </c>
      <c r="B93" s="640">
        <v>4310</v>
      </c>
      <c r="C93" s="616"/>
      <c r="D93" s="616"/>
      <c r="E93" s="638"/>
      <c r="F93" s="616"/>
      <c r="G93" s="616"/>
      <c r="H93" s="641"/>
      <c r="I93" s="477"/>
      <c r="J93" s="477"/>
      <c r="K93" s="1677">
        <f t="shared" si="12"/>
        <v>0</v>
      </c>
      <c r="L93" s="532"/>
    </row>
    <row r="94" spans="1:12" ht="12.75" customHeight="1" thickTop="1" thickBot="1" x14ac:dyDescent="0.25">
      <c r="A94" s="1513" t="s">
        <v>688</v>
      </c>
      <c r="B94" s="639">
        <v>4320</v>
      </c>
      <c r="C94" s="616"/>
      <c r="D94" s="616"/>
      <c r="E94" s="638"/>
      <c r="F94" s="616"/>
      <c r="G94" s="616"/>
      <c r="H94" s="467"/>
      <c r="I94" s="477"/>
      <c r="J94" s="477"/>
      <c r="K94" s="1677">
        <f t="shared" si="12"/>
        <v>0</v>
      </c>
      <c r="L94" s="530"/>
    </row>
    <row r="95" spans="1:12" ht="15" customHeight="1" thickTop="1" thickBot="1" x14ac:dyDescent="0.25">
      <c r="A95" s="1513" t="s">
        <v>1487</v>
      </c>
      <c r="B95" s="639">
        <v>4330</v>
      </c>
      <c r="C95" s="616"/>
      <c r="D95" s="616"/>
      <c r="E95" s="638"/>
      <c r="F95" s="616"/>
      <c r="G95" s="616"/>
      <c r="H95" s="467"/>
      <c r="I95" s="477"/>
      <c r="J95" s="477"/>
      <c r="K95" s="1677">
        <f t="shared" si="12"/>
        <v>0</v>
      </c>
      <c r="L95" s="530"/>
    </row>
    <row r="96" spans="1:12" ht="14.25" thickTop="1" thickBot="1" x14ac:dyDescent="0.25">
      <c r="A96" s="1513" t="s">
        <v>689</v>
      </c>
      <c r="B96" s="639">
        <v>4340</v>
      </c>
      <c r="C96" s="616"/>
      <c r="D96" s="616"/>
      <c r="E96" s="638"/>
      <c r="F96" s="616"/>
      <c r="G96" s="616"/>
      <c r="H96" s="467"/>
      <c r="I96" s="477"/>
      <c r="J96" s="477"/>
      <c r="K96" s="1677">
        <f t="shared" si="12"/>
        <v>0</v>
      </c>
      <c r="L96" s="530"/>
    </row>
    <row r="97" spans="1:14" ht="12.75" customHeight="1" thickTop="1" thickBot="1" x14ac:dyDescent="0.25">
      <c r="A97" s="1513" t="s">
        <v>762</v>
      </c>
      <c r="B97" s="639">
        <v>4370</v>
      </c>
      <c r="C97" s="616"/>
      <c r="D97" s="616"/>
      <c r="E97" s="638"/>
      <c r="F97" s="616"/>
      <c r="G97" s="616"/>
      <c r="H97" s="467"/>
      <c r="I97" s="477"/>
      <c r="J97" s="477"/>
      <c r="K97" s="1677">
        <f t="shared" si="12"/>
        <v>0</v>
      </c>
      <c r="L97" s="530"/>
    </row>
    <row r="98" spans="1:14" ht="14.25" thickTop="1" thickBot="1" x14ac:dyDescent="0.25">
      <c r="A98" s="1513" t="s">
        <v>763</v>
      </c>
      <c r="B98" s="639">
        <v>4380</v>
      </c>
      <c r="C98" s="616"/>
      <c r="D98" s="616"/>
      <c r="E98" s="642"/>
      <c r="F98" s="616"/>
      <c r="G98" s="616"/>
      <c r="H98" s="467"/>
      <c r="I98" s="477"/>
      <c r="J98" s="477"/>
      <c r="K98" s="1677">
        <f t="shared" si="12"/>
        <v>0</v>
      </c>
      <c r="L98" s="530"/>
    </row>
    <row r="99" spans="1:14" ht="14.25" thickTop="1" thickBot="1" x14ac:dyDescent="0.25">
      <c r="A99" s="1513" t="s">
        <v>366</v>
      </c>
      <c r="B99" s="639">
        <v>4390</v>
      </c>
      <c r="C99" s="616"/>
      <c r="D99" s="616"/>
      <c r="E99" s="532"/>
      <c r="F99" s="616"/>
      <c r="G99" s="616"/>
      <c r="H99" s="467"/>
      <c r="I99" s="477"/>
      <c r="J99" s="477"/>
      <c r="K99" s="1677">
        <f>SUM(E99,H99)</f>
        <v>0</v>
      </c>
      <c r="L99" s="530"/>
    </row>
    <row r="100" spans="1:14" ht="14.25" thickTop="1" thickBot="1" x14ac:dyDescent="0.25">
      <c r="A100" s="1680" t="s">
        <v>1485</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1488</v>
      </c>
      <c r="B101" s="643" t="s">
        <v>930</v>
      </c>
      <c r="C101" s="616"/>
      <c r="D101" s="616"/>
      <c r="E101" s="531"/>
      <c r="F101" s="616"/>
      <c r="G101" s="616"/>
      <c r="H101" s="531"/>
      <c r="I101" s="477"/>
      <c r="J101" s="477"/>
      <c r="K101" s="1679">
        <f>SUM(C101:J101)</f>
        <v>0</v>
      </c>
      <c r="L101" s="530"/>
    </row>
    <row r="102" spans="1:14" ht="12.75" customHeight="1" thickTop="1" thickBot="1" x14ac:dyDescent="0.25">
      <c r="A102" s="1668" t="s">
        <v>1486</v>
      </c>
      <c r="B102" s="1678">
        <v>4000</v>
      </c>
      <c r="C102" s="616"/>
      <c r="D102" s="616"/>
      <c r="E102" s="1677">
        <f>SUM(E84,E92,E100,E101)</f>
        <v>1238206</v>
      </c>
      <c r="F102" s="616"/>
      <c r="G102" s="616"/>
      <c r="H102" s="1677">
        <f>SUM(H84,H92,H100,H101)</f>
        <v>5806724</v>
      </c>
      <c r="I102" s="477"/>
      <c r="J102" s="477"/>
      <c r="K102" s="1677">
        <f>SUM(K84,K92,K100,K101)</f>
        <v>7044930</v>
      </c>
      <c r="L102" s="1677">
        <f>SUM(L84,L92,L100,L101)</f>
        <v>0</v>
      </c>
    </row>
    <row r="103" spans="1:14" s="633" customFormat="1" ht="15.75" customHeight="1" thickTop="1" x14ac:dyDescent="0.2">
      <c r="A103" s="1612" t="s">
        <v>512</v>
      </c>
      <c r="B103" s="1609"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1169</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588</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1101</v>
      </c>
      <c r="B110" s="1675" t="s">
        <v>717</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367</v>
      </c>
      <c r="B111" s="647" t="s">
        <v>38</v>
      </c>
      <c r="C111" s="616"/>
      <c r="D111" s="616"/>
      <c r="E111" s="616"/>
      <c r="F111" s="616"/>
      <c r="G111" s="616"/>
      <c r="H111" s="535">
        <v>543397</v>
      </c>
      <c r="I111" s="468"/>
      <c r="J111" s="468"/>
      <c r="K111" s="1683">
        <f>H111</f>
        <v>543397</v>
      </c>
      <c r="L111" s="532"/>
      <c r="M111" s="210"/>
      <c r="N111" s="210"/>
    </row>
    <row r="112" spans="1:14" s="597" customFormat="1" ht="12.75" customHeight="1" thickTop="1" thickBot="1" x14ac:dyDescent="0.25">
      <c r="A112" s="1668" t="s">
        <v>637</v>
      </c>
      <c r="B112" s="1669" t="s">
        <v>491</v>
      </c>
      <c r="C112" s="616"/>
      <c r="D112" s="616"/>
      <c r="E112" s="616"/>
      <c r="F112" s="616"/>
      <c r="G112" s="616"/>
      <c r="H112" s="1670">
        <f>SUM(H110:H111)</f>
        <v>543397</v>
      </c>
      <c r="I112" s="468"/>
      <c r="J112" s="468"/>
      <c r="K112" s="1670">
        <f>SUM(K110:K111)</f>
        <v>543397</v>
      </c>
      <c r="L112" s="1677">
        <f>SUM(L110,L111)</f>
        <v>0</v>
      </c>
      <c r="M112" s="210"/>
      <c r="N112" s="210"/>
    </row>
    <row r="113" spans="1:14" s="259" customFormat="1" ht="15.75" customHeight="1" thickTop="1" thickBot="1" x14ac:dyDescent="0.25">
      <c r="A113" s="1606" t="s">
        <v>513</v>
      </c>
      <c r="B113" s="1613" t="s">
        <v>860</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80818818</v>
      </c>
      <c r="D114" s="1670">
        <f t="shared" ref="D114:K114" si="13">SUM(D33,D74,D75,D102,D112,D113)</f>
        <v>20355425</v>
      </c>
      <c r="E114" s="1670">
        <f t="shared" si="13"/>
        <v>9815004</v>
      </c>
      <c r="F114" s="1670">
        <f t="shared" si="13"/>
        <v>5926278</v>
      </c>
      <c r="G114" s="1670">
        <f t="shared" si="13"/>
        <v>672359</v>
      </c>
      <c r="H114" s="1670">
        <f>SUM(H33,H74,H75,H102,H112,H113)</f>
        <v>10936147</v>
      </c>
      <c r="I114" s="1670">
        <f t="shared" si="13"/>
        <v>35428</v>
      </c>
      <c r="J114" s="1670">
        <f t="shared" si="13"/>
        <v>0</v>
      </c>
      <c r="K114" s="1670">
        <f t="shared" si="13"/>
        <v>128559459</v>
      </c>
      <c r="L114" s="1670">
        <f>SUM(L33,L74,L75,L102,L112,L113)</f>
        <v>0</v>
      </c>
    </row>
    <row r="115" spans="1:14" ht="13.5" thickTop="1" x14ac:dyDescent="0.2">
      <c r="A115" s="2237" t="s">
        <v>995</v>
      </c>
      <c r="B115" s="2238"/>
      <c r="C115" s="618"/>
      <c r="D115" s="618"/>
      <c r="E115" s="618"/>
      <c r="F115" s="618"/>
      <c r="G115" s="618"/>
      <c r="H115" s="618"/>
      <c r="I115" s="618"/>
      <c r="J115" s="618"/>
      <c r="K115" s="1684">
        <f>'Revenues 9-14'!C268-'Expenditures 15-22'!K114</f>
        <v>11575062</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215" t="s">
        <v>295</v>
      </c>
      <c r="B117" s="2216"/>
      <c r="C117" s="1626"/>
      <c r="D117" s="1627"/>
      <c r="E117" s="1627"/>
      <c r="F117" s="1627"/>
      <c r="G117" s="1627"/>
      <c r="H117" s="1627"/>
      <c r="I117" s="1627"/>
      <c r="J117" s="1627"/>
      <c r="K117" s="1627"/>
      <c r="L117" s="1628"/>
      <c r="M117" s="175"/>
      <c r="N117" s="175"/>
    </row>
    <row r="118" spans="1:14" ht="15.75" customHeight="1" x14ac:dyDescent="0.2">
      <c r="A118" s="1614" t="s">
        <v>1034</v>
      </c>
      <c r="B118" s="1615"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508" t="s">
        <v>2054</v>
      </c>
      <c r="B120" s="628" t="s">
        <v>715</v>
      </c>
      <c r="C120" s="466"/>
      <c r="D120" s="466">
        <v>6064</v>
      </c>
      <c r="E120" s="466"/>
      <c r="F120" s="466"/>
      <c r="G120" s="466"/>
      <c r="H120" s="466"/>
      <c r="I120" s="467"/>
      <c r="J120" s="467"/>
      <c r="K120" s="1671">
        <f>SUM(C120:J120)</f>
        <v>6064</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504" t="s">
        <v>1067</v>
      </c>
      <c r="B122" s="614">
        <v>2510</v>
      </c>
      <c r="C122" s="466">
        <v>127261</v>
      </c>
      <c r="D122" s="466">
        <v>33004</v>
      </c>
      <c r="E122" s="466">
        <v>949093</v>
      </c>
      <c r="F122" s="466">
        <v>4484</v>
      </c>
      <c r="G122" s="466"/>
      <c r="H122" s="466">
        <v>36495</v>
      </c>
      <c r="I122" s="467"/>
      <c r="J122" s="467"/>
      <c r="K122" s="1670">
        <f>SUM(C122:J122)</f>
        <v>1150337</v>
      </c>
      <c r="L122" s="466"/>
    </row>
    <row r="123" spans="1:14" ht="14.25" thickTop="1" thickBot="1" x14ac:dyDescent="0.25">
      <c r="A123" s="1504" t="s">
        <v>4</v>
      </c>
      <c r="B123" s="614">
        <v>2530</v>
      </c>
      <c r="C123" s="466"/>
      <c r="D123" s="466"/>
      <c r="E123" s="466">
        <v>444049</v>
      </c>
      <c r="F123" s="466"/>
      <c r="G123" s="466">
        <v>3399885</v>
      </c>
      <c r="H123" s="466"/>
      <c r="I123" s="467"/>
      <c r="J123" s="467"/>
      <c r="K123" s="1670">
        <f>SUM(C123:J123)</f>
        <v>3843934</v>
      </c>
      <c r="L123" s="466"/>
    </row>
    <row r="124" spans="1:14" ht="14.25" thickTop="1" thickBot="1" x14ac:dyDescent="0.25">
      <c r="A124" s="1504" t="s">
        <v>197</v>
      </c>
      <c r="B124" s="614">
        <v>2540</v>
      </c>
      <c r="C124" s="466">
        <v>3758268</v>
      </c>
      <c r="D124" s="466">
        <v>855149</v>
      </c>
      <c r="E124" s="466">
        <v>2238719</v>
      </c>
      <c r="F124" s="466">
        <v>2819813</v>
      </c>
      <c r="G124" s="466">
        <v>129602</v>
      </c>
      <c r="H124" s="466"/>
      <c r="I124" s="467">
        <v>38104</v>
      </c>
      <c r="J124" s="467"/>
      <c r="K124" s="1670">
        <f>SUM(C124:J124)</f>
        <v>9839655</v>
      </c>
      <c r="L124" s="466"/>
    </row>
    <row r="125" spans="1:14" ht="14.25" thickTop="1" thickBot="1" x14ac:dyDescent="0.25">
      <c r="A125" s="1504" t="s">
        <v>952</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v>82033</v>
      </c>
      <c r="J126" s="616"/>
      <c r="K126" s="1670">
        <f>SUM(C126:J126)</f>
        <v>82033</v>
      </c>
      <c r="L126" s="466"/>
    </row>
    <row r="127" spans="1:14" ht="12.75" customHeight="1" thickTop="1" thickBot="1" x14ac:dyDescent="0.25">
      <c r="A127" s="1668" t="s">
        <v>718</v>
      </c>
      <c r="B127" s="1669" t="s">
        <v>35</v>
      </c>
      <c r="C127" s="1670">
        <f>SUM(C122:C126)</f>
        <v>3885529</v>
      </c>
      <c r="D127" s="1670">
        <f t="shared" ref="D127:L127" si="14">SUM(D122:D126)</f>
        <v>888153</v>
      </c>
      <c r="E127" s="1670">
        <f t="shared" si="14"/>
        <v>3631861</v>
      </c>
      <c r="F127" s="1670">
        <f t="shared" si="14"/>
        <v>2824297</v>
      </c>
      <c r="G127" s="1670">
        <f t="shared" si="14"/>
        <v>3529487</v>
      </c>
      <c r="H127" s="1670">
        <f t="shared" si="14"/>
        <v>36495</v>
      </c>
      <c r="I127" s="1670">
        <f t="shared" si="14"/>
        <v>120137</v>
      </c>
      <c r="J127" s="1670">
        <f t="shared" si="14"/>
        <v>0</v>
      </c>
      <c r="K127" s="1670">
        <f t="shared" si="14"/>
        <v>14915959</v>
      </c>
      <c r="L127" s="1670">
        <f t="shared" si="14"/>
        <v>0</v>
      </c>
    </row>
    <row r="128" spans="1:14" ht="12.75" customHeight="1" thickTop="1" x14ac:dyDescent="0.2">
      <c r="A128" s="1511" t="s">
        <v>979</v>
      </c>
      <c r="B128" s="655" t="s">
        <v>573</v>
      </c>
      <c r="C128" s="656"/>
      <c r="D128" s="656"/>
      <c r="E128" s="656"/>
      <c r="F128" s="656"/>
      <c r="G128" s="656"/>
      <c r="H128" s="656"/>
      <c r="I128" s="535"/>
      <c r="J128" s="535"/>
      <c r="K128" s="1685">
        <f>SUM(C128:J128)</f>
        <v>0</v>
      </c>
      <c r="L128" s="656"/>
    </row>
    <row r="129" spans="1:14" ht="12.75" customHeight="1" thickBot="1" x14ac:dyDescent="0.25">
      <c r="A129" s="1686" t="s">
        <v>810</v>
      </c>
      <c r="B129" s="1687" t="s">
        <v>568</v>
      </c>
      <c r="C129" s="1677">
        <f>SUM(C120,C127,C128)</f>
        <v>3885529</v>
      </c>
      <c r="D129" s="1677">
        <f t="shared" ref="D129:L129" si="15">SUM(D120,D127,D128)</f>
        <v>894217</v>
      </c>
      <c r="E129" s="1677">
        <f t="shared" si="15"/>
        <v>3631861</v>
      </c>
      <c r="F129" s="1677">
        <f t="shared" si="15"/>
        <v>2824297</v>
      </c>
      <c r="G129" s="1677">
        <f t="shared" si="15"/>
        <v>3529487</v>
      </c>
      <c r="H129" s="1677">
        <f t="shared" si="15"/>
        <v>36495</v>
      </c>
      <c r="I129" s="1677">
        <f t="shared" si="15"/>
        <v>120137</v>
      </c>
      <c r="J129" s="1677">
        <f t="shared" si="15"/>
        <v>0</v>
      </c>
      <c r="K129" s="1677">
        <f t="shared" si="15"/>
        <v>14922023</v>
      </c>
      <c r="L129" s="1677">
        <f t="shared" si="15"/>
        <v>0</v>
      </c>
    </row>
    <row r="130" spans="1:14" ht="15.75" customHeight="1" thickTop="1" thickBot="1" x14ac:dyDescent="0.25">
      <c r="A130" s="1610" t="s">
        <v>1035</v>
      </c>
      <c r="B130" s="1611" t="s">
        <v>574</v>
      </c>
      <c r="C130" s="576"/>
      <c r="D130" s="576"/>
      <c r="E130" s="576"/>
      <c r="F130" s="576"/>
      <c r="G130" s="576"/>
      <c r="H130" s="576"/>
      <c r="I130" s="531"/>
      <c r="J130" s="531"/>
      <c r="K130" s="1670">
        <f>SUM(C130:J130)</f>
        <v>0</v>
      </c>
      <c r="L130" s="576"/>
    </row>
    <row r="131" spans="1:14" ht="15.75" customHeight="1" thickTop="1" x14ac:dyDescent="0.2">
      <c r="A131" s="1616" t="s">
        <v>615</v>
      </c>
      <c r="B131" s="1609"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90" t="s">
        <v>495</v>
      </c>
      <c r="B133" s="1841" t="s">
        <v>1840</v>
      </c>
      <c r="C133" s="468"/>
      <c r="D133" s="468"/>
      <c r="E133" s="641"/>
      <c r="F133" s="468"/>
      <c r="G133" s="468"/>
      <c r="H133" s="641"/>
      <c r="I133" s="468"/>
      <c r="J133" s="468"/>
      <c r="K133" s="1821">
        <f>SUM(E133,H133)</f>
        <v>0</v>
      </c>
      <c r="L133" s="641"/>
      <c r="M133" s="206"/>
      <c r="N133" s="206"/>
    </row>
    <row r="134" spans="1:14" x14ac:dyDescent="0.2">
      <c r="A134" s="1504" t="s">
        <v>303</v>
      </c>
      <c r="B134" s="614">
        <v>4120</v>
      </c>
      <c r="C134" s="616"/>
      <c r="D134" s="616"/>
      <c r="E134" s="478"/>
      <c r="F134" s="616"/>
      <c r="G134" s="616"/>
      <c r="H134" s="481"/>
      <c r="I134" s="477"/>
      <c r="J134" s="616"/>
      <c r="K134" s="1672">
        <f>SUM(E134,H134)</f>
        <v>0</v>
      </c>
      <c r="L134" s="481"/>
    </row>
    <row r="135" spans="1:14" x14ac:dyDescent="0.2">
      <c r="A135" s="1504" t="s">
        <v>696</v>
      </c>
      <c r="B135" s="614">
        <v>4140</v>
      </c>
      <c r="C135" s="616"/>
      <c r="D135" s="616"/>
      <c r="E135" s="467"/>
      <c r="F135" s="616"/>
      <c r="G135" s="616"/>
      <c r="H135" s="466"/>
      <c r="I135" s="477"/>
      <c r="J135" s="616"/>
      <c r="K135" s="1672">
        <f>SUM(E135,H135)</f>
        <v>0</v>
      </c>
      <c r="L135" s="466"/>
    </row>
    <row r="136" spans="1:14" x14ac:dyDescent="0.2">
      <c r="A136" s="1508" t="s">
        <v>697</v>
      </c>
      <c r="B136" s="628">
        <v>4190</v>
      </c>
      <c r="C136" s="616"/>
      <c r="D136" s="616"/>
      <c r="E136" s="467"/>
      <c r="F136" s="616"/>
      <c r="G136" s="616"/>
      <c r="H136" s="466"/>
      <c r="I136" s="477"/>
      <c r="J136" s="616"/>
      <c r="K136" s="1672">
        <f>SUM(E136,H136)</f>
        <v>0</v>
      </c>
      <c r="L136" s="466"/>
    </row>
    <row r="137" spans="1:14" ht="12.75" customHeight="1" thickBot="1" x14ac:dyDescent="0.25">
      <c r="A137" s="1668" t="s">
        <v>479</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930</v>
      </c>
      <c r="C138" s="616"/>
      <c r="D138" s="616"/>
      <c r="E138" s="479"/>
      <c r="F138" s="616"/>
      <c r="G138" s="616"/>
      <c r="H138" s="576"/>
      <c r="I138" s="477"/>
      <c r="J138" s="616"/>
      <c r="K138" s="1672">
        <f>SUM(E138,H138)</f>
        <v>0</v>
      </c>
      <c r="L138" s="576"/>
    </row>
    <row r="139" spans="1:14" ht="12.75" customHeight="1" thickTop="1" thickBot="1" x14ac:dyDescent="0.25">
      <c r="A139" s="1668" t="s">
        <v>1486</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1036</v>
      </c>
      <c r="B140" s="1613"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1169</v>
      </c>
      <c r="B144" s="628" t="s">
        <v>616</v>
      </c>
      <c r="C144" s="616"/>
      <c r="D144" s="616"/>
      <c r="E144" s="616"/>
      <c r="F144" s="616"/>
      <c r="G144" s="616"/>
      <c r="H144" s="466"/>
      <c r="I144" s="468"/>
      <c r="J144" s="616"/>
      <c r="K144" s="1672">
        <f>SUM(H144)</f>
        <v>0</v>
      </c>
      <c r="L144" s="466"/>
    </row>
    <row r="145" spans="1:14" x14ac:dyDescent="0.2">
      <c r="A145" s="1504" t="s">
        <v>89</v>
      </c>
      <c r="B145" s="614" t="s">
        <v>588</v>
      </c>
      <c r="C145" s="616"/>
      <c r="D145" s="616"/>
      <c r="E145" s="616"/>
      <c r="F145" s="616"/>
      <c r="G145" s="616"/>
      <c r="H145" s="466"/>
      <c r="I145" s="468"/>
      <c r="J145" s="616"/>
      <c r="K145" s="1672">
        <f>SUM(H145)</f>
        <v>0</v>
      </c>
      <c r="L145" s="466"/>
    </row>
    <row r="146" spans="1:14" ht="12.75" customHeight="1" x14ac:dyDescent="0.2">
      <c r="A146" s="1504" t="s">
        <v>618</v>
      </c>
      <c r="B146" s="614" t="s">
        <v>617</v>
      </c>
      <c r="C146" s="616"/>
      <c r="D146" s="616"/>
      <c r="E146" s="616"/>
      <c r="F146" s="616"/>
      <c r="G146" s="616"/>
      <c r="H146" s="466"/>
      <c r="I146" s="468"/>
      <c r="J146" s="616"/>
      <c r="K146" s="1672">
        <f>SUM(H146)</f>
        <v>0</v>
      </c>
      <c r="L146" s="466"/>
    </row>
    <row r="147" spans="1:14" ht="12.75" customHeight="1" thickBot="1" x14ac:dyDescent="0.25">
      <c r="A147" s="1515" t="s">
        <v>625</v>
      </c>
      <c r="B147" s="659" t="s">
        <v>717</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1102</v>
      </c>
      <c r="B148" s="661" t="s">
        <v>38</v>
      </c>
      <c r="C148" s="616"/>
      <c r="D148" s="616"/>
      <c r="E148" s="616"/>
      <c r="F148" s="616"/>
      <c r="G148" s="616"/>
      <c r="H148" s="479"/>
      <c r="I148" s="468"/>
      <c r="J148" s="616"/>
      <c r="K148" s="1672">
        <f>SUM(H148)</f>
        <v>0</v>
      </c>
      <c r="L148" s="492"/>
    </row>
    <row r="149" spans="1:14" ht="12.75" customHeight="1" thickBot="1" x14ac:dyDescent="0.25">
      <c r="A149" s="1507" t="s">
        <v>637</v>
      </c>
      <c r="B149" s="617" t="s">
        <v>491</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1037</v>
      </c>
      <c r="B150" s="1613" t="s">
        <v>860</v>
      </c>
      <c r="C150" s="616"/>
      <c r="D150" s="616"/>
      <c r="E150" s="616"/>
      <c r="F150" s="616"/>
      <c r="G150" s="616"/>
      <c r="H150" s="662"/>
      <c r="I150" s="521"/>
      <c r="J150" s="616"/>
      <c r="K150" s="623"/>
      <c r="L150" s="573"/>
    </row>
    <row r="151" spans="1:14" ht="12.75" customHeight="1" thickTop="1" thickBot="1" x14ac:dyDescent="0.25">
      <c r="A151" s="2227" t="s">
        <v>619</v>
      </c>
      <c r="B151" s="2209"/>
      <c r="C151" s="1670">
        <f>SUM(C129,C130,C139,C149,C150)</f>
        <v>3885529</v>
      </c>
      <c r="D151" s="1670">
        <f t="shared" ref="D151:K151" si="16">SUM(D129,D130,D139,D149,D150)</f>
        <v>894217</v>
      </c>
      <c r="E151" s="1670">
        <f t="shared" si="16"/>
        <v>3631861</v>
      </c>
      <c r="F151" s="1670">
        <f t="shared" si="16"/>
        <v>2824297</v>
      </c>
      <c r="G151" s="1670">
        <f t="shared" si="16"/>
        <v>3529487</v>
      </c>
      <c r="H151" s="1670">
        <f t="shared" si="16"/>
        <v>36495</v>
      </c>
      <c r="I151" s="1670">
        <f t="shared" si="16"/>
        <v>120137</v>
      </c>
      <c r="J151" s="1670">
        <f t="shared" si="16"/>
        <v>0</v>
      </c>
      <c r="K151" s="1670">
        <f t="shared" si="16"/>
        <v>14922023</v>
      </c>
      <c r="L151" s="1670">
        <f>SUM(L129,L130,L139,L149,L150)</f>
        <v>0</v>
      </c>
    </row>
    <row r="152" spans="1:14" ht="12.75" customHeight="1" thickTop="1" x14ac:dyDescent="0.2">
      <c r="A152" s="2230" t="s">
        <v>1177</v>
      </c>
      <c r="B152" s="2231"/>
      <c r="C152" s="618"/>
      <c r="D152" s="618"/>
      <c r="E152" s="618"/>
      <c r="F152" s="618"/>
      <c r="G152" s="618"/>
      <c r="H152" s="618"/>
      <c r="I152" s="618"/>
      <c r="J152" s="616"/>
      <c r="K152" s="1684">
        <f>'Revenues 9-14'!D268-'Expenditures 15-22'!K151</f>
        <v>735875</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215" t="s">
        <v>620</v>
      </c>
      <c r="B154" s="2217"/>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859</v>
      </c>
      <c r="C155" s="616"/>
      <c r="D155" s="616"/>
      <c r="E155" s="616"/>
      <c r="F155" s="616"/>
      <c r="G155" s="616"/>
      <c r="H155" s="1842"/>
      <c r="I155" s="616"/>
      <c r="J155" s="616"/>
      <c r="K155" s="1825"/>
      <c r="L155" s="1842"/>
      <c r="M155" s="619"/>
      <c r="N155" s="619"/>
    </row>
    <row r="156" spans="1:14" s="620" customFormat="1" ht="15.75" customHeight="1" thickTop="1" x14ac:dyDescent="0.2">
      <c r="A156" s="1822" t="s">
        <v>1841</v>
      </c>
      <c r="B156" s="1823"/>
      <c r="C156" s="616"/>
      <c r="D156" s="616"/>
      <c r="E156" s="616"/>
      <c r="F156" s="616"/>
      <c r="G156" s="616"/>
      <c r="H156" s="1843"/>
      <c r="I156" s="616"/>
      <c r="J156" s="616"/>
      <c r="K156" s="1824"/>
      <c r="L156" s="1843"/>
      <c r="M156" s="619"/>
      <c r="N156" s="619"/>
    </row>
    <row r="157" spans="1:14" s="620" customFormat="1" ht="12" x14ac:dyDescent="0.2">
      <c r="A157" s="1826" t="s">
        <v>495</v>
      </c>
      <c r="B157" s="1827" t="s">
        <v>1840</v>
      </c>
      <c r="C157" s="616"/>
      <c r="D157" s="616"/>
      <c r="E157" s="616"/>
      <c r="F157" s="616"/>
      <c r="G157" s="616"/>
      <c r="H157" s="641"/>
      <c r="I157" s="616"/>
      <c r="J157" s="616"/>
      <c r="K157" s="1671">
        <f>H157</f>
        <v>0</v>
      </c>
      <c r="L157" s="467"/>
      <c r="M157" s="619"/>
      <c r="N157" s="619"/>
    </row>
    <row r="158" spans="1:14" s="620" customFormat="1" ht="12" x14ac:dyDescent="0.2">
      <c r="A158" s="1826" t="s">
        <v>303</v>
      </c>
      <c r="B158" s="1827" t="s">
        <v>1842</v>
      </c>
      <c r="C158" s="616"/>
      <c r="D158" s="616"/>
      <c r="E158" s="616"/>
      <c r="F158" s="616"/>
      <c r="G158" s="616"/>
      <c r="H158" s="467"/>
      <c r="I158" s="616"/>
      <c r="J158" s="616"/>
      <c r="K158" s="1671">
        <f>H158</f>
        <v>0</v>
      </c>
      <c r="L158" s="467"/>
      <c r="M158" s="619"/>
      <c r="N158" s="619"/>
    </row>
    <row r="159" spans="1:14" s="620" customFormat="1" ht="12" x14ac:dyDescent="0.2">
      <c r="A159" s="1826" t="s">
        <v>1843</v>
      </c>
      <c r="B159" s="1827" t="s">
        <v>557</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1844</v>
      </c>
      <c r="B160" s="1829" t="s">
        <v>859</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1169</v>
      </c>
      <c r="B165" s="614" t="s">
        <v>616</v>
      </c>
      <c r="C165" s="616"/>
      <c r="D165" s="616"/>
      <c r="E165" s="616"/>
      <c r="F165" s="616"/>
      <c r="G165" s="616"/>
      <c r="H165" s="466"/>
      <c r="I165" s="616"/>
      <c r="J165" s="616"/>
      <c r="K165" s="1671">
        <f>SUM(C165:J165)</f>
        <v>0</v>
      </c>
      <c r="L165" s="466"/>
    </row>
    <row r="166" spans="1:14" x14ac:dyDescent="0.2">
      <c r="A166" s="1504" t="s">
        <v>89</v>
      </c>
      <c r="B166" s="628" t="s">
        <v>588</v>
      </c>
      <c r="C166" s="616"/>
      <c r="D166" s="616"/>
      <c r="E166" s="616"/>
      <c r="F166" s="616"/>
      <c r="G166" s="616"/>
      <c r="H166" s="466"/>
      <c r="I166" s="616"/>
      <c r="J166" s="616"/>
      <c r="K166" s="1671">
        <f>SUM(C166:J166)</f>
        <v>0</v>
      </c>
      <c r="L166" s="466"/>
    </row>
    <row r="167" spans="1:14" ht="12.75" customHeight="1" x14ac:dyDescent="0.2">
      <c r="A167" s="1504" t="s">
        <v>618</v>
      </c>
      <c r="B167" s="614" t="s">
        <v>617</v>
      </c>
      <c r="C167" s="616"/>
      <c r="D167" s="616"/>
      <c r="E167" s="616"/>
      <c r="F167" s="616"/>
      <c r="G167" s="616"/>
      <c r="H167" s="466"/>
      <c r="I167" s="616"/>
      <c r="J167" s="616"/>
      <c r="K167" s="1671">
        <f>SUM(C167:J167)</f>
        <v>0</v>
      </c>
      <c r="L167" s="466"/>
    </row>
    <row r="168" spans="1:14" ht="13.5" thickBot="1" x14ac:dyDescent="0.25">
      <c r="A168" s="1668" t="s">
        <v>275</v>
      </c>
      <c r="B168" s="1675" t="s">
        <v>717</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5976771</v>
      </c>
      <c r="I169" s="616"/>
      <c r="J169" s="616"/>
      <c r="K169" s="1671">
        <f>SUM(C169:H169)</f>
        <v>5976771</v>
      </c>
      <c r="L169" s="656"/>
    </row>
    <row r="170" spans="1:14" ht="33.75" customHeight="1" x14ac:dyDescent="0.2">
      <c r="A170" s="669" t="s">
        <v>1669</v>
      </c>
      <c r="B170" s="671" t="s">
        <v>31</v>
      </c>
      <c r="C170" s="616"/>
      <c r="D170" s="616"/>
      <c r="E170" s="616"/>
      <c r="F170" s="616"/>
      <c r="G170" s="616"/>
      <c r="H170" s="569">
        <f>9965000</f>
        <v>9965000</v>
      </c>
      <c r="I170" s="616"/>
      <c r="J170" s="616"/>
      <c r="K170" s="1671">
        <f>SUM(C170:J170)</f>
        <v>9965000</v>
      </c>
      <c r="L170" s="569"/>
    </row>
    <row r="171" spans="1:14" ht="15.75" customHeight="1" x14ac:dyDescent="0.2">
      <c r="A171" s="621" t="s">
        <v>765</v>
      </c>
      <c r="B171" s="672" t="s">
        <v>84</v>
      </c>
      <c r="C171" s="616"/>
      <c r="D171" s="616"/>
      <c r="E171" s="466"/>
      <c r="F171" s="616"/>
      <c r="G171" s="616"/>
      <c r="H171" s="569">
        <f>144858+110295</f>
        <v>255153</v>
      </c>
      <c r="I171" s="477"/>
      <c r="J171" s="616"/>
      <c r="K171" s="1671">
        <f>SUM(C171:J171)</f>
        <v>255153</v>
      </c>
      <c r="L171" s="569"/>
    </row>
    <row r="172" spans="1:14" ht="12.75" customHeight="1" thickBot="1" x14ac:dyDescent="0.25">
      <c r="A172" s="1668" t="s">
        <v>637</v>
      </c>
      <c r="B172" s="1669" t="s">
        <v>491</v>
      </c>
      <c r="C172" s="616"/>
      <c r="D172" s="616"/>
      <c r="E172" s="1677">
        <f>SUM(E168,E169,E170,E171)</f>
        <v>0</v>
      </c>
      <c r="F172" s="616"/>
      <c r="G172" s="616"/>
      <c r="H172" s="1677">
        <f>SUM(H168,H169,H170,H171)</f>
        <v>16196924</v>
      </c>
      <c r="I172" s="638"/>
      <c r="J172" s="616"/>
      <c r="K172" s="1677">
        <f>SUM(K168,K169,K170,K171)</f>
        <v>16196924</v>
      </c>
      <c r="L172" s="1677">
        <f>SUM(L168,L169,L170,L171)</f>
        <v>0</v>
      </c>
    </row>
    <row r="173" spans="1:14" ht="15.75" customHeight="1" thickTop="1" thickBot="1" x14ac:dyDescent="0.25">
      <c r="A173" s="1619" t="s">
        <v>85</v>
      </c>
      <c r="B173" s="1611" t="s">
        <v>860</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16196924</v>
      </c>
      <c r="I174" s="638"/>
      <c r="J174" s="616"/>
      <c r="K174" s="1677">
        <f>SUM(K160,K172,K173)</f>
        <v>16196924</v>
      </c>
      <c r="L174" s="1677">
        <f>SUM(L160,L172,L173)</f>
        <v>0</v>
      </c>
    </row>
    <row r="175" spans="1:14" ht="13.5" thickTop="1" x14ac:dyDescent="0.2">
      <c r="A175" s="2237" t="s">
        <v>995</v>
      </c>
      <c r="B175" s="2238"/>
      <c r="C175" s="616"/>
      <c r="D175" s="616"/>
      <c r="E175" s="616"/>
      <c r="F175" s="616"/>
      <c r="G175" s="616"/>
      <c r="H175" s="618"/>
      <c r="I175" s="616"/>
      <c r="J175" s="616"/>
      <c r="K175" s="1684">
        <f>'Revenues 9-14'!E268-'Expenditures 15-22'!K174</f>
        <v>-344563</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936</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937</v>
      </c>
      <c r="B178" s="1621"/>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504" t="s">
        <v>2054</v>
      </c>
      <c r="B180" s="614" t="s">
        <v>715</v>
      </c>
      <c r="C180" s="466"/>
      <c r="D180" s="466"/>
      <c r="E180" s="466"/>
      <c r="F180" s="466"/>
      <c r="G180" s="466"/>
      <c r="H180" s="466"/>
      <c r="I180" s="467"/>
      <c r="J180" s="467"/>
      <c r="K180" s="1671">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504" t="s">
        <v>952</v>
      </c>
      <c r="B182" s="614">
        <v>2550</v>
      </c>
      <c r="C182" s="466">
        <v>3147122</v>
      </c>
      <c r="D182" s="466">
        <v>693934</v>
      </c>
      <c r="E182" s="466">
        <v>3012208</v>
      </c>
      <c r="F182" s="466">
        <v>406045</v>
      </c>
      <c r="G182" s="466"/>
      <c r="H182" s="466"/>
      <c r="I182" s="467"/>
      <c r="J182" s="467"/>
      <c r="K182" s="1671">
        <f>SUM(C182:J182)</f>
        <v>7259309</v>
      </c>
      <c r="L182" s="466"/>
    </row>
    <row r="183" spans="1:14" ht="12.75" customHeight="1" thickBot="1" x14ac:dyDescent="0.25">
      <c r="A183" s="1509" t="s">
        <v>979</v>
      </c>
      <c r="B183" s="677">
        <v>2900</v>
      </c>
      <c r="C183" s="573"/>
      <c r="D183" s="573"/>
      <c r="E183" s="573"/>
      <c r="F183" s="573"/>
      <c r="G183" s="573"/>
      <c r="H183" s="573"/>
      <c r="I183" s="532"/>
      <c r="J183" s="532"/>
      <c r="K183" s="1677">
        <f>SUM(C183:J183)</f>
        <v>0</v>
      </c>
      <c r="L183" s="573"/>
    </row>
    <row r="184" spans="1:14" ht="12.75" customHeight="1" thickTop="1" thickBot="1" x14ac:dyDescent="0.25">
      <c r="A184" s="1691" t="s">
        <v>810</v>
      </c>
      <c r="B184" s="1669" t="s">
        <v>568</v>
      </c>
      <c r="C184" s="1677">
        <f>SUM(C180,C182,C183)</f>
        <v>3147122</v>
      </c>
      <c r="D184" s="1677">
        <f t="shared" ref="D184:J184" si="17">SUM(D180,D182,D183)</f>
        <v>693934</v>
      </c>
      <c r="E184" s="1677">
        <f t="shared" si="17"/>
        <v>3012208</v>
      </c>
      <c r="F184" s="1677">
        <f t="shared" si="17"/>
        <v>406045</v>
      </c>
      <c r="G184" s="1677">
        <f t="shared" si="17"/>
        <v>0</v>
      </c>
      <c r="H184" s="1677">
        <f t="shared" si="17"/>
        <v>0</v>
      </c>
      <c r="I184" s="1677">
        <f t="shared" si="17"/>
        <v>0</v>
      </c>
      <c r="J184" s="1677">
        <f t="shared" si="17"/>
        <v>0</v>
      </c>
      <c r="K184" s="1677">
        <f>SUM(K180,K182,K183)</f>
        <v>7259309</v>
      </c>
      <c r="L184" s="1677">
        <f>SUM(L180, L182:L183)</f>
        <v>0</v>
      </c>
    </row>
    <row r="185" spans="1:14" ht="15.75" customHeight="1" thickTop="1" thickBot="1" x14ac:dyDescent="0.25">
      <c r="A185" s="1622" t="s">
        <v>938</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504" t="s">
        <v>495</v>
      </c>
      <c r="B188" s="614">
        <v>4110</v>
      </c>
      <c r="C188" s="616"/>
      <c r="D188" s="616"/>
      <c r="E188" s="466"/>
      <c r="F188" s="616"/>
      <c r="G188" s="616"/>
      <c r="H188" s="466"/>
      <c r="I188" s="477"/>
      <c r="J188" s="616"/>
      <c r="K188" s="1671">
        <f t="shared" ref="K188:K193" si="18">SUM(E188,H188)</f>
        <v>0</v>
      </c>
      <c r="L188" s="466"/>
    </row>
    <row r="189" spans="1:14" x14ac:dyDescent="0.2">
      <c r="A189" s="1504" t="s">
        <v>303</v>
      </c>
      <c r="B189" s="614">
        <v>4120</v>
      </c>
      <c r="C189" s="616"/>
      <c r="D189" s="616"/>
      <c r="E189" s="466"/>
      <c r="F189" s="616"/>
      <c r="G189" s="616"/>
      <c r="H189" s="466"/>
      <c r="I189" s="477"/>
      <c r="J189" s="616"/>
      <c r="K189" s="1671">
        <f t="shared" si="18"/>
        <v>0</v>
      </c>
      <c r="L189" s="466"/>
    </row>
    <row r="190" spans="1:14" x14ac:dyDescent="0.2">
      <c r="A190" s="1504" t="s">
        <v>304</v>
      </c>
      <c r="B190" s="628">
        <v>4130</v>
      </c>
      <c r="C190" s="616"/>
      <c r="D190" s="616"/>
      <c r="E190" s="466"/>
      <c r="F190" s="616"/>
      <c r="G190" s="616"/>
      <c r="H190" s="466"/>
      <c r="I190" s="477"/>
      <c r="J190" s="616"/>
      <c r="K190" s="1671">
        <f t="shared" si="18"/>
        <v>0</v>
      </c>
      <c r="L190" s="466"/>
    </row>
    <row r="191" spans="1:14" x14ac:dyDescent="0.2">
      <c r="A191" s="1504" t="s">
        <v>696</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697</v>
      </c>
      <c r="B193" s="628">
        <v>4190</v>
      </c>
      <c r="C193" s="616"/>
      <c r="D193" s="616"/>
      <c r="E193" s="466"/>
      <c r="F193" s="616"/>
      <c r="G193" s="616"/>
      <c r="H193" s="466"/>
      <c r="I193" s="477"/>
      <c r="J193" s="616"/>
      <c r="K193" s="1671">
        <f t="shared" si="18"/>
        <v>0</v>
      </c>
      <c r="L193" s="466"/>
    </row>
    <row r="194" spans="1:14" ht="12.75" customHeight="1" thickBot="1" x14ac:dyDescent="0.25">
      <c r="A194" s="1668" t="s">
        <v>1139</v>
      </c>
      <c r="B194" s="1669" t="s">
        <v>558</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930</v>
      </c>
      <c r="C195" s="616"/>
      <c r="D195" s="616"/>
      <c r="E195" s="656"/>
      <c r="F195" s="616"/>
      <c r="G195" s="616"/>
      <c r="H195" s="656"/>
      <c r="I195" s="477"/>
      <c r="J195" s="616"/>
      <c r="K195" s="1685">
        <f>SUM(E195,H195)</f>
        <v>0</v>
      </c>
      <c r="L195" s="656"/>
    </row>
    <row r="196" spans="1:14" ht="12.75" customHeight="1" thickBot="1" x14ac:dyDescent="0.25">
      <c r="A196" s="1668" t="s">
        <v>1486</v>
      </c>
      <c r="B196" s="1669" t="s">
        <v>859</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939</v>
      </c>
      <c r="B197" s="1609"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1169</v>
      </c>
      <c r="B201" s="628" t="s">
        <v>616</v>
      </c>
      <c r="C201" s="616"/>
      <c r="D201" s="616"/>
      <c r="E201" s="616"/>
      <c r="F201" s="616"/>
      <c r="G201" s="616"/>
      <c r="H201" s="466"/>
      <c r="I201" s="616"/>
      <c r="J201" s="616"/>
      <c r="K201" s="1671">
        <f>SUM(H201)</f>
        <v>0</v>
      </c>
      <c r="L201" s="466"/>
    </row>
    <row r="202" spans="1:14" x14ac:dyDescent="0.2">
      <c r="A202" s="1504" t="s">
        <v>89</v>
      </c>
      <c r="B202" s="614" t="s">
        <v>588</v>
      </c>
      <c r="C202" s="616"/>
      <c r="D202" s="616"/>
      <c r="E202" s="616"/>
      <c r="F202" s="616"/>
      <c r="G202" s="616"/>
      <c r="H202" s="466"/>
      <c r="I202" s="616"/>
      <c r="J202" s="616"/>
      <c r="K202" s="1671">
        <f>SUM(H202)</f>
        <v>0</v>
      </c>
      <c r="L202" s="466"/>
    </row>
    <row r="203" spans="1:14" x14ac:dyDescent="0.2">
      <c r="A203" s="1516" t="s">
        <v>618</v>
      </c>
      <c r="B203" s="614" t="s">
        <v>617</v>
      </c>
      <c r="C203" s="616"/>
      <c r="D203" s="616"/>
      <c r="E203" s="616"/>
      <c r="F203" s="616"/>
      <c r="G203" s="616"/>
      <c r="H203" s="471"/>
      <c r="I203" s="616"/>
      <c r="J203" s="616"/>
      <c r="K203" s="1671">
        <f>SUM(H203)</f>
        <v>0</v>
      </c>
      <c r="L203" s="471"/>
    </row>
    <row r="204" spans="1:14" ht="13.5" thickBot="1" x14ac:dyDescent="0.25">
      <c r="A204" s="1668" t="s">
        <v>275</v>
      </c>
      <c r="B204" s="1669" t="s">
        <v>717</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v>62246</v>
      </c>
      <c r="I205" s="616"/>
      <c r="J205" s="616"/>
      <c r="K205" s="1685">
        <f>SUM(H205)</f>
        <v>62246</v>
      </c>
      <c r="L205" s="535"/>
    </row>
    <row r="206" spans="1:14" ht="30" customHeight="1" x14ac:dyDescent="0.2">
      <c r="A206" s="681" t="s">
        <v>1670</v>
      </c>
      <c r="B206" s="672" t="s">
        <v>31</v>
      </c>
      <c r="C206" s="616"/>
      <c r="D206" s="616"/>
      <c r="E206" s="616"/>
      <c r="F206" s="616"/>
      <c r="G206" s="616"/>
      <c r="H206" s="466">
        <v>1050295</v>
      </c>
      <c r="I206" s="616"/>
      <c r="J206" s="616"/>
      <c r="K206" s="1671">
        <f>SUM(H206)</f>
        <v>1050295</v>
      </c>
      <c r="L206" s="466"/>
    </row>
    <row r="207" spans="1:14" ht="15.75" customHeight="1" x14ac:dyDescent="0.2">
      <c r="A207" s="621" t="s">
        <v>765</v>
      </c>
      <c r="B207" s="672" t="s">
        <v>84</v>
      </c>
      <c r="C207" s="616"/>
      <c r="D207" s="616"/>
      <c r="E207" s="616"/>
      <c r="F207" s="616"/>
      <c r="G207" s="616"/>
      <c r="H207" s="467"/>
      <c r="I207" s="616"/>
      <c r="J207" s="616"/>
      <c r="K207" s="1671">
        <f>H207</f>
        <v>0</v>
      </c>
      <c r="L207" s="466"/>
    </row>
    <row r="208" spans="1:14" ht="12.75" customHeight="1" thickBot="1" x14ac:dyDescent="0.25">
      <c r="A208" s="1686" t="s">
        <v>637</v>
      </c>
      <c r="B208" s="1687" t="s">
        <v>491</v>
      </c>
      <c r="C208" s="616"/>
      <c r="D208" s="616"/>
      <c r="E208" s="616"/>
      <c r="F208" s="616"/>
      <c r="G208" s="616"/>
      <c r="H208" s="1677">
        <f>SUM(H204,H205,H206,H207)</f>
        <v>1112541</v>
      </c>
      <c r="I208" s="616"/>
      <c r="J208" s="616"/>
      <c r="K208" s="1677">
        <f>SUM(K204,K205,K206,K207)</f>
        <v>1112541</v>
      </c>
      <c r="L208" s="1677">
        <f>SUM(L204,L205,L206,L207)</f>
        <v>0</v>
      </c>
    </row>
    <row r="209" spans="1:14" ht="15.75" customHeight="1" thickTop="1" thickBot="1" x14ac:dyDescent="0.25">
      <c r="A209" s="1606" t="s">
        <v>871</v>
      </c>
      <c r="B209" s="1613" t="s">
        <v>860</v>
      </c>
      <c r="C209" s="623"/>
      <c r="D209" s="623"/>
      <c r="E209" s="623"/>
      <c r="F209" s="623"/>
      <c r="G209" s="623"/>
      <c r="H209" s="623"/>
      <c r="I209" s="616"/>
      <c r="J209" s="616"/>
      <c r="K209" s="623"/>
      <c r="L209" s="576"/>
    </row>
    <row r="210" spans="1:14" ht="12.75" customHeight="1" thickTop="1" thickBot="1" x14ac:dyDescent="0.25">
      <c r="A210" s="1692" t="s">
        <v>276</v>
      </c>
      <c r="B210" s="1693"/>
      <c r="C210" s="1670">
        <f>SUM(C184,C185)</f>
        <v>3147122</v>
      </c>
      <c r="D210" s="1670">
        <f>SUM(D184,D185)</f>
        <v>693934</v>
      </c>
      <c r="E210" s="1670">
        <f>SUM(E184,E185,E196)</f>
        <v>3012208</v>
      </c>
      <c r="F210" s="1670">
        <f>SUM(F184,F185)</f>
        <v>406045</v>
      </c>
      <c r="G210" s="1670">
        <f>SUM(G184,G185)</f>
        <v>0</v>
      </c>
      <c r="H210" s="1670">
        <f>SUM(H184,H185,H196,H208,H209)</f>
        <v>1112541</v>
      </c>
      <c r="I210" s="1670">
        <f>SUM(I184,I185)</f>
        <v>0</v>
      </c>
      <c r="J210" s="1670">
        <f>SUM(J184,J185)</f>
        <v>0</v>
      </c>
      <c r="K210" s="1671">
        <f>SUM(K184,K185,K196,K208,K209)</f>
        <v>8371850</v>
      </c>
      <c r="L210" s="1670">
        <f>SUM(L184,L185,L196,L208,L209)</f>
        <v>0</v>
      </c>
    </row>
    <row r="211" spans="1:14" ht="13.5" thickTop="1" x14ac:dyDescent="0.2">
      <c r="A211" s="2237" t="s">
        <v>995</v>
      </c>
      <c r="B211" s="2238"/>
      <c r="C211" s="618"/>
      <c r="D211" s="618"/>
      <c r="E211" s="618"/>
      <c r="F211" s="618"/>
      <c r="G211" s="618"/>
      <c r="H211" s="618"/>
      <c r="I211" s="616"/>
      <c r="J211" s="616"/>
      <c r="K211" s="1684">
        <f>'Revenues 9-14'!F268-'Expenditures 15-22'!K210</f>
        <v>2017970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232" t="s">
        <v>964</v>
      </c>
      <c r="B213" s="2233"/>
      <c r="C213" s="1551"/>
      <c r="D213" s="1552"/>
      <c r="E213" s="1552"/>
      <c r="F213" s="1552"/>
      <c r="G213" s="1552"/>
      <c r="H213" s="1552"/>
      <c r="I213" s="1552"/>
      <c r="J213" s="1552"/>
      <c r="K213" s="1552"/>
      <c r="L213" s="1553"/>
      <c r="M213" s="609"/>
      <c r="N213" s="609"/>
    </row>
    <row r="214" spans="1:14" s="674" customFormat="1" ht="15.75" customHeight="1" x14ac:dyDescent="0.2">
      <c r="A214" s="1623" t="s">
        <v>872</v>
      </c>
      <c r="B214" s="1615" t="s">
        <v>569</v>
      </c>
      <c r="C214" s="616"/>
      <c r="D214" s="623"/>
      <c r="E214" s="616"/>
      <c r="F214" s="616"/>
      <c r="G214" s="616"/>
      <c r="H214" s="616"/>
      <c r="I214" s="616"/>
      <c r="J214" s="616"/>
      <c r="K214" s="623"/>
      <c r="L214" s="623"/>
      <c r="M214" s="665"/>
      <c r="N214" s="665"/>
    </row>
    <row r="215" spans="1:14" x14ac:dyDescent="0.2">
      <c r="A215" s="1504" t="s">
        <v>960</v>
      </c>
      <c r="B215" s="614">
        <v>1100</v>
      </c>
      <c r="C215" s="616"/>
      <c r="D215" s="466">
        <v>712959</v>
      </c>
      <c r="E215" s="616"/>
      <c r="F215" s="616"/>
      <c r="G215" s="616"/>
      <c r="H215" s="616"/>
      <c r="I215" s="616"/>
      <c r="J215" s="616"/>
      <c r="K215" s="1671">
        <f>D215</f>
        <v>712959</v>
      </c>
      <c r="L215" s="466"/>
    </row>
    <row r="216" spans="1:14" x14ac:dyDescent="0.2">
      <c r="A216" s="1504" t="s">
        <v>163</v>
      </c>
      <c r="B216" s="614" t="s">
        <v>966</v>
      </c>
      <c r="C216" s="616"/>
      <c r="D216" s="467">
        <v>85077</v>
      </c>
      <c r="E216" s="616"/>
      <c r="F216" s="616"/>
      <c r="G216" s="616"/>
      <c r="H216" s="616"/>
      <c r="I216" s="616"/>
      <c r="J216" s="616"/>
      <c r="K216" s="1671">
        <f t="shared" ref="K216:K228" si="19">D216</f>
        <v>85077</v>
      </c>
      <c r="L216" s="466"/>
    </row>
    <row r="217" spans="1:14" x14ac:dyDescent="0.2">
      <c r="A217" s="1504" t="s">
        <v>164</v>
      </c>
      <c r="B217" s="614">
        <v>1200</v>
      </c>
      <c r="C217" s="616"/>
      <c r="D217" s="466">
        <v>667726</v>
      </c>
      <c r="E217" s="616"/>
      <c r="F217" s="616"/>
      <c r="G217" s="616"/>
      <c r="H217" s="616"/>
      <c r="I217" s="616"/>
      <c r="J217" s="616"/>
      <c r="K217" s="1671">
        <f t="shared" si="19"/>
        <v>667726</v>
      </c>
      <c r="L217" s="466"/>
    </row>
    <row r="218" spans="1:14" x14ac:dyDescent="0.2">
      <c r="A218" s="1504" t="s">
        <v>277</v>
      </c>
      <c r="B218" s="614" t="s">
        <v>967</v>
      </c>
      <c r="C218" s="616"/>
      <c r="D218" s="467"/>
      <c r="E218" s="616"/>
      <c r="F218" s="616"/>
      <c r="G218" s="616"/>
      <c r="H218" s="616"/>
      <c r="I218" s="616"/>
      <c r="J218" s="616"/>
      <c r="K218" s="1671">
        <f t="shared" si="19"/>
        <v>0</v>
      </c>
      <c r="L218" s="466"/>
    </row>
    <row r="219" spans="1:14" x14ac:dyDescent="0.2">
      <c r="A219" s="1504" t="s">
        <v>278</v>
      </c>
      <c r="B219" s="614">
        <v>1250</v>
      </c>
      <c r="C219" s="616"/>
      <c r="D219" s="466">
        <v>34501</v>
      </c>
      <c r="E219" s="616"/>
      <c r="F219" s="616"/>
      <c r="G219" s="616"/>
      <c r="H219" s="616"/>
      <c r="I219" s="616"/>
      <c r="J219" s="616"/>
      <c r="K219" s="1671">
        <f t="shared" si="19"/>
        <v>34501</v>
      </c>
      <c r="L219" s="466"/>
    </row>
    <row r="220" spans="1:14" x14ac:dyDescent="0.2">
      <c r="A220" s="1504" t="s">
        <v>279</v>
      </c>
      <c r="B220" s="614" t="s">
        <v>161</v>
      </c>
      <c r="C220" s="616"/>
      <c r="D220" s="467"/>
      <c r="E220" s="616"/>
      <c r="F220" s="616"/>
      <c r="G220" s="616"/>
      <c r="H220" s="616"/>
      <c r="I220" s="616"/>
      <c r="J220" s="616"/>
      <c r="K220" s="1671">
        <f t="shared" si="19"/>
        <v>0</v>
      </c>
      <c r="L220" s="466"/>
    </row>
    <row r="221" spans="1:14" x14ac:dyDescent="0.2">
      <c r="A221" s="1504" t="s">
        <v>961</v>
      </c>
      <c r="B221" s="614">
        <v>1300</v>
      </c>
      <c r="C221" s="616"/>
      <c r="D221" s="466"/>
      <c r="E221" s="616"/>
      <c r="F221" s="616"/>
      <c r="G221" s="616"/>
      <c r="H221" s="616"/>
      <c r="I221" s="616"/>
      <c r="J221" s="616"/>
      <c r="K221" s="1671">
        <f t="shared" si="19"/>
        <v>0</v>
      </c>
      <c r="L221" s="466"/>
    </row>
    <row r="222" spans="1:14" x14ac:dyDescent="0.2">
      <c r="A222" s="1504" t="s">
        <v>722</v>
      </c>
      <c r="B222" s="614">
        <v>1400</v>
      </c>
      <c r="C222" s="616"/>
      <c r="D222" s="466">
        <v>4013</v>
      </c>
      <c r="E222" s="616"/>
      <c r="F222" s="616"/>
      <c r="G222" s="616"/>
      <c r="H222" s="616"/>
      <c r="I222" s="616"/>
      <c r="J222" s="616"/>
      <c r="K222" s="1671">
        <f t="shared" si="19"/>
        <v>4013</v>
      </c>
      <c r="L222" s="466"/>
    </row>
    <row r="223" spans="1:14" x14ac:dyDescent="0.2">
      <c r="A223" s="1504" t="s">
        <v>962</v>
      </c>
      <c r="B223" s="614">
        <v>1500</v>
      </c>
      <c r="C223" s="616"/>
      <c r="D223" s="466">
        <v>60148</v>
      </c>
      <c r="E223" s="616"/>
      <c r="F223" s="616"/>
      <c r="G223" s="616"/>
      <c r="H223" s="616"/>
      <c r="I223" s="616"/>
      <c r="J223" s="616"/>
      <c r="K223" s="1671">
        <f t="shared" si="19"/>
        <v>60148</v>
      </c>
      <c r="L223" s="466"/>
    </row>
    <row r="224" spans="1:14" x14ac:dyDescent="0.2">
      <c r="A224" s="1504" t="s">
        <v>963</v>
      </c>
      <c r="B224" s="614">
        <v>1600</v>
      </c>
      <c r="C224" s="616"/>
      <c r="D224" s="466">
        <v>18109</v>
      </c>
      <c r="E224" s="616"/>
      <c r="F224" s="616"/>
      <c r="G224" s="616"/>
      <c r="H224" s="616"/>
      <c r="I224" s="616"/>
      <c r="J224" s="616"/>
      <c r="K224" s="1671">
        <f t="shared" si="19"/>
        <v>18109</v>
      </c>
      <c r="L224" s="466"/>
    </row>
    <row r="225" spans="1:12" x14ac:dyDescent="0.2">
      <c r="A225" s="1504" t="s">
        <v>986</v>
      </c>
      <c r="B225" s="614">
        <v>1650</v>
      </c>
      <c r="C225" s="616"/>
      <c r="D225" s="466">
        <v>4346</v>
      </c>
      <c r="E225" s="616"/>
      <c r="F225" s="616"/>
      <c r="G225" s="616"/>
      <c r="H225" s="616"/>
      <c r="I225" s="616"/>
      <c r="J225" s="616"/>
      <c r="K225" s="1671">
        <f t="shared" si="19"/>
        <v>4346</v>
      </c>
      <c r="L225" s="466"/>
    </row>
    <row r="226" spans="1:12" x14ac:dyDescent="0.2">
      <c r="A226" s="1504" t="s">
        <v>723</v>
      </c>
      <c r="B226" s="614" t="s">
        <v>162</v>
      </c>
      <c r="C226" s="616"/>
      <c r="D226" s="467">
        <v>4427</v>
      </c>
      <c r="E226" s="616"/>
      <c r="F226" s="616"/>
      <c r="G226" s="616"/>
      <c r="H226" s="616"/>
      <c r="I226" s="616"/>
      <c r="J226" s="616"/>
      <c r="K226" s="1671">
        <f t="shared" si="19"/>
        <v>4427</v>
      </c>
      <c r="L226" s="466"/>
    </row>
    <row r="227" spans="1:12" x14ac:dyDescent="0.2">
      <c r="A227" s="1504" t="s">
        <v>1086</v>
      </c>
      <c r="B227" s="614">
        <v>1800</v>
      </c>
      <c r="C227" s="616"/>
      <c r="D227" s="466">
        <v>114218</v>
      </c>
      <c r="E227" s="616"/>
      <c r="F227" s="616"/>
      <c r="G227" s="616"/>
      <c r="H227" s="616"/>
      <c r="I227" s="616"/>
      <c r="J227" s="616"/>
      <c r="K227" s="1671">
        <f t="shared" si="19"/>
        <v>114218</v>
      </c>
      <c r="L227" s="466"/>
    </row>
    <row r="228" spans="1:12" x14ac:dyDescent="0.2">
      <c r="A228" s="1504" t="s">
        <v>1087</v>
      </c>
      <c r="B228" s="614">
        <v>1900</v>
      </c>
      <c r="C228" s="616"/>
      <c r="D228" s="466">
        <v>23183</v>
      </c>
      <c r="E228" s="616"/>
      <c r="F228" s="616"/>
      <c r="G228" s="616"/>
      <c r="H228" s="616"/>
      <c r="I228" s="616"/>
      <c r="J228" s="616"/>
      <c r="K228" s="1671">
        <f t="shared" si="19"/>
        <v>23183</v>
      </c>
      <c r="L228" s="466"/>
    </row>
    <row r="229" spans="1:12" ht="12.75" customHeight="1" thickBot="1" x14ac:dyDescent="0.25">
      <c r="A229" s="1668" t="s">
        <v>714</v>
      </c>
      <c r="B229" s="1675" t="s">
        <v>569</v>
      </c>
      <c r="C229" s="616"/>
      <c r="D229" s="1670">
        <f>SUM(D215:D228)</f>
        <v>1728707</v>
      </c>
      <c r="E229" s="616"/>
      <c r="F229" s="616"/>
      <c r="G229" s="616"/>
      <c r="H229" s="616"/>
      <c r="I229" s="616"/>
      <c r="J229" s="616"/>
      <c r="K229" s="1670">
        <f>SUM(K215:K228)</f>
        <v>1728707</v>
      </c>
      <c r="L229" s="1670">
        <f>SUM(L215:L228)</f>
        <v>0</v>
      </c>
    </row>
    <row r="230" spans="1:12" ht="15.75" customHeight="1" thickTop="1" x14ac:dyDescent="0.2">
      <c r="A230" s="1612" t="s">
        <v>873</v>
      </c>
      <c r="B230" s="1613"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504" t="s">
        <v>1088</v>
      </c>
      <c r="B232" s="614">
        <v>2110</v>
      </c>
      <c r="C232" s="616"/>
      <c r="D232" s="466">
        <v>100141</v>
      </c>
      <c r="E232" s="616"/>
      <c r="F232" s="616"/>
      <c r="G232" s="616"/>
      <c r="H232" s="616"/>
      <c r="I232" s="616"/>
      <c r="J232" s="616"/>
      <c r="K232" s="1671">
        <f t="shared" ref="K232:K237" si="20">D232</f>
        <v>100141</v>
      </c>
      <c r="L232" s="466"/>
    </row>
    <row r="233" spans="1:12" x14ac:dyDescent="0.2">
      <c r="A233" s="1504" t="s">
        <v>1089</v>
      </c>
      <c r="B233" s="614">
        <v>2120</v>
      </c>
      <c r="C233" s="616"/>
      <c r="D233" s="466">
        <v>38518</v>
      </c>
      <c r="E233" s="616"/>
      <c r="F233" s="616"/>
      <c r="G233" s="616"/>
      <c r="H233" s="616"/>
      <c r="I233" s="616"/>
      <c r="J233" s="616"/>
      <c r="K233" s="1671">
        <f t="shared" si="20"/>
        <v>38518</v>
      </c>
      <c r="L233" s="466"/>
    </row>
    <row r="234" spans="1:12" x14ac:dyDescent="0.2">
      <c r="A234" s="1504" t="s">
        <v>198</v>
      </c>
      <c r="B234" s="614">
        <v>2130</v>
      </c>
      <c r="C234" s="616"/>
      <c r="D234" s="466">
        <v>111147</v>
      </c>
      <c r="E234" s="616"/>
      <c r="F234" s="616"/>
      <c r="G234" s="616"/>
      <c r="H234" s="616"/>
      <c r="I234" s="616"/>
      <c r="J234" s="616"/>
      <c r="K234" s="1671">
        <f t="shared" si="20"/>
        <v>111147</v>
      </c>
      <c r="L234" s="466"/>
    </row>
    <row r="235" spans="1:12" x14ac:dyDescent="0.2">
      <c r="A235" s="1504" t="s">
        <v>199</v>
      </c>
      <c r="B235" s="614">
        <v>2140</v>
      </c>
      <c r="C235" s="616"/>
      <c r="D235" s="466">
        <v>17386</v>
      </c>
      <c r="E235" s="616"/>
      <c r="F235" s="616"/>
      <c r="G235" s="616"/>
      <c r="H235" s="616"/>
      <c r="I235" s="616"/>
      <c r="J235" s="616"/>
      <c r="K235" s="1671">
        <f t="shared" si="20"/>
        <v>17386</v>
      </c>
      <c r="L235" s="466"/>
    </row>
    <row r="236" spans="1:12" x14ac:dyDescent="0.2">
      <c r="A236" s="1504" t="s">
        <v>200</v>
      </c>
      <c r="B236" s="614">
        <v>2150</v>
      </c>
      <c r="C236" s="616"/>
      <c r="D236" s="466">
        <v>57530</v>
      </c>
      <c r="E236" s="616"/>
      <c r="F236" s="616"/>
      <c r="G236" s="616"/>
      <c r="H236" s="616"/>
      <c r="I236" s="616"/>
      <c r="J236" s="616"/>
      <c r="K236" s="1671">
        <f t="shared" si="20"/>
        <v>57530</v>
      </c>
      <c r="L236" s="466"/>
    </row>
    <row r="237" spans="1:12" x14ac:dyDescent="0.2">
      <c r="A237" s="1504" t="s">
        <v>165</v>
      </c>
      <c r="B237" s="614">
        <v>2190</v>
      </c>
      <c r="C237" s="616"/>
      <c r="D237" s="466">
        <v>6298</v>
      </c>
      <c r="E237" s="616"/>
      <c r="F237" s="616"/>
      <c r="G237" s="616"/>
      <c r="H237" s="616"/>
      <c r="I237" s="616"/>
      <c r="J237" s="616"/>
      <c r="K237" s="1671">
        <f t="shared" si="20"/>
        <v>6298</v>
      </c>
      <c r="L237" s="466"/>
    </row>
    <row r="238" spans="1:12" ht="12.75" customHeight="1" thickBot="1" x14ac:dyDescent="0.25">
      <c r="A238" s="1668" t="s">
        <v>559</v>
      </c>
      <c r="B238" s="1675" t="s">
        <v>715</v>
      </c>
      <c r="C238" s="616"/>
      <c r="D238" s="1670">
        <f>SUM(D232:D237)</f>
        <v>331020</v>
      </c>
      <c r="E238" s="616"/>
      <c r="F238" s="616"/>
      <c r="G238" s="616"/>
      <c r="H238" s="616"/>
      <c r="I238" s="616"/>
      <c r="J238" s="616"/>
      <c r="K238" s="1670">
        <f>SUM(K232:K237)</f>
        <v>331020</v>
      </c>
      <c r="L238" s="1670">
        <f>SUM(L232:L237)</f>
        <v>0</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504" t="s">
        <v>813</v>
      </c>
      <c r="B240" s="614">
        <v>2210</v>
      </c>
      <c r="C240" s="616"/>
      <c r="D240" s="481">
        <v>78615</v>
      </c>
      <c r="E240" s="616"/>
      <c r="F240" s="616"/>
      <c r="G240" s="616"/>
      <c r="H240" s="616"/>
      <c r="I240" s="616"/>
      <c r="J240" s="616"/>
      <c r="K240" s="1672">
        <f>D240</f>
        <v>78615</v>
      </c>
      <c r="L240" s="481"/>
    </row>
    <row r="241" spans="1:12" x14ac:dyDescent="0.2">
      <c r="A241" s="1504" t="s">
        <v>814</v>
      </c>
      <c r="B241" s="614">
        <v>2220</v>
      </c>
      <c r="C241" s="616"/>
      <c r="D241" s="466"/>
      <c r="E241" s="616"/>
      <c r="F241" s="616"/>
      <c r="G241" s="616"/>
      <c r="H241" s="616"/>
      <c r="I241" s="616"/>
      <c r="J241" s="616"/>
      <c r="K241" s="1672">
        <f>D241</f>
        <v>0</v>
      </c>
      <c r="L241" s="466"/>
    </row>
    <row r="242" spans="1:12" x14ac:dyDescent="0.2">
      <c r="A242" s="1504" t="s">
        <v>815</v>
      </c>
      <c r="B242" s="614">
        <v>2230</v>
      </c>
      <c r="C242" s="616"/>
      <c r="D242" s="466">
        <v>3068</v>
      </c>
      <c r="E242" s="616"/>
      <c r="F242" s="616"/>
      <c r="G242" s="616"/>
      <c r="H242" s="616"/>
      <c r="I242" s="616"/>
      <c r="J242" s="616"/>
      <c r="K242" s="1672">
        <f>D242</f>
        <v>3068</v>
      </c>
      <c r="L242" s="466"/>
    </row>
    <row r="243" spans="1:12" ht="12.75" customHeight="1" thickBot="1" x14ac:dyDescent="0.25">
      <c r="A243" s="1694" t="s">
        <v>560</v>
      </c>
      <c r="B243" s="1695">
        <v>2200</v>
      </c>
      <c r="C243" s="616"/>
      <c r="D243" s="1670">
        <f>SUM(D240:D242)</f>
        <v>81683</v>
      </c>
      <c r="E243" s="616"/>
      <c r="F243" s="616"/>
      <c r="G243" s="616"/>
      <c r="H243" s="616"/>
      <c r="I243" s="616"/>
      <c r="J243" s="616"/>
      <c r="K243" s="1670">
        <f>SUM(K240:K242)</f>
        <v>81683</v>
      </c>
      <c r="L243" s="1670">
        <f>SUM(L240:L242)</f>
        <v>0</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504" t="s">
        <v>816</v>
      </c>
      <c r="B245" s="614">
        <v>2310</v>
      </c>
      <c r="C245" s="616"/>
      <c r="D245" s="481">
        <v>17997</v>
      </c>
      <c r="E245" s="616"/>
      <c r="F245" s="616"/>
      <c r="G245" s="616"/>
      <c r="H245" s="616"/>
      <c r="I245" s="616"/>
      <c r="J245" s="616"/>
      <c r="K245" s="1672">
        <f>D245</f>
        <v>17997</v>
      </c>
      <c r="L245" s="481"/>
    </row>
    <row r="246" spans="1:12" x14ac:dyDescent="0.2">
      <c r="A246" s="1504" t="s">
        <v>817</v>
      </c>
      <c r="B246" s="614">
        <v>2320</v>
      </c>
      <c r="C246" s="616"/>
      <c r="D246" s="466">
        <v>3399</v>
      </c>
      <c r="E246" s="616"/>
      <c r="F246" s="616"/>
      <c r="G246" s="616"/>
      <c r="H246" s="616"/>
      <c r="I246" s="616"/>
      <c r="J246" s="616"/>
      <c r="K246" s="1672">
        <f t="shared" ref="K246:K256" si="21">D246</f>
        <v>3399</v>
      </c>
      <c r="L246" s="466"/>
    </row>
    <row r="247" spans="1:12" x14ac:dyDescent="0.2">
      <c r="A247" s="1504" t="s">
        <v>818</v>
      </c>
      <c r="B247" s="614">
        <v>2330</v>
      </c>
      <c r="C247" s="616"/>
      <c r="D247" s="466">
        <v>17551</v>
      </c>
      <c r="E247" s="616"/>
      <c r="F247" s="616"/>
      <c r="G247" s="616"/>
      <c r="H247" s="616"/>
      <c r="I247" s="616"/>
      <c r="J247" s="616"/>
      <c r="K247" s="1672">
        <f t="shared" si="21"/>
        <v>17551</v>
      </c>
      <c r="L247" s="466"/>
    </row>
    <row r="248" spans="1:12" x14ac:dyDescent="0.2">
      <c r="A248" s="1505" t="s">
        <v>298</v>
      </c>
      <c r="B248" s="602" t="s">
        <v>280</v>
      </c>
      <c r="C248" s="616"/>
      <c r="D248" s="474"/>
      <c r="E248" s="616"/>
      <c r="F248" s="616"/>
      <c r="G248" s="616"/>
      <c r="H248" s="616"/>
      <c r="I248" s="616"/>
      <c r="J248" s="616"/>
      <c r="K248" s="1672">
        <f t="shared" si="21"/>
        <v>0</v>
      </c>
      <c r="L248" s="466"/>
    </row>
    <row r="249" spans="1:12" x14ac:dyDescent="0.2">
      <c r="A249" s="1506" t="s">
        <v>1801</v>
      </c>
      <c r="B249" s="683" t="s">
        <v>281</v>
      </c>
      <c r="C249" s="616"/>
      <c r="D249" s="474"/>
      <c r="E249" s="616"/>
      <c r="F249" s="616"/>
      <c r="G249" s="616"/>
      <c r="H249" s="616"/>
      <c r="I249" s="616"/>
      <c r="J249" s="616"/>
      <c r="K249" s="1672">
        <f t="shared" si="21"/>
        <v>0</v>
      </c>
      <c r="L249" s="466"/>
    </row>
    <row r="250" spans="1:12" x14ac:dyDescent="0.2">
      <c r="A250" s="1505" t="s">
        <v>1802</v>
      </c>
      <c r="B250" s="602" t="s">
        <v>282</v>
      </c>
      <c r="C250" s="616"/>
      <c r="D250" s="474"/>
      <c r="E250" s="616"/>
      <c r="F250" s="616"/>
      <c r="G250" s="616"/>
      <c r="H250" s="616"/>
      <c r="I250" s="616"/>
      <c r="J250" s="616"/>
      <c r="K250" s="1672">
        <f t="shared" si="21"/>
        <v>0</v>
      </c>
      <c r="L250" s="466"/>
    </row>
    <row r="251" spans="1:12" x14ac:dyDescent="0.2">
      <c r="A251" s="1505" t="s">
        <v>238</v>
      </c>
      <c r="B251" s="602" t="s">
        <v>283</v>
      </c>
      <c r="C251" s="616"/>
      <c r="D251" s="474"/>
      <c r="E251" s="616"/>
      <c r="F251" s="616"/>
      <c r="G251" s="616"/>
      <c r="H251" s="616"/>
      <c r="I251" s="616"/>
      <c r="J251" s="616"/>
      <c r="K251" s="1672">
        <f t="shared" si="21"/>
        <v>0</v>
      </c>
      <c r="L251" s="466"/>
    </row>
    <row r="252" spans="1:12" x14ac:dyDescent="0.2">
      <c r="A252" s="1505" t="s">
        <v>701</v>
      </c>
      <c r="B252" s="602" t="s">
        <v>284</v>
      </c>
      <c r="C252" s="616"/>
      <c r="D252" s="474"/>
      <c r="E252" s="616"/>
      <c r="F252" s="616"/>
      <c r="G252" s="616"/>
      <c r="H252" s="616"/>
      <c r="I252" s="616"/>
      <c r="J252" s="616"/>
      <c r="K252" s="1672">
        <f t="shared" si="21"/>
        <v>0</v>
      </c>
      <c r="L252" s="466"/>
    </row>
    <row r="253" spans="1:12" x14ac:dyDescent="0.2">
      <c r="A253" s="1505" t="s">
        <v>239</v>
      </c>
      <c r="B253" s="602" t="s">
        <v>285</v>
      </c>
      <c r="C253" s="616"/>
      <c r="D253" s="474"/>
      <c r="E253" s="616"/>
      <c r="F253" s="616"/>
      <c r="G253" s="616"/>
      <c r="H253" s="616"/>
      <c r="I253" s="616"/>
      <c r="J253" s="616"/>
      <c r="K253" s="1672">
        <f t="shared" si="21"/>
        <v>0</v>
      </c>
      <c r="L253" s="466"/>
    </row>
    <row r="254" spans="1:12" ht="22.5" x14ac:dyDescent="0.2">
      <c r="A254" s="1505" t="s">
        <v>1028</v>
      </c>
      <c r="B254" s="683" t="s">
        <v>286</v>
      </c>
      <c r="C254" s="616"/>
      <c r="D254" s="474"/>
      <c r="E254" s="616"/>
      <c r="F254" s="616"/>
      <c r="G254" s="616"/>
      <c r="H254" s="616"/>
      <c r="I254" s="616"/>
      <c r="J254" s="616"/>
      <c r="K254" s="1672">
        <f t="shared" si="21"/>
        <v>0</v>
      </c>
      <c r="L254" s="466"/>
    </row>
    <row r="255" spans="1:12" x14ac:dyDescent="0.2">
      <c r="A255" s="1505" t="s">
        <v>1029</v>
      </c>
      <c r="B255" s="602" t="s">
        <v>287</v>
      </c>
      <c r="C255" s="616"/>
      <c r="D255" s="474"/>
      <c r="E255" s="616"/>
      <c r="F255" s="616"/>
      <c r="G255" s="616"/>
      <c r="H255" s="616"/>
      <c r="I255" s="616"/>
      <c r="J255" s="616"/>
      <c r="K255" s="1672">
        <f t="shared" si="21"/>
        <v>0</v>
      </c>
      <c r="L255" s="466"/>
    </row>
    <row r="256" spans="1:12" x14ac:dyDescent="0.2">
      <c r="A256" s="1505" t="s">
        <v>970</v>
      </c>
      <c r="B256" s="614" t="s">
        <v>288</v>
      </c>
      <c r="C256" s="616"/>
      <c r="D256" s="474"/>
      <c r="E256" s="616"/>
      <c r="F256" s="616"/>
      <c r="G256" s="616"/>
      <c r="H256" s="616"/>
      <c r="I256" s="616"/>
      <c r="J256" s="616"/>
      <c r="K256" s="1672">
        <f t="shared" si="21"/>
        <v>0</v>
      </c>
      <c r="L256" s="466"/>
    </row>
    <row r="257" spans="1:14" ht="12.75" customHeight="1" thickBot="1" x14ac:dyDescent="0.25">
      <c r="A257" s="1668" t="s">
        <v>716</v>
      </c>
      <c r="B257" s="1696">
        <v>2300</v>
      </c>
      <c r="C257" s="616"/>
      <c r="D257" s="1670">
        <f>SUM(D245:D256)</f>
        <v>38947</v>
      </c>
      <c r="E257" s="616"/>
      <c r="F257" s="616"/>
      <c r="G257" s="616"/>
      <c r="H257" s="616"/>
      <c r="I257" s="616"/>
      <c r="J257" s="616"/>
      <c r="K257" s="1670">
        <f>SUM(K245:K256)</f>
        <v>38947</v>
      </c>
      <c r="L257" s="1670">
        <f>SUM(L245:L256)</f>
        <v>0</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504" t="s">
        <v>1066</v>
      </c>
      <c r="B259" s="685">
        <v>2410</v>
      </c>
      <c r="C259" s="616"/>
      <c r="D259" s="481">
        <v>242545</v>
      </c>
      <c r="E259" s="616"/>
      <c r="F259" s="616"/>
      <c r="G259" s="616"/>
      <c r="H259" s="616"/>
      <c r="I259" s="616"/>
      <c r="J259" s="616"/>
      <c r="K259" s="1672">
        <f>D259</f>
        <v>242545</v>
      </c>
      <c r="L259" s="481"/>
    </row>
    <row r="260" spans="1:14" s="597" customFormat="1" x14ac:dyDescent="0.2">
      <c r="A260" s="1522" t="s">
        <v>1800</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242545</v>
      </c>
      <c r="E261" s="616"/>
      <c r="F261" s="616"/>
      <c r="G261" s="616"/>
      <c r="H261" s="616"/>
      <c r="I261" s="616"/>
      <c r="J261" s="616"/>
      <c r="K261" s="1670">
        <f>SUM(K259:K260)</f>
        <v>242545</v>
      </c>
      <c r="L261" s="1670">
        <f>SUM(L259:L260)</f>
        <v>0</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504" t="s">
        <v>1067</v>
      </c>
      <c r="B263" s="685">
        <v>2510</v>
      </c>
      <c r="C263" s="616"/>
      <c r="D263" s="466">
        <v>22568</v>
      </c>
      <c r="E263" s="616"/>
      <c r="F263" s="616"/>
      <c r="G263" s="616"/>
      <c r="H263" s="616"/>
      <c r="I263" s="616"/>
      <c r="J263" s="616"/>
      <c r="K263" s="1672">
        <f>D263</f>
        <v>22568</v>
      </c>
      <c r="L263" s="481"/>
    </row>
    <row r="264" spans="1:14" x14ac:dyDescent="0.2">
      <c r="A264" s="1504" t="s">
        <v>462</v>
      </c>
      <c r="B264" s="685">
        <v>2520</v>
      </c>
      <c r="C264" s="616"/>
      <c r="D264" s="466">
        <v>66933</v>
      </c>
      <c r="E264" s="616"/>
      <c r="F264" s="616"/>
      <c r="G264" s="616"/>
      <c r="H264" s="616"/>
      <c r="I264" s="616"/>
      <c r="J264" s="616"/>
      <c r="K264" s="1672">
        <f t="shared" ref="K264:K269" si="22">D264</f>
        <v>66933</v>
      </c>
      <c r="L264" s="466"/>
    </row>
    <row r="265" spans="1:14" x14ac:dyDescent="0.2">
      <c r="A265" s="1504" t="s">
        <v>4</v>
      </c>
      <c r="B265" s="614">
        <v>2530</v>
      </c>
      <c r="C265" s="616"/>
      <c r="D265" s="466">
        <v>23826</v>
      </c>
      <c r="E265" s="616"/>
      <c r="F265" s="616"/>
      <c r="G265" s="616"/>
      <c r="H265" s="616"/>
      <c r="I265" s="616"/>
      <c r="J265" s="616"/>
      <c r="K265" s="1672">
        <f t="shared" si="22"/>
        <v>23826</v>
      </c>
      <c r="L265" s="466"/>
    </row>
    <row r="266" spans="1:14" x14ac:dyDescent="0.2">
      <c r="A266" s="1504" t="s">
        <v>197</v>
      </c>
      <c r="B266" s="614">
        <v>2540</v>
      </c>
      <c r="C266" s="616"/>
      <c r="D266" s="466">
        <v>760915</v>
      </c>
      <c r="E266" s="616"/>
      <c r="F266" s="616"/>
      <c r="G266" s="616"/>
      <c r="H266" s="616"/>
      <c r="I266" s="616"/>
      <c r="J266" s="616"/>
      <c r="K266" s="1672">
        <f t="shared" si="22"/>
        <v>760915</v>
      </c>
      <c r="L266" s="466"/>
    </row>
    <row r="267" spans="1:14" x14ac:dyDescent="0.2">
      <c r="A267" s="1504" t="s">
        <v>952</v>
      </c>
      <c r="B267" s="614">
        <v>2550</v>
      </c>
      <c r="C267" s="616"/>
      <c r="D267" s="466">
        <v>532676</v>
      </c>
      <c r="E267" s="616"/>
      <c r="F267" s="616"/>
      <c r="G267" s="616"/>
      <c r="H267" s="616"/>
      <c r="I267" s="616"/>
      <c r="J267" s="616"/>
      <c r="K267" s="1672">
        <f t="shared" si="22"/>
        <v>532676</v>
      </c>
      <c r="L267" s="466"/>
    </row>
    <row r="268" spans="1:14" x14ac:dyDescent="0.2">
      <c r="A268" s="1504" t="s">
        <v>100</v>
      </c>
      <c r="B268" s="614">
        <v>2560</v>
      </c>
      <c r="C268" s="616"/>
      <c r="D268" s="466">
        <v>29313</v>
      </c>
      <c r="E268" s="616"/>
      <c r="F268" s="616"/>
      <c r="G268" s="616"/>
      <c r="H268" s="616"/>
      <c r="I268" s="616"/>
      <c r="J268" s="616"/>
      <c r="K268" s="1672">
        <f t="shared" si="22"/>
        <v>29313</v>
      </c>
      <c r="L268" s="466"/>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718</v>
      </c>
      <c r="B270" s="1675" t="s">
        <v>35</v>
      </c>
      <c r="C270" s="616"/>
      <c r="D270" s="1670">
        <f>SUM(D263:D269)</f>
        <v>1436231</v>
      </c>
      <c r="E270" s="616"/>
      <c r="F270" s="616"/>
      <c r="G270" s="616"/>
      <c r="H270" s="616"/>
      <c r="I270" s="616"/>
      <c r="J270" s="616"/>
      <c r="K270" s="1670">
        <f>SUM(K263:K269)</f>
        <v>1436231</v>
      </c>
      <c r="L270" s="1670">
        <f>SUM(L263:L269)</f>
        <v>0</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504" t="s">
        <v>1059</v>
      </c>
      <c r="B272" s="614">
        <v>2610</v>
      </c>
      <c r="C272" s="616"/>
      <c r="D272" s="481">
        <v>10311</v>
      </c>
      <c r="E272" s="616"/>
      <c r="F272" s="616"/>
      <c r="G272" s="616"/>
      <c r="H272" s="616"/>
      <c r="I272" s="616"/>
      <c r="J272" s="616"/>
      <c r="K272" s="1672">
        <f>D272</f>
        <v>10311</v>
      </c>
      <c r="L272" s="481"/>
    </row>
    <row r="273" spans="1:12" x14ac:dyDescent="0.2">
      <c r="A273" s="1504" t="s">
        <v>606</v>
      </c>
      <c r="B273" s="628">
        <v>2620</v>
      </c>
      <c r="C273" s="616"/>
      <c r="D273" s="466"/>
      <c r="E273" s="616"/>
      <c r="F273" s="616"/>
      <c r="G273" s="616"/>
      <c r="H273" s="616"/>
      <c r="I273" s="616"/>
      <c r="J273" s="616"/>
      <c r="K273" s="1672">
        <f>D273</f>
        <v>0</v>
      </c>
      <c r="L273" s="466"/>
    </row>
    <row r="274" spans="1:12" ht="12" customHeight="1" x14ac:dyDescent="0.2">
      <c r="A274" s="1504" t="s">
        <v>1060</v>
      </c>
      <c r="B274" s="614">
        <v>2630</v>
      </c>
      <c r="C274" s="616"/>
      <c r="D274" s="466">
        <v>35315</v>
      </c>
      <c r="E274" s="616"/>
      <c r="F274" s="616"/>
      <c r="G274" s="616"/>
      <c r="H274" s="616"/>
      <c r="I274" s="616"/>
      <c r="J274" s="616"/>
      <c r="K274" s="1672">
        <f>D274</f>
        <v>35315</v>
      </c>
      <c r="L274" s="466"/>
    </row>
    <row r="275" spans="1:12" x14ac:dyDescent="0.2">
      <c r="A275" s="1504" t="s">
        <v>402</v>
      </c>
      <c r="B275" s="614">
        <v>2640</v>
      </c>
      <c r="C275" s="616"/>
      <c r="D275" s="466">
        <v>51836</v>
      </c>
      <c r="E275" s="616"/>
      <c r="F275" s="616"/>
      <c r="G275" s="616"/>
      <c r="H275" s="616"/>
      <c r="I275" s="616"/>
      <c r="J275" s="616"/>
      <c r="K275" s="1672">
        <f>D275</f>
        <v>51836</v>
      </c>
      <c r="L275" s="466"/>
    </row>
    <row r="276" spans="1:12" x14ac:dyDescent="0.2">
      <c r="A276" s="1504" t="s">
        <v>403</v>
      </c>
      <c r="B276" s="614">
        <v>2660</v>
      </c>
      <c r="C276" s="616"/>
      <c r="D276" s="466">
        <v>183655</v>
      </c>
      <c r="E276" s="616"/>
      <c r="F276" s="616"/>
      <c r="G276" s="616"/>
      <c r="H276" s="616"/>
      <c r="I276" s="616"/>
      <c r="J276" s="616"/>
      <c r="K276" s="1672">
        <f>D276</f>
        <v>183655</v>
      </c>
      <c r="L276" s="466"/>
    </row>
    <row r="277" spans="1:12" ht="12.75" customHeight="1" thickBot="1" x14ac:dyDescent="0.25">
      <c r="A277" s="1691" t="s">
        <v>37</v>
      </c>
      <c r="B277" s="1669" t="s">
        <v>36</v>
      </c>
      <c r="C277" s="616"/>
      <c r="D277" s="1670">
        <f>SUM(D272:D276)</f>
        <v>281117</v>
      </c>
      <c r="E277" s="616"/>
      <c r="F277" s="616"/>
      <c r="G277" s="616"/>
      <c r="H277" s="616"/>
      <c r="I277" s="616"/>
      <c r="J277" s="616"/>
      <c r="K277" s="1670">
        <f>SUM(K272:K276)</f>
        <v>281117</v>
      </c>
      <c r="L277" s="1670">
        <f>SUM(L272:L276)</f>
        <v>0</v>
      </c>
    </row>
    <row r="278" spans="1:12" ht="13.5" customHeight="1" thickTop="1" x14ac:dyDescent="0.2">
      <c r="A278" s="1510" t="s">
        <v>979</v>
      </c>
      <c r="B278" s="655" t="s">
        <v>573</v>
      </c>
      <c r="C278" s="616"/>
      <c r="D278" s="656">
        <v>7171</v>
      </c>
      <c r="E278" s="616"/>
      <c r="F278" s="616"/>
      <c r="G278" s="616"/>
      <c r="H278" s="616"/>
      <c r="I278" s="616"/>
      <c r="J278" s="616"/>
      <c r="K278" s="1685">
        <f>D278</f>
        <v>7171</v>
      </c>
      <c r="L278" s="656"/>
    </row>
    <row r="279" spans="1:12" ht="12.75" customHeight="1" thickBot="1" x14ac:dyDescent="0.25">
      <c r="A279" s="1698" t="s">
        <v>810</v>
      </c>
      <c r="B279" s="1681">
        <v>2000</v>
      </c>
      <c r="C279" s="616"/>
      <c r="D279" s="1677">
        <f>SUM(D238,D243,D257,D261,D270,D277,D278)</f>
        <v>2418714</v>
      </c>
      <c r="E279" s="616"/>
      <c r="F279" s="616"/>
      <c r="G279" s="616"/>
      <c r="H279" s="616"/>
      <c r="I279" s="616"/>
      <c r="J279" s="616"/>
      <c r="K279" s="1677">
        <f>SUM(K238,K243,K257,K261,K270,K277,K278)</f>
        <v>2418714</v>
      </c>
      <c r="L279" s="1677">
        <f>SUM(L238,L243,L257,L261,L270,L277,L278)</f>
        <v>0</v>
      </c>
    </row>
    <row r="280" spans="1:12" ht="15.75" customHeight="1" thickTop="1" thickBot="1" x14ac:dyDescent="0.25">
      <c r="A280" s="1624" t="s">
        <v>874</v>
      </c>
      <c r="B280" s="1613">
        <v>3000</v>
      </c>
      <c r="C280" s="616"/>
      <c r="D280" s="576">
        <v>87240</v>
      </c>
      <c r="E280" s="616"/>
      <c r="F280" s="616"/>
      <c r="G280" s="616"/>
      <c r="H280" s="616"/>
      <c r="I280" s="616"/>
      <c r="J280" s="616"/>
      <c r="K280" s="1679">
        <f>D280</f>
        <v>87240</v>
      </c>
      <c r="L280" s="576"/>
    </row>
    <row r="281" spans="1:12" ht="15.75" customHeight="1" thickTop="1" x14ac:dyDescent="0.2">
      <c r="A281" s="1614" t="s">
        <v>142</v>
      </c>
      <c r="B281" s="1615" t="s">
        <v>859</v>
      </c>
      <c r="C281" s="616"/>
      <c r="D281" s="566"/>
      <c r="E281" s="616"/>
      <c r="F281" s="616"/>
      <c r="G281" s="616"/>
      <c r="H281" s="616"/>
      <c r="I281" s="616"/>
      <c r="J281" s="616"/>
      <c r="K281" s="616"/>
      <c r="L281" s="616"/>
    </row>
    <row r="282" spans="1:12" ht="15.75" customHeight="1" x14ac:dyDescent="0.2">
      <c r="A282" s="1830" t="s">
        <v>495</v>
      </c>
      <c r="B282" s="690" t="s">
        <v>1840</v>
      </c>
      <c r="C282" s="616"/>
      <c r="D282" s="467"/>
      <c r="E282" s="616"/>
      <c r="F282" s="616"/>
      <c r="G282" s="616"/>
      <c r="H282" s="616"/>
      <c r="I282" s="616"/>
      <c r="J282" s="616"/>
      <c r="K282" s="1671">
        <f>D282</f>
        <v>0</v>
      </c>
      <c r="L282" s="467"/>
    </row>
    <row r="283" spans="1:12" x14ac:dyDescent="0.2">
      <c r="A283" s="1504" t="s">
        <v>303</v>
      </c>
      <c r="B283" s="614">
        <v>4120</v>
      </c>
      <c r="C283" s="616"/>
      <c r="D283" s="466"/>
      <c r="E283" s="616"/>
      <c r="F283" s="616"/>
      <c r="G283" s="616"/>
      <c r="H283" s="616"/>
      <c r="I283" s="616"/>
      <c r="J283" s="616"/>
      <c r="K283" s="1671">
        <f>D283</f>
        <v>0</v>
      </c>
      <c r="L283" s="466"/>
    </row>
    <row r="284" spans="1:12" x14ac:dyDescent="0.2">
      <c r="A284" s="1504" t="s">
        <v>696</v>
      </c>
      <c r="B284" s="614">
        <v>4140</v>
      </c>
      <c r="C284" s="616"/>
      <c r="D284" s="467"/>
      <c r="E284" s="616"/>
      <c r="F284" s="616"/>
      <c r="G284" s="616"/>
      <c r="H284" s="616"/>
      <c r="I284" s="616"/>
      <c r="J284" s="616"/>
      <c r="K284" s="1671">
        <f>D284</f>
        <v>0</v>
      </c>
      <c r="L284" s="466"/>
    </row>
    <row r="285" spans="1:12" ht="12.75" customHeight="1" thickBot="1" x14ac:dyDescent="0.25">
      <c r="A285" s="1668" t="s">
        <v>1486</v>
      </c>
      <c r="B285" s="1669" t="s">
        <v>859</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875</v>
      </c>
      <c r="B286" s="1609"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1169</v>
      </c>
      <c r="B290" s="628" t="s">
        <v>616</v>
      </c>
      <c r="C290" s="616"/>
      <c r="D290" s="616"/>
      <c r="E290" s="616"/>
      <c r="F290" s="616"/>
      <c r="G290" s="616"/>
      <c r="H290" s="466"/>
      <c r="I290" s="616"/>
      <c r="J290" s="616"/>
      <c r="K290" s="1671">
        <f>H290</f>
        <v>0</v>
      </c>
      <c r="L290" s="466"/>
    </row>
    <row r="291" spans="1:14" x14ac:dyDescent="0.2">
      <c r="A291" s="1504" t="s">
        <v>89</v>
      </c>
      <c r="B291" s="614" t="s">
        <v>588</v>
      </c>
      <c r="C291" s="616"/>
      <c r="D291" s="616"/>
      <c r="E291" s="616"/>
      <c r="F291" s="616"/>
      <c r="G291" s="616"/>
      <c r="H291" s="466"/>
      <c r="I291" s="616"/>
      <c r="J291" s="616"/>
      <c r="K291" s="1671">
        <f>H291</f>
        <v>0</v>
      </c>
      <c r="L291" s="466"/>
    </row>
    <row r="292" spans="1:14" x14ac:dyDescent="0.2">
      <c r="A292" s="1504" t="s">
        <v>761</v>
      </c>
      <c r="B292" s="614" t="s">
        <v>617</v>
      </c>
      <c r="C292" s="616"/>
      <c r="D292" s="616"/>
      <c r="E292" s="616"/>
      <c r="F292" s="616"/>
      <c r="G292" s="616"/>
      <c r="H292" s="466"/>
      <c r="I292" s="616"/>
      <c r="J292" s="616"/>
      <c r="K292" s="1671">
        <f>H292</f>
        <v>0</v>
      </c>
      <c r="L292" s="466"/>
    </row>
    <row r="293" spans="1:14" ht="12.75" customHeight="1" thickBot="1" x14ac:dyDescent="0.25">
      <c r="A293" s="1668" t="s">
        <v>483</v>
      </c>
      <c r="B293" s="1669" t="s">
        <v>491</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876</v>
      </c>
      <c r="B294" s="1613" t="s">
        <v>860</v>
      </c>
      <c r="C294" s="616"/>
      <c r="D294" s="623"/>
      <c r="E294" s="616"/>
      <c r="F294" s="616"/>
      <c r="G294" s="616"/>
      <c r="H294" s="686"/>
      <c r="I294" s="616"/>
      <c r="J294" s="616"/>
      <c r="K294" s="686"/>
      <c r="L294" s="578"/>
    </row>
    <row r="295" spans="1:14" ht="12.75" customHeight="1" thickTop="1" thickBot="1" x14ac:dyDescent="0.25">
      <c r="A295" s="2228" t="s">
        <v>504</v>
      </c>
      <c r="B295" s="2229"/>
      <c r="C295" s="616"/>
      <c r="D295" s="1670">
        <f>SUM(D229,D279,D280,D285)</f>
        <v>4234661</v>
      </c>
      <c r="E295" s="616"/>
      <c r="F295" s="616"/>
      <c r="G295" s="616"/>
      <c r="H295" s="1670">
        <f>H293</f>
        <v>0</v>
      </c>
      <c r="I295" s="616"/>
      <c r="J295" s="616"/>
      <c r="K295" s="1670">
        <f>SUM(K229,K279,K280,K285,K293,K294)</f>
        <v>4234661</v>
      </c>
      <c r="L295" s="1670">
        <f>SUM(L229,L279,L280,L285,L293,L294)</f>
        <v>0</v>
      </c>
    </row>
    <row r="296" spans="1:14" ht="13.5" thickTop="1" x14ac:dyDescent="0.2">
      <c r="A296" s="2237" t="s">
        <v>995</v>
      </c>
      <c r="B296" s="2238"/>
      <c r="C296" s="616"/>
      <c r="D296" s="618"/>
      <c r="E296" s="616"/>
      <c r="F296" s="616"/>
      <c r="G296" s="616"/>
      <c r="H296" s="687"/>
      <c r="I296" s="616"/>
      <c r="J296" s="616"/>
      <c r="K296" s="1684">
        <f>'Revenues 9-14'!G268-'Expenditures 15-22'!K295</f>
        <v>189756</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220" t="s">
        <v>143</v>
      </c>
      <c r="B298" s="2214"/>
      <c r="C298" s="1551"/>
      <c r="D298" s="1552"/>
      <c r="E298" s="1552"/>
      <c r="F298" s="1552"/>
      <c r="G298" s="1552"/>
      <c r="H298" s="1552"/>
      <c r="I298" s="1552"/>
      <c r="J298" s="1552"/>
      <c r="K298" s="1552"/>
      <c r="L298" s="1553"/>
    </row>
    <row r="299" spans="1:14" ht="15.75" customHeight="1" x14ac:dyDescent="0.2">
      <c r="A299" s="1612" t="s">
        <v>144</v>
      </c>
      <c r="B299" s="1615"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517" t="s">
        <v>607</v>
      </c>
      <c r="B301" s="689">
        <v>2530</v>
      </c>
      <c r="C301" s="466">
        <v>239280</v>
      </c>
      <c r="D301" s="466">
        <v>44642</v>
      </c>
      <c r="E301" s="466">
        <v>618930</v>
      </c>
      <c r="F301" s="466">
        <v>250995</v>
      </c>
      <c r="G301" s="466">
        <v>7802682</v>
      </c>
      <c r="H301" s="466"/>
      <c r="I301" s="467"/>
      <c r="J301" s="467"/>
      <c r="K301" s="1671">
        <f>SUM(C301:J301)</f>
        <v>8956529</v>
      </c>
      <c r="L301" s="467"/>
    </row>
    <row r="302" spans="1:14" ht="13.5" customHeight="1" x14ac:dyDescent="0.2">
      <c r="A302" s="1517" t="s">
        <v>979</v>
      </c>
      <c r="B302" s="614" t="s">
        <v>573</v>
      </c>
      <c r="C302" s="466"/>
      <c r="D302" s="466"/>
      <c r="E302" s="466"/>
      <c r="F302" s="466">
        <v>39151</v>
      </c>
      <c r="G302" s="466">
        <v>6490</v>
      </c>
      <c r="H302" s="466">
        <v>1605</v>
      </c>
      <c r="I302" s="467"/>
      <c r="J302" s="467"/>
      <c r="K302" s="1671">
        <f>SUM(C302:J302)</f>
        <v>47246</v>
      </c>
      <c r="L302" s="466"/>
    </row>
    <row r="303" spans="1:14" ht="12.75" customHeight="1" thickBot="1" x14ac:dyDescent="0.25">
      <c r="A303" s="1668" t="s">
        <v>810</v>
      </c>
      <c r="B303" s="1669" t="s">
        <v>568</v>
      </c>
      <c r="C303" s="1677">
        <f>SUM(C301:C302)</f>
        <v>239280</v>
      </c>
      <c r="D303" s="1677">
        <f t="shared" ref="D303:L303" si="23">SUM(D301:D302)</f>
        <v>44642</v>
      </c>
      <c r="E303" s="1677">
        <f t="shared" si="23"/>
        <v>618930</v>
      </c>
      <c r="F303" s="1677">
        <f t="shared" si="23"/>
        <v>290146</v>
      </c>
      <c r="G303" s="1677">
        <f t="shared" si="23"/>
        <v>7809172</v>
      </c>
      <c r="H303" s="1677">
        <f t="shared" si="23"/>
        <v>1605</v>
      </c>
      <c r="I303" s="1677">
        <f t="shared" si="23"/>
        <v>0</v>
      </c>
      <c r="J303" s="1677">
        <f t="shared" si="23"/>
        <v>0</v>
      </c>
      <c r="K303" s="1677">
        <f t="shared" si="23"/>
        <v>9003775</v>
      </c>
      <c r="L303" s="1677">
        <f t="shared" si="23"/>
        <v>0</v>
      </c>
    </row>
    <row r="304" spans="1:14" ht="15.75" customHeight="1" thickTop="1" x14ac:dyDescent="0.2">
      <c r="A304" s="1612" t="s">
        <v>145</v>
      </c>
      <c r="B304" s="1613"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518" t="s">
        <v>1845</v>
      </c>
      <c r="B306" s="690" t="s">
        <v>1840</v>
      </c>
      <c r="C306" s="616"/>
      <c r="D306" s="616"/>
      <c r="E306" s="467"/>
      <c r="F306" s="616"/>
      <c r="G306" s="616"/>
      <c r="H306" s="467"/>
      <c r="I306" s="616"/>
      <c r="J306" s="616"/>
      <c r="K306" s="1671">
        <f>SUM(E306,H306)</f>
        <v>0</v>
      </c>
      <c r="L306" s="467"/>
    </row>
    <row r="307" spans="1:14" x14ac:dyDescent="0.2">
      <c r="A307" s="1504" t="s">
        <v>303</v>
      </c>
      <c r="B307" s="614">
        <v>4120</v>
      </c>
      <c r="C307" s="616"/>
      <c r="D307" s="616"/>
      <c r="E307" s="467"/>
      <c r="F307" s="616"/>
      <c r="G307" s="616"/>
      <c r="H307" s="467"/>
      <c r="I307" s="477"/>
      <c r="J307" s="616"/>
      <c r="K307" s="1671">
        <f>SUM(E307,H307)</f>
        <v>0</v>
      </c>
      <c r="L307" s="466"/>
    </row>
    <row r="308" spans="1:14" x14ac:dyDescent="0.2">
      <c r="A308" s="1504" t="s">
        <v>696</v>
      </c>
      <c r="B308" s="614">
        <v>4140</v>
      </c>
      <c r="C308" s="616"/>
      <c r="D308" s="616"/>
      <c r="E308" s="467"/>
      <c r="F308" s="616"/>
      <c r="G308" s="616"/>
      <c r="H308" s="467"/>
      <c r="I308" s="477"/>
      <c r="J308" s="616"/>
      <c r="K308" s="1671">
        <f>SUM(E308,H308)</f>
        <v>0</v>
      </c>
      <c r="L308" s="466"/>
    </row>
    <row r="309" spans="1:14" ht="12.75" customHeight="1" x14ac:dyDescent="0.2">
      <c r="A309" s="1508" t="s">
        <v>697</v>
      </c>
      <c r="B309" s="628">
        <v>4190</v>
      </c>
      <c r="C309" s="616"/>
      <c r="D309" s="616"/>
      <c r="E309" s="467"/>
      <c r="F309" s="616"/>
      <c r="G309" s="616"/>
      <c r="H309" s="467"/>
      <c r="I309" s="477"/>
      <c r="J309" s="616"/>
      <c r="K309" s="1671">
        <f>SUM(E309,H309)</f>
        <v>0</v>
      </c>
      <c r="L309" s="466"/>
    </row>
    <row r="310" spans="1:14" ht="12.75" customHeight="1" thickBot="1" x14ac:dyDescent="0.25">
      <c r="A310" s="1668" t="s">
        <v>1486</v>
      </c>
      <c r="B310" s="1675" t="s">
        <v>859</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894</v>
      </c>
      <c r="B311" s="1611" t="s">
        <v>860</v>
      </c>
      <c r="C311" s="623"/>
      <c r="D311" s="623"/>
      <c r="E311" s="623"/>
      <c r="F311" s="623"/>
      <c r="G311" s="623"/>
      <c r="H311" s="623"/>
      <c r="I311" s="623"/>
      <c r="J311" s="616"/>
      <c r="K311" s="623"/>
      <c r="L311" s="576"/>
    </row>
    <row r="312" spans="1:14" s="674" customFormat="1" ht="12.75" customHeight="1" thickTop="1" thickBot="1" x14ac:dyDescent="0.25">
      <c r="A312" s="2225" t="s">
        <v>276</v>
      </c>
      <c r="B312" s="2226"/>
      <c r="C312" s="1670">
        <f>SUM(C303)</f>
        <v>239280</v>
      </c>
      <c r="D312" s="1670">
        <f>SUM(D303)</f>
        <v>44642</v>
      </c>
      <c r="E312" s="1670">
        <f>SUM(E303,E310)</f>
        <v>618930</v>
      </c>
      <c r="F312" s="1670">
        <f>SUM(F303)</f>
        <v>290146</v>
      </c>
      <c r="G312" s="1670">
        <f>SUM(G303)</f>
        <v>7809172</v>
      </c>
      <c r="H312" s="1670">
        <f>SUM(H303,H310)</f>
        <v>1605</v>
      </c>
      <c r="I312" s="1670">
        <f>SUM(I303)</f>
        <v>0</v>
      </c>
      <c r="J312" s="1670">
        <f>SUM(J303)</f>
        <v>0</v>
      </c>
      <c r="K312" s="1670">
        <f>SUM(K303,K310,K311)</f>
        <v>9003775</v>
      </c>
      <c r="L312" s="1670">
        <f>SUM(L303,L310,L311)</f>
        <v>0</v>
      </c>
      <c r="M312" s="665"/>
      <c r="N312" s="665"/>
    </row>
    <row r="313" spans="1:14" ht="13.5" thickTop="1" x14ac:dyDescent="0.2">
      <c r="A313" s="2221" t="s">
        <v>995</v>
      </c>
      <c r="B313" s="2222"/>
      <c r="C313" s="626"/>
      <c r="D313" s="626"/>
      <c r="E313" s="626"/>
      <c r="F313" s="626"/>
      <c r="G313" s="626"/>
      <c r="H313" s="626"/>
      <c r="I313" s="626"/>
      <c r="J313" s="626"/>
      <c r="K313" s="1685">
        <f>'Revenues 9-14'!H268-'Expenditures 15-22'!K312</f>
        <v>-8630664</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234" t="s">
        <v>149</v>
      </c>
      <c r="B315" s="2235"/>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236" t="s">
        <v>897</v>
      </c>
      <c r="B317" s="2235"/>
      <c r="C317" s="1556"/>
      <c r="D317" s="1557"/>
      <c r="E317" s="1557"/>
      <c r="F317" s="1557"/>
      <c r="G317" s="1557"/>
      <c r="H317" s="1557"/>
      <c r="I317" s="1557"/>
      <c r="J317" s="1557"/>
      <c r="K317" s="1557"/>
      <c r="L317" s="1558"/>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519" t="s">
        <v>298</v>
      </c>
      <c r="B319" s="697" t="s">
        <v>280</v>
      </c>
      <c r="C319" s="467"/>
      <c r="D319" s="467"/>
      <c r="E319" s="467"/>
      <c r="F319" s="467"/>
      <c r="G319" s="467"/>
      <c r="H319" s="467"/>
      <c r="I319" s="467"/>
      <c r="J319" s="467"/>
      <c r="K319" s="1671">
        <f>SUM(C319:J319)</f>
        <v>0</v>
      </c>
      <c r="L319" s="467"/>
      <c r="M319" s="665"/>
      <c r="N319" s="665"/>
    </row>
    <row r="320" spans="1:14" s="674" customFormat="1" x14ac:dyDescent="0.2">
      <c r="A320" s="1523" t="s">
        <v>1801</v>
      </c>
      <c r="B320" s="698" t="s">
        <v>281</v>
      </c>
      <c r="C320" s="467"/>
      <c r="D320" s="467"/>
      <c r="E320" s="467"/>
      <c r="F320" s="467"/>
      <c r="G320" s="467"/>
      <c r="H320" s="467"/>
      <c r="I320" s="467"/>
      <c r="J320" s="467"/>
      <c r="K320" s="1671">
        <f t="shared" ref="K320:K327" si="24">SUM(C320:J320)</f>
        <v>0</v>
      </c>
      <c r="L320" s="467"/>
      <c r="M320" s="665"/>
      <c r="N320" s="665"/>
    </row>
    <row r="321" spans="1:14" s="674" customFormat="1" x14ac:dyDescent="0.2">
      <c r="A321" s="1519" t="s">
        <v>299</v>
      </c>
      <c r="B321" s="697" t="s">
        <v>282</v>
      </c>
      <c r="C321" s="467"/>
      <c r="D321" s="467"/>
      <c r="E321" s="467"/>
      <c r="F321" s="467"/>
      <c r="G321" s="467"/>
      <c r="H321" s="467"/>
      <c r="I321" s="467"/>
      <c r="J321" s="467"/>
      <c r="K321" s="1671">
        <f t="shared" si="24"/>
        <v>0</v>
      </c>
      <c r="L321" s="467"/>
      <c r="M321" s="665"/>
      <c r="N321" s="665"/>
    </row>
    <row r="322" spans="1:14" s="674" customFormat="1" x14ac:dyDescent="0.2">
      <c r="A322" s="1519" t="s">
        <v>238</v>
      </c>
      <c r="B322" s="697" t="s">
        <v>283</v>
      </c>
      <c r="C322" s="467"/>
      <c r="D322" s="467"/>
      <c r="E322" s="467">
        <v>129633</v>
      </c>
      <c r="F322" s="467"/>
      <c r="G322" s="467"/>
      <c r="H322" s="467"/>
      <c r="I322" s="467"/>
      <c r="J322" s="467"/>
      <c r="K322" s="1671">
        <f t="shared" si="24"/>
        <v>129633</v>
      </c>
      <c r="L322" s="467"/>
      <c r="M322" s="665"/>
      <c r="N322" s="665"/>
    </row>
    <row r="323" spans="1:14" s="674" customFormat="1" x14ac:dyDescent="0.2">
      <c r="A323" s="1519" t="s">
        <v>701</v>
      </c>
      <c r="B323" s="697" t="s">
        <v>284</v>
      </c>
      <c r="C323" s="467"/>
      <c r="D323" s="467"/>
      <c r="E323" s="467"/>
      <c r="F323" s="467"/>
      <c r="G323" s="467"/>
      <c r="H323" s="467"/>
      <c r="I323" s="467"/>
      <c r="J323" s="467"/>
      <c r="K323" s="1671">
        <f t="shared" si="24"/>
        <v>0</v>
      </c>
      <c r="L323" s="467"/>
      <c r="M323" s="665"/>
      <c r="N323" s="665"/>
    </row>
    <row r="324" spans="1:14" s="674" customFormat="1" x14ac:dyDescent="0.2">
      <c r="A324" s="1519" t="s">
        <v>239</v>
      </c>
      <c r="B324" s="697" t="s">
        <v>285</v>
      </c>
      <c r="C324" s="467"/>
      <c r="D324" s="467"/>
      <c r="E324" s="467"/>
      <c r="F324" s="467"/>
      <c r="G324" s="467"/>
      <c r="H324" s="467"/>
      <c r="I324" s="467"/>
      <c r="J324" s="467"/>
      <c r="K324" s="1671">
        <f t="shared" si="24"/>
        <v>0</v>
      </c>
      <c r="L324" s="467"/>
      <c r="M324" s="665"/>
      <c r="N324" s="665"/>
    </row>
    <row r="325" spans="1:14" s="674" customFormat="1" ht="22.5" x14ac:dyDescent="0.2">
      <c r="A325" s="1519" t="s">
        <v>1028</v>
      </c>
      <c r="B325" s="698" t="s">
        <v>286</v>
      </c>
      <c r="C325" s="467"/>
      <c r="D325" s="467"/>
      <c r="E325" s="467"/>
      <c r="F325" s="467"/>
      <c r="G325" s="467"/>
      <c r="H325" s="467"/>
      <c r="I325" s="467"/>
      <c r="J325" s="467"/>
      <c r="K325" s="1671">
        <f t="shared" si="24"/>
        <v>0</v>
      </c>
      <c r="L325" s="467"/>
      <c r="M325" s="665"/>
      <c r="N325" s="665"/>
    </row>
    <row r="326" spans="1:14" s="674" customFormat="1" x14ac:dyDescent="0.2">
      <c r="A326" s="1519" t="s">
        <v>1029</v>
      </c>
      <c r="B326" s="697" t="s">
        <v>287</v>
      </c>
      <c r="C326" s="467"/>
      <c r="D326" s="467"/>
      <c r="E326" s="467"/>
      <c r="F326" s="467"/>
      <c r="G326" s="467"/>
      <c r="H326" s="467"/>
      <c r="I326" s="467"/>
      <c r="J326" s="467"/>
      <c r="K326" s="1671">
        <f t="shared" si="24"/>
        <v>0</v>
      </c>
      <c r="L326" s="467"/>
      <c r="M326" s="665"/>
      <c r="N326" s="665"/>
    </row>
    <row r="327" spans="1:14" s="674" customFormat="1" x14ac:dyDescent="0.2">
      <c r="A327" s="1519" t="s">
        <v>970</v>
      </c>
      <c r="B327" s="697" t="s">
        <v>288</v>
      </c>
      <c r="C327" s="467"/>
      <c r="D327" s="467"/>
      <c r="E327" s="467"/>
      <c r="F327" s="467"/>
      <c r="G327" s="467"/>
      <c r="H327" s="467"/>
      <c r="I327" s="467"/>
      <c r="J327" s="467"/>
      <c r="K327" s="1671">
        <f t="shared" si="24"/>
        <v>0</v>
      </c>
      <c r="L327" s="467"/>
      <c r="M327" s="665"/>
      <c r="N327" s="665"/>
    </row>
    <row r="328" spans="1:14" s="674" customFormat="1" x14ac:dyDescent="0.2">
      <c r="A328" s="1520" t="s">
        <v>471</v>
      </c>
      <c r="B328" s="690" t="s">
        <v>1131</v>
      </c>
      <c r="C328" s="474"/>
      <c r="D328" s="474"/>
      <c r="E328" s="474"/>
      <c r="F328" s="474"/>
      <c r="G328" s="474"/>
      <c r="H328" s="474"/>
      <c r="I328" s="474"/>
      <c r="J328" s="474"/>
      <c r="K328" s="1699">
        <f>SUM(C328:J328)</f>
        <v>0</v>
      </c>
      <c r="L328" s="474"/>
      <c r="M328" s="665"/>
      <c r="N328" s="665"/>
    </row>
    <row r="329" spans="1:14" s="674" customFormat="1" x14ac:dyDescent="0.2">
      <c r="A329" s="1520" t="s">
        <v>1132</v>
      </c>
      <c r="B329" s="690" t="s">
        <v>1133</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716</v>
      </c>
      <c r="B330" s="1669" t="s">
        <v>568</v>
      </c>
      <c r="C330" s="1670">
        <f>SUM(C319:C329)</f>
        <v>0</v>
      </c>
      <c r="D330" s="1670">
        <f t="shared" ref="D330:J330" si="25">SUM(D319:D329)</f>
        <v>0</v>
      </c>
      <c r="E330" s="1670">
        <f t="shared" si="25"/>
        <v>129633</v>
      </c>
      <c r="F330" s="1670">
        <f t="shared" si="25"/>
        <v>0</v>
      </c>
      <c r="G330" s="1670">
        <f t="shared" si="25"/>
        <v>0</v>
      </c>
      <c r="H330" s="1670">
        <f t="shared" si="25"/>
        <v>0</v>
      </c>
      <c r="I330" s="1670">
        <f t="shared" si="25"/>
        <v>0</v>
      </c>
      <c r="J330" s="1670">
        <f t="shared" si="25"/>
        <v>0</v>
      </c>
      <c r="K330" s="1670">
        <f>SUM(K319:K329)</f>
        <v>129633</v>
      </c>
      <c r="L330" s="1670">
        <f>SUM(L319:L329)</f>
        <v>0</v>
      </c>
      <c r="M330" s="665"/>
      <c r="N330" s="665"/>
    </row>
    <row r="331" spans="1:14" s="674" customFormat="1" ht="12.75" customHeight="1" thickTop="1" x14ac:dyDescent="0.2">
      <c r="A331" s="1831" t="s">
        <v>1846</v>
      </c>
      <c r="B331" s="647" t="s">
        <v>859</v>
      </c>
      <c r="C331" s="1833"/>
      <c r="D331" s="1833"/>
      <c r="E331" s="1833"/>
      <c r="F331" s="1833"/>
      <c r="G331" s="1833"/>
      <c r="H331" s="1833"/>
      <c r="I331" s="1833"/>
      <c r="J331" s="1833"/>
      <c r="K331" s="1833"/>
      <c r="L331" s="1833"/>
      <c r="M331" s="665"/>
      <c r="N331" s="665"/>
    </row>
    <row r="332" spans="1:14" s="674" customFormat="1" ht="12.75" customHeight="1" x14ac:dyDescent="0.2">
      <c r="A332" s="1832" t="s">
        <v>495</v>
      </c>
      <c r="B332" s="1827" t="s">
        <v>1840</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303</v>
      </c>
      <c r="B333" s="1827" t="s">
        <v>1842</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1847</v>
      </c>
      <c r="B334" s="1827" t="s">
        <v>859</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898</v>
      </c>
      <c r="B335" s="1607"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518" t="s">
        <v>87</v>
      </c>
      <c r="B337" s="690" t="s">
        <v>899</v>
      </c>
      <c r="C337" s="638"/>
      <c r="D337" s="638"/>
      <c r="E337" s="638"/>
      <c r="F337" s="638"/>
      <c r="G337" s="638"/>
      <c r="H337" s="478"/>
      <c r="I337" s="638"/>
      <c r="J337" s="638"/>
      <c r="K337" s="1671">
        <f>H337</f>
        <v>0</v>
      </c>
      <c r="L337" s="478"/>
    </row>
    <row r="338" spans="1:14" ht="12.75" customHeight="1" x14ac:dyDescent="0.2">
      <c r="A338" s="1518" t="s">
        <v>1169</v>
      </c>
      <c r="B338" s="690" t="s">
        <v>616</v>
      </c>
      <c r="C338" s="638"/>
      <c r="D338" s="638"/>
      <c r="E338" s="638"/>
      <c r="F338" s="638"/>
      <c r="G338" s="638"/>
      <c r="H338" s="478"/>
      <c r="I338" s="638"/>
      <c r="J338" s="638"/>
      <c r="K338" s="1671">
        <f>H338</f>
        <v>0</v>
      </c>
      <c r="L338" s="478"/>
    </row>
    <row r="339" spans="1:14" x14ac:dyDescent="0.2">
      <c r="A339" s="1504" t="s">
        <v>900</v>
      </c>
      <c r="B339" s="628">
        <v>5150</v>
      </c>
      <c r="C339" s="638"/>
      <c r="D339" s="638"/>
      <c r="E339" s="638"/>
      <c r="F339" s="638"/>
      <c r="G339" s="638"/>
      <c r="H339" s="467"/>
      <c r="I339" s="638"/>
      <c r="J339" s="638"/>
      <c r="K339" s="1671">
        <f>H339</f>
        <v>0</v>
      </c>
      <c r="L339" s="467"/>
    </row>
    <row r="340" spans="1:14" ht="13.5" thickBot="1" x14ac:dyDescent="0.25">
      <c r="A340" s="1694" t="s">
        <v>901</v>
      </c>
      <c r="B340" s="1669" t="s">
        <v>491</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902</v>
      </c>
      <c r="B341" s="1611" t="s">
        <v>860</v>
      </c>
      <c r="C341" s="616"/>
      <c r="D341" s="616"/>
      <c r="E341" s="477"/>
      <c r="F341" s="468"/>
      <c r="G341" s="468"/>
      <c r="H341" s="477"/>
      <c r="I341" s="477"/>
      <c r="J341" s="468"/>
      <c r="K341" s="477"/>
      <c r="L341" s="576"/>
    </row>
    <row r="342" spans="1:14" ht="12.75" customHeight="1" thickTop="1" thickBot="1" x14ac:dyDescent="0.25">
      <c r="A342" s="1686" t="s">
        <v>504</v>
      </c>
      <c r="B342" s="1701"/>
      <c r="C342" s="1670">
        <f>SUM(C330)</f>
        <v>0</v>
      </c>
      <c r="D342" s="1670">
        <f>SUM(D330)</f>
        <v>0</v>
      </c>
      <c r="E342" s="1670">
        <f>SUM(E330)</f>
        <v>129633</v>
      </c>
      <c r="F342" s="1670">
        <f>SUM(F330)</f>
        <v>0</v>
      </c>
      <c r="G342" s="1670">
        <f>SUM(G330)</f>
        <v>0</v>
      </c>
      <c r="H342" s="1670">
        <f>SUM(H330,H334,H340)</f>
        <v>0</v>
      </c>
      <c r="I342" s="1670">
        <f>SUM(I330)</f>
        <v>0</v>
      </c>
      <c r="J342" s="1670">
        <f>SUM(J330)</f>
        <v>0</v>
      </c>
      <c r="K342" s="1670">
        <f>SUM(K330,K334,K340)</f>
        <v>129633</v>
      </c>
      <c r="L342" s="1677">
        <f>SUM(L330,L334,L340,L341)</f>
        <v>0</v>
      </c>
    </row>
    <row r="343" spans="1:14" ht="12.75" customHeight="1" thickTop="1" x14ac:dyDescent="0.2">
      <c r="A343" s="2223" t="s">
        <v>995</v>
      </c>
      <c r="B343" s="2224"/>
      <c r="C343" s="616"/>
      <c r="D343" s="616"/>
      <c r="E343" s="616"/>
      <c r="F343" s="616"/>
      <c r="G343" s="616"/>
      <c r="H343" s="616"/>
      <c r="I343" s="616"/>
      <c r="J343" s="616"/>
      <c r="K343" s="1684">
        <f>'Revenues 9-14'!J268-'Expenditures 15-22'!K342</f>
        <v>-126605</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213" t="s">
        <v>965</v>
      </c>
      <c r="B345" s="2214"/>
      <c r="C345" s="1551"/>
      <c r="D345" s="1552"/>
      <c r="E345" s="1552"/>
      <c r="F345" s="1552"/>
      <c r="G345" s="1552"/>
      <c r="H345" s="1552"/>
      <c r="I345" s="1552"/>
      <c r="J345" s="1552"/>
      <c r="K345" s="1552"/>
      <c r="L345" s="1553"/>
      <c r="M345" s="667"/>
      <c r="N345" s="667"/>
    </row>
    <row r="346" spans="1:14" s="343" customFormat="1" ht="15.75" customHeight="1" x14ac:dyDescent="0.2">
      <c r="A346" s="1623" t="s">
        <v>843</v>
      </c>
      <c r="B346" s="1615"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row>
    <row r="349" spans="1:14" x14ac:dyDescent="0.2">
      <c r="A349" s="1504" t="s">
        <v>197</v>
      </c>
      <c r="B349" s="614">
        <v>2540</v>
      </c>
      <c r="C349" s="466"/>
      <c r="D349" s="466"/>
      <c r="E349" s="466"/>
      <c r="F349" s="466"/>
      <c r="G349" s="466"/>
      <c r="H349" s="466"/>
      <c r="I349" s="467"/>
      <c r="J349" s="467"/>
      <c r="K349" s="1671">
        <f>SUM(C349:J349)</f>
        <v>0</v>
      </c>
      <c r="L349" s="466"/>
    </row>
    <row r="350" spans="1:14" ht="12.75" customHeight="1" thickBot="1" x14ac:dyDescent="0.25">
      <c r="A350" s="1668" t="s">
        <v>718</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0</v>
      </c>
    </row>
    <row r="351" spans="1:14" ht="12.75" customHeight="1" thickTop="1" x14ac:dyDescent="0.2">
      <c r="A351" s="1510" t="s">
        <v>979</v>
      </c>
      <c r="B351" s="643" t="s">
        <v>573</v>
      </c>
      <c r="C351" s="481"/>
      <c r="D351" s="481"/>
      <c r="E351" s="481"/>
      <c r="F351" s="481"/>
      <c r="G351" s="481"/>
      <c r="H351" s="481"/>
      <c r="I351" s="478"/>
      <c r="J351" s="478"/>
      <c r="K351" s="615">
        <f>SUM(C351:J351)</f>
        <v>0</v>
      </c>
      <c r="L351" s="481"/>
    </row>
    <row r="352" spans="1:14" ht="12.75" customHeight="1" thickBot="1" x14ac:dyDescent="0.25">
      <c r="A352" s="1668" t="s">
        <v>623</v>
      </c>
      <c r="B352" s="1675" t="s">
        <v>568</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0</v>
      </c>
    </row>
    <row r="353" spans="1:14" s="343" customFormat="1" ht="15.75" customHeight="1" thickTop="1" x14ac:dyDescent="0.2">
      <c r="A353" s="1612" t="s">
        <v>624</v>
      </c>
      <c r="B353" s="1609" t="s">
        <v>859</v>
      </c>
      <c r="C353" s="616"/>
      <c r="D353" s="616"/>
      <c r="E353" s="616"/>
      <c r="F353" s="616"/>
      <c r="G353" s="616"/>
      <c r="H353" s="616"/>
      <c r="I353" s="616"/>
      <c r="J353" s="616"/>
      <c r="K353" s="616"/>
      <c r="L353" s="616"/>
      <c r="M353" s="609"/>
      <c r="N353" s="609"/>
    </row>
    <row r="354" spans="1:14" x14ac:dyDescent="0.2">
      <c r="A354" s="1834" t="s">
        <v>1848</v>
      </c>
      <c r="B354" s="683" t="s">
        <v>1840</v>
      </c>
      <c r="C354" s="616"/>
      <c r="D354" s="616"/>
      <c r="E354" s="616"/>
      <c r="F354" s="616"/>
      <c r="G354" s="616"/>
      <c r="H354" s="474"/>
      <c r="I354" s="701"/>
      <c r="J354" s="616"/>
      <c r="K354" s="1699">
        <f>H354</f>
        <v>0</v>
      </c>
      <c r="L354" s="471"/>
    </row>
    <row r="355" spans="1:14" ht="12.75" customHeight="1" x14ac:dyDescent="0.2">
      <c r="A355" s="1513" t="s">
        <v>1849</v>
      </c>
      <c r="B355" s="690" t="s">
        <v>1842</v>
      </c>
      <c r="C355" s="616"/>
      <c r="D355" s="616"/>
      <c r="E355" s="616"/>
      <c r="F355" s="616"/>
      <c r="G355" s="616"/>
      <c r="H355" s="467"/>
      <c r="I355" s="701"/>
      <c r="J355" s="616"/>
      <c r="K355" s="1743">
        <f>H355</f>
        <v>0</v>
      </c>
      <c r="L355" s="467"/>
    </row>
    <row r="356" spans="1:14" ht="12.75" customHeight="1" x14ac:dyDescent="0.2">
      <c r="A356" s="1834" t="s">
        <v>697</v>
      </c>
      <c r="B356" s="683" t="s">
        <v>557</v>
      </c>
      <c r="C356" s="616"/>
      <c r="D356" s="616"/>
      <c r="E356" s="616"/>
      <c r="F356" s="616"/>
      <c r="G356" s="616"/>
      <c r="H356" s="479"/>
      <c r="I356" s="701"/>
      <c r="J356" s="616"/>
      <c r="K356" s="1740">
        <f>H356</f>
        <v>0</v>
      </c>
      <c r="L356" s="479"/>
    </row>
    <row r="357" spans="1:14" ht="12.75" customHeight="1" thickBot="1" x14ac:dyDescent="0.25">
      <c r="A357" s="1668" t="s">
        <v>1486</v>
      </c>
      <c r="B357" s="1669" t="s">
        <v>859</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947</v>
      </c>
      <c r="B358" s="1609"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618</v>
      </c>
      <c r="B361" s="602" t="s">
        <v>617</v>
      </c>
      <c r="C361" s="616"/>
      <c r="D361" s="616"/>
      <c r="E361" s="616"/>
      <c r="F361" s="616"/>
      <c r="G361" s="616"/>
      <c r="H361" s="467"/>
      <c r="I361" s="616"/>
      <c r="J361" s="616"/>
      <c r="K361" s="1671">
        <f>SUM(C361:J361)</f>
        <v>0</v>
      </c>
      <c r="L361" s="466"/>
    </row>
    <row r="362" spans="1:14" ht="12.75" customHeight="1" thickBot="1" x14ac:dyDescent="0.25">
      <c r="A362" s="1668" t="s">
        <v>625</v>
      </c>
      <c r="B362" s="1669" t="s">
        <v>717</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1671</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589</v>
      </c>
      <c r="B365" s="659" t="s">
        <v>491</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948</v>
      </c>
      <c r="B366" s="1613" t="s">
        <v>860</v>
      </c>
      <c r="C366" s="623"/>
      <c r="D366" s="623"/>
      <c r="E366" s="623"/>
      <c r="F366" s="623"/>
      <c r="G366" s="623"/>
      <c r="H366" s="623"/>
      <c r="I366" s="623"/>
      <c r="J366" s="616"/>
      <c r="K366" s="623"/>
      <c r="L366" s="573"/>
      <c r="M366" s="609"/>
      <c r="N366" s="609"/>
    </row>
    <row r="367" spans="1:14" ht="12.75" customHeight="1" thickTop="1" thickBot="1" x14ac:dyDescent="0.25">
      <c r="A367" s="1692" t="s">
        <v>504</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0</v>
      </c>
    </row>
    <row r="368" spans="1:14" ht="13.5" thickTop="1" x14ac:dyDescent="0.2">
      <c r="A368" s="2237" t="s">
        <v>995</v>
      </c>
      <c r="B368" s="2238"/>
      <c r="C368" s="654"/>
      <c r="D368" s="654"/>
      <c r="E368" s="626"/>
      <c r="F368" s="626"/>
      <c r="G368" s="626"/>
      <c r="H368" s="626"/>
      <c r="I368" s="626"/>
      <c r="J368" s="623"/>
      <c r="K368" s="1671">
        <f>'Revenues 9-14'!K268-'Expenditures 15-22'!K367</f>
        <v>293</v>
      </c>
      <c r="L368" s="654"/>
    </row>
  </sheetData>
  <sheetProtection algorithmName="SHA-512" hashValue="jzzNE6gaZWET+y6T5aosJtCATdA6zyfwuTqC+CTODp4dbJrQt41UnBxqpssdLhxOdI8LmMLRZDYFsF1oB0M7Iw==" saltValue="LNHf/VcevKDKMmwcM5/SP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H Attachment" ma:contentTypeID="0x0101003E158B62FF2E7F48A94D5A79E60A5783003E6552437874DD4EA2EB10C7B6840FF7" ma:contentTypeVersion="3" ma:contentTypeDescription="Content type for attachments and related items" ma:contentTypeScope="" ma:versionID="46b34ffa7f5141d2b872918aed65a9dc">
  <xsd:schema xmlns:xsd="http://www.w3.org/2001/XMLSchema" xmlns:xs="http://www.w3.org/2001/XMLSchema" xmlns:p="http://schemas.microsoft.com/office/2006/metadata/properties" xmlns:ns2="12573e6a-d871-46ca-acb8-184d6dd9d449" targetNamespace="http://schemas.microsoft.com/office/2006/metadata/properties" ma:root="true" ma:fieldsID="3666880de27cdd6914776f3dac4951b0" ns2:_="">
    <xsd:import namespace="12573e6a-d871-46ca-acb8-184d6dd9d449"/>
    <xsd:element name="properties">
      <xsd:complexType>
        <xsd:sequence>
          <xsd:element name="documentManagement">
            <xsd:complexType>
              <xsd:all>
                <xsd:element ref="ns2:b23096a0178249f0aec539c2c00d8c8d" minOccurs="0"/>
                <xsd:element ref="ns2:CroweRelatedElements" minOccurs="0"/>
                <xsd:element ref="ns2:CroweRelatedWorkpapers" minOccurs="0"/>
                <xsd:element ref="ns2:bf52b3ff23064d048d764f07fa65461d" minOccurs="0"/>
                <xsd:element ref="ns2:CroweClientNameText" minOccurs="0"/>
                <xsd:element ref="ns2:CroweIndustrySpecializationText" minOccurs="0"/>
                <xsd:element ref="ns2:CroweProjectTypeText" minOccurs="0"/>
                <xsd:element ref="ns2:CroweProjectNumberText" minOccurs="0"/>
                <xsd:element ref="ns2:CroweProjectNameText" minOccurs="0"/>
                <xsd:element ref="ns2:CrowePeriodEndText" minOccurs="0"/>
                <xsd:element ref="ns2:bec4d733bd9c4d08a2a335e9db5a06c4" minOccurs="0"/>
                <xsd:element ref="ns2:CroweSDLID" minOccurs="0"/>
                <xsd:element ref="ns2:TaxKeywordTaxHTField" minOccurs="0"/>
                <xsd:element ref="ns2:f116d81fb8f04910b4e5f43b9520372a" minOccurs="0"/>
                <xsd:element ref="ns2:TaxCatchAll" minOccurs="0"/>
                <xsd:element ref="ns2:TaxCatchAllLabel" minOccurs="0"/>
                <xsd:element ref="ns2:e2ce2d862580429ebfffc50b10a63da6" minOccurs="0"/>
                <xsd:element ref="ns2:b58c579c860b4c15aa81a0f4409d4cb9" minOccurs="0"/>
                <xsd:element ref="ns2:b6ac7b18f57047ddaf94d32a62f4c7b6" minOccurs="0"/>
                <xsd:element ref="ns2:ffdbccf0244f479782e223c68ac9fa1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3e6a-d871-46ca-acb8-184d6dd9d449" elementFormDefault="qualified">
    <xsd:import namespace="http://schemas.microsoft.com/office/2006/documentManagement/types"/>
    <xsd:import namespace="http://schemas.microsoft.com/office/infopath/2007/PartnerControls"/>
    <xsd:element name="b23096a0178249f0aec539c2c00d8c8d" ma:index="3" nillable="true" ma:taxonomy="true" ma:internalName="b23096a0178249f0aec539c2c00d8c8d" ma:taxonomyFieldName="CroweIndustry" ma:displayName="Industry Specialization" ma:readOnly="" ma:default="" ma:fieldId="{b23096a0-1782-49f0-aec5-39c2c00d8c8d}" ma:sspId="a483fb48-e94f-4605-a5c3-ca0617cb71e8" ma:termSetId="923ceb7c-0c17-423f-9fdf-a00730b3d024" ma:anchorId="00000000-0000-0000-0000-000000000000" ma:open="false" ma:isKeyword="false">
      <xsd:complexType>
        <xsd:sequence>
          <xsd:element ref="pc:Terms" minOccurs="0" maxOccurs="1"/>
        </xsd:sequence>
      </xsd:complexType>
    </xsd:element>
    <xsd:element name="CroweRelatedElements" ma:index="6" nillable="true" ma:displayName="Elements(s)" ma:description="" ma:internalName="CroweRelatedElements" ma:readOnly="true">
      <xsd:simpleType>
        <xsd:restriction base="dms:Note"/>
      </xsd:simpleType>
    </xsd:element>
    <xsd:element name="CroweRelatedWorkpapers" ma:index="7" nillable="true" ma:displayName="Related Workpapers" ma:description="" ma:internalName="CroweRelatedWorkpapers" ma:readOnly="true">
      <xsd:simpleType>
        <xsd:restriction base="dms:Note"/>
      </xsd:simpleType>
    </xsd:element>
    <xsd:element name="bf52b3ff23064d048d764f07fa65461d" ma:index="8" nillable="true" ma:taxonomy="true" ma:internalName="bf52b3ff23064d048d764f07fa65461d" ma:taxonomyFieldName="CroweItemType" ma:displayName="Item Type" ma:readOnly="true" ma:default="6;#Attachment|75fbb3fa-c69d-48c5-a08b-7c0fed70e544" ma:fieldId="{bf52b3ff-2306-4d04-8d76-4f07fa65461d}" ma:sspId="a483fb48-e94f-4605-a5c3-ca0617cb71e8" ma:termSetId="ea13981d-fc63-4dc8-bd30-2b837246b46d" ma:anchorId="00000000-0000-0000-0000-000000000000" ma:open="false" ma:isKeyword="false">
      <xsd:complexType>
        <xsd:sequence>
          <xsd:element ref="pc:Terms" minOccurs="0" maxOccurs="1"/>
        </xsd:sequence>
      </xsd:complexType>
    </xsd:element>
    <xsd:element name="CroweClientNameText" ma:index="10" nillable="true" ma:displayName="Client Name" ma:default="West Aurora School District 129" ma:internalName="CroweClientNameText" ma:readOnly="true">
      <xsd:simpleType>
        <xsd:restriction base="dms:Text"/>
      </xsd:simpleType>
    </xsd:element>
    <xsd:element name="CroweIndustrySpecializationText" ma:index="11" nillable="true" ma:displayName="Industry Specialization" ma:default="Government and Public College and University" ma:internalName="CroweIndustrySpecializationText" ma:readOnly="true">
      <xsd:simpleType>
        <xsd:restriction base="dms:Text"/>
      </xsd:simpleType>
    </xsd:element>
    <xsd:element name="CroweProjectTypeText" ma:index="12" nillable="true" ma:displayName="Project Type" ma:default="Audit" ma:internalName="CroweProjectTypeText" ma:readOnly="true">
      <xsd:simpleType>
        <xsd:restriction base="dms:Text"/>
      </xsd:simpleType>
    </xsd:element>
    <xsd:element name="CroweProjectNumberText" ma:index="13" nillable="true" ma:displayName="Project #" ma:default="878426.001.005" ma:internalName="CroweProjectNumberText" ma:readOnly="true">
      <xsd:simpleType>
        <xsd:restriction base="dms:Text"/>
      </xsd:simpleType>
    </xsd:element>
    <xsd:element name="CroweProjectNameText" ma:index="14" nillable="true" ma:displayName="Project Name" ma:default="West Aurora School District 129" ma:internalName="CroweProjectNameText" ma:readOnly="true">
      <xsd:simpleType>
        <xsd:restriction base="dms:Text"/>
      </xsd:simpleType>
    </xsd:element>
    <xsd:element name="CrowePeriodEndText" ma:index="15" nillable="true" ma:displayName="Period End" ma:default="6/30/2019" ma:internalName="CrowePeriodEndText" ma:readOnly="true">
      <xsd:simpleType>
        <xsd:restriction base="dms:Text"/>
      </xsd:simpleType>
    </xsd:element>
    <xsd:element name="bec4d733bd9c4d08a2a335e9db5a06c4" ma:index="16" nillable="true" ma:taxonomy="true" ma:internalName="bec4d733bd9c4d08a2a335e9db5a06c4" ma:taxonomyFieldName="CroweStatus" ma:displayName="Status" ma:readOnly="" ma:default="1;#Not Started|d46ab791-6d82-485b-afec-b9b637b864b0" ma:fieldId="{bec4d733-bd9c-4d08-a2a3-35e9db5a06c4}" ma:sspId="a483fb48-e94f-4605-a5c3-ca0617cb71e8" ma:termSetId="48d536f2-1129-4636-a1f5-a4c72f15bcc6" ma:anchorId="00000000-0000-0000-0000-000000000000" ma:open="false" ma:isKeyword="false">
      <xsd:complexType>
        <xsd:sequence>
          <xsd:element ref="pc:Terms" minOccurs="0" maxOccurs="1"/>
        </xsd:sequence>
      </xsd:complexType>
    </xsd:element>
    <xsd:element name="CroweSDLID" ma:index="18" nillable="true" ma:displayName="SDL ID" ma:internalName="CroweSDLID" ma:readOnly="true">
      <xsd:simpleType>
        <xsd:restriction base="dms:Text"/>
      </xsd:simpleType>
    </xsd:element>
    <xsd:element name="TaxKeywordTaxHTField" ma:index="22" nillable="true" ma:taxonomy="true" ma:internalName="TaxKeywordTaxHTField" ma:taxonomyFieldName="TaxKeyword" ma:displayName="Enterprise Keywords" ma:fieldId="{23f27201-bee3-471e-b2e7-b64fd8b7ca38}" ma:taxonomyMulti="true" ma:sspId="a483fb48-e94f-4605-a5c3-ca0617cb71e8" ma:termSetId="00000000-0000-0000-0000-000000000000" ma:anchorId="00000000-0000-0000-0000-000000000000" ma:open="true" ma:isKeyword="true">
      <xsd:complexType>
        <xsd:sequence>
          <xsd:element ref="pc:Terms" minOccurs="0" maxOccurs="1"/>
        </xsd:sequence>
      </xsd:complexType>
    </xsd:element>
    <xsd:element name="f116d81fb8f04910b4e5f43b9520372a" ma:index="27" nillable="true" ma:taxonomy="true" ma:internalName="f116d81fb8f04910b4e5f43b9520372a" ma:taxonomyFieldName="CroweEngagementNumber" ma:displayName="Engagement #" ma:readOnly="true" ma:default="" ma:fieldId="{f116d81f-b8f0-4910-b4e5-f43b9520372a}" ma:sspId="a483fb48-e94f-4605-a5c3-ca0617cb71e8" ma:termSetId="137fedfe-a641-45ff-8e9e-b15365a97732"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181784da-1a4e-4339-a3f1-f600cb0763c6}" ma:internalName="TaxCatchAll" ma:showField="CatchAllData" ma:web="a6cb7852-0915-4dfb-a41f-7295be091d4d">
      <xsd:complexType>
        <xsd:complexContent>
          <xsd:extension base="dms:MultiChoiceLookup">
            <xsd:sequence>
              <xsd:element name="Value" type="dms:Lookup" maxOccurs="unbounded" minOccurs="0" nillable="true"/>
            </xsd:sequence>
          </xsd:extension>
        </xsd:complexContent>
      </xsd:complexType>
    </xsd:element>
    <xsd:element name="TaxCatchAllLabel" ma:index="29" nillable="true" ma:displayName="Taxonomy Catch All Column1" ma:hidden="true" ma:list="{181784da-1a4e-4339-a3f1-f600cb0763c6}" ma:internalName="TaxCatchAllLabel" ma:readOnly="true" ma:showField="CatchAllDataLabel" ma:web="a6cb7852-0915-4dfb-a41f-7295be091d4d">
      <xsd:complexType>
        <xsd:complexContent>
          <xsd:extension base="dms:MultiChoiceLookup">
            <xsd:sequence>
              <xsd:element name="Value" type="dms:Lookup" maxOccurs="unbounded" minOccurs="0" nillable="true"/>
            </xsd:sequence>
          </xsd:extension>
        </xsd:complexContent>
      </xsd:complexType>
    </xsd:element>
    <xsd:element name="e2ce2d862580429ebfffc50b10a63da6" ma:index="31" nillable="true" ma:taxonomy="true" ma:internalName="e2ce2d862580429ebfffc50b10a63da6" ma:taxonomyFieldName="CroweEngagementName" ma:displayName="Engagement Name" ma:readOnly="true" ma:default="" ma:fieldId="{e2ce2d86-2580-429e-bfff-c50b10a63da6}" ma:sspId="a483fb48-e94f-4605-a5c3-ca0617cb71e8" ma:termSetId="137fedfe-a641-45ff-8e9e-b15365a97732" ma:anchorId="00000000-0000-0000-0000-000000000000" ma:open="false" ma:isKeyword="false">
      <xsd:complexType>
        <xsd:sequence>
          <xsd:element ref="pc:Terms" minOccurs="0" maxOccurs="1"/>
        </xsd:sequence>
      </xsd:complexType>
    </xsd:element>
    <xsd:element name="b58c579c860b4c15aa81a0f4409d4cb9" ma:index="33" nillable="true" ma:taxonomy="true" ma:internalName="b58c579c860b4c15aa81a0f4409d4cb9" ma:taxonomyFieldName="CroweProjectPeriod" ma:displayName="Project Period" ma:readOnly="true" ma:default="" ma:fieldId="{b58c579c-860b-4c15-aa81-a0f4409d4cb9}" ma:sspId="a483fb48-e94f-4605-a5c3-ca0617cb71e8" ma:termSetId="137fedfe-a641-45ff-8e9e-b15365a97732" ma:anchorId="00000000-0000-0000-0000-000000000000" ma:open="false" ma:isKeyword="false">
      <xsd:complexType>
        <xsd:sequence>
          <xsd:element ref="pc:Terms" minOccurs="0" maxOccurs="1"/>
        </xsd:sequence>
      </xsd:complexType>
    </xsd:element>
    <xsd:element name="b6ac7b18f57047ddaf94d32a62f4c7b6" ma:index="35" nillable="true" ma:taxonomy="true" ma:internalName="b6ac7b18f57047ddaf94d32a62f4c7b6" ma:taxonomyFieldName="CroweProjectName" ma:displayName="Project Name" ma:readOnly="true" ma:default="" ma:fieldId="{b6ac7b18-f570-47dd-af94-d32a62f4c7b6}" ma:sspId="a483fb48-e94f-4605-a5c3-ca0617cb71e8" ma:termSetId="137fedfe-a641-45ff-8e9e-b15365a97732" ma:anchorId="00000000-0000-0000-0000-000000000000" ma:open="false" ma:isKeyword="false">
      <xsd:complexType>
        <xsd:sequence>
          <xsd:element ref="pc:Terms" minOccurs="0" maxOccurs="1"/>
        </xsd:sequence>
      </xsd:complexType>
    </xsd:element>
    <xsd:element name="ffdbccf0244f479782e223c68ac9fa16" ma:index="37" nillable="true" ma:taxonomy="true" ma:internalName="ffdbccf0244f479782e223c68ac9fa16" ma:taxonomyFieldName="CroweOrigin" ma:displayName="Origin" ma:readOnly="true" ma:default="2;#Manual|99051284-c2f6-4a4b-87c6-68f80288fe69" ma:fieldId="{ffdbccf0-244f-4797-82e2-23c68ac9fa16}" ma:sspId="a483fb48-e94f-4605-a5c3-ca0617cb71e8" ma:termSetId="c3fc7bfd-34ca-4736-818a-338a6d930ae4"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483fb48-e94f-4605-a5c3-ca0617cb71e8" ContentTypeId="0x0101003E158B62FF2E7F48A94D5A79E60A5783"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12573e6a-d871-46ca-acb8-184d6dd9d449">
      <Terms xmlns="http://schemas.microsoft.com/office/infopath/2007/PartnerControls"/>
    </TaxKeywordTaxHTField>
    <TaxCatchAll xmlns="12573e6a-d871-46ca-acb8-184d6dd9d449">
      <Value>6</Value>
      <Value>2</Value>
      <Value>1</Value>
    </TaxCatchAll>
    <b23096a0178249f0aec539c2c00d8c8d xmlns="12573e6a-d871-46ca-acb8-184d6dd9d449">
      <Terms xmlns="http://schemas.microsoft.com/office/infopath/2007/PartnerControls"/>
    </b23096a0178249f0aec539c2c00d8c8d>
    <bec4d733bd9c4d08a2a335e9db5a06c4 xmlns="12573e6a-d871-46ca-acb8-184d6dd9d449">
      <Terms xmlns="http://schemas.microsoft.com/office/infopath/2007/PartnerControls">
        <TermInfo xmlns="http://schemas.microsoft.com/office/infopath/2007/PartnerControls">
          <TermName xmlns="http://schemas.microsoft.com/office/infopath/2007/PartnerControls">Not Started</TermName>
          <TermId xmlns="http://schemas.microsoft.com/office/infopath/2007/PartnerControls">d46ab791-6d82-485b-afec-b9b637b864b0</TermId>
        </TermInfo>
      </Terms>
    </bec4d733bd9c4d08a2a335e9db5a06c4>
    <ffdbccf0244f479782e223c68ac9fa16 xmlns="12573e6a-d871-46ca-acb8-184d6dd9d449">
      <Terms xmlns="http://schemas.microsoft.com/office/infopath/2007/PartnerControls">
        <TermInfo xmlns="http://schemas.microsoft.com/office/infopath/2007/PartnerControls">
          <TermName xmlns="http://schemas.microsoft.com/office/infopath/2007/PartnerControls">Manual</TermName>
          <TermId xmlns="http://schemas.microsoft.com/office/infopath/2007/PartnerControls">99051284-c2f6-4a4b-87c6-68f80288fe69</TermId>
        </TermInfo>
      </Terms>
    </ffdbccf0244f479782e223c68ac9fa16>
    <bf52b3ff23064d048d764f07fa65461d xmlns="12573e6a-d871-46ca-acb8-184d6dd9d449">
      <Terms xmlns="http://schemas.microsoft.com/office/infopath/2007/PartnerControls">
        <TermInfo xmlns="http://schemas.microsoft.com/office/infopath/2007/PartnerControls">
          <TermName xmlns="http://schemas.microsoft.com/office/infopath/2007/PartnerControls">Attachment</TermName>
          <TermId xmlns="http://schemas.microsoft.com/office/infopath/2007/PartnerControls">75fbb3fa-c69d-48c5-a08b-7c0fed70e544</TermId>
        </TermInfo>
      </Terms>
    </bf52b3ff23064d048d764f07fa65461d>
    <CroweRelatedWorkpapers xmlns="12573e6a-d871-46ca-acb8-184d6dd9d449">&lt;div id="div_Workpaper218" class="related-item"&gt;&lt;a title="Other Deliverable Approval - AFR" class="js-related-item-link" data-relateditems-itemtype="Workpaper" data-relateditems-fileref="Other Deliverable Approval - AFR.docx"&gt;Z440.1&lt;/a&gt;&lt;/div&gt;</CroweRelatedWorkpapers>
  </documentManagement>
</p:properties>
</file>

<file path=customXml/itemProps1.xml><?xml version="1.0" encoding="utf-8"?>
<ds:datastoreItem xmlns:ds="http://schemas.openxmlformats.org/officeDocument/2006/customXml" ds:itemID="{0228535E-C4C6-444F-A4A5-5F6067327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3e6a-d871-46ca-acb8-184d6dd9d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7DC3CA-8717-4B85-892F-DF25389830A3}">
  <ds:schemaRefs>
    <ds:schemaRef ds:uri="Microsoft.SharePoint.Taxonomy.ContentTypeSync"/>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4.xml><?xml version="1.0" encoding="utf-8"?>
<ds:datastoreItem xmlns:ds="http://schemas.openxmlformats.org/officeDocument/2006/customXml" ds:itemID="{34524270-6D2D-40B3-AEDC-EBC0C7BBFFF8}">
  <ds:schemaRef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12573e6a-d871-46ca-acb8-184d6dd9d4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18</vt:i4>
      </vt:variant>
    </vt:vector>
  </HeadingPairs>
  <TitlesOfParts>
    <vt:vector size="55"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SEFA-1A</vt:lpstr>
      <vt:lpstr>SEFA NOTES</vt:lpstr>
      <vt:lpstr>SF&amp;QC Sec-1</vt:lpstr>
      <vt:lpstr>SF&amp;QC Sec-2</vt:lpstr>
      <vt:lpstr>SF&amp;QC Sec-2 (2)</vt:lpstr>
      <vt:lpstr>SF&amp;QC Sec-2 (3)</vt:lpstr>
      <vt:lpstr>SF&amp;QC Sec-2 (4)</vt:lpstr>
      <vt:lpstr>SF&amp;QC Sec-3</vt:lpstr>
      <vt:lpstr>SSPAF</vt:lpstr>
      <vt:lpstr>' SEFA'!Print_Area</vt:lpstr>
      <vt:lpstr>'SEFA NOTES'!Print_Area</vt:lpstr>
      <vt:lpstr>'SEFA Reconcile'!Print_Area</vt:lpstr>
      <vt:lpstr>'SEFA-1A'!Print_Area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'SEFA-1A'!Print_Titles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BAXTER CHRISTOPHER</cp:lastModifiedBy>
  <cp:lastPrinted>2019-06-25T17:28:25Z</cp:lastPrinted>
  <dcterms:created xsi:type="dcterms:W3CDTF">2003-10-29T19:06:34Z</dcterms:created>
  <dcterms:modified xsi:type="dcterms:W3CDTF">2020-01-10T21:57:52Z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0x0101003E158B62FF2E7F48A94D5A79E60A5783003E6552437874DD4EA2EB10C7B6840FF7</vt:lpwstr>
  </property>
  <property fmtid="{D5CDD505-2E9C-101B-9397-08002B2CF9AE}" pid="3" name="TaxKeyword">
    <vt:lpwstr/>
  </property>
  <property fmtid="{D5CDD505-2E9C-101B-9397-08002B2CF9AE}" pid="4" name="CroweItemType">
    <vt:lpwstr>6;#Attachment|75fbb3fa-c69d-48c5-a08b-7c0fed70e544</vt:lpwstr>
  </property>
  <property fmtid="{D5CDD505-2E9C-101B-9397-08002B2CF9AE}" pid="5" name="CroweIndustry">
    <vt:lpwstr/>
  </property>
  <property fmtid="{D5CDD505-2E9C-101B-9397-08002B2CF9AE}" pid="6" name="CroweOrigin">
    <vt:lpwstr>2;#Manual|99051284-c2f6-4a4b-87c6-68f80288fe69</vt:lpwstr>
  </property>
  <property fmtid="{D5CDD505-2E9C-101B-9397-08002B2CF9AE}" pid="7" name="CroweStatus">
    <vt:lpwstr>1;#Not Started|d46ab791-6d82-485b-afec-b9b637b864b0</vt:lpwstr>
  </property>
</Properties>
</file>